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1035" yWindow="6270" windowWidth="20850" windowHeight="6525" tabRatio="1000" firstSheet="1" activeTab="2"/>
  </bookViews>
  <sheets>
    <sheet name="Application Tabs Checklist" sheetId="47" state="hidden"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0">'Application Tabs Checklist'!$A$1:$L$254</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3">'Part II-Development Team'!$A$1:$S$154</definedName>
    <definedName name="_xlnm.Print_Area" localSheetId="5">'Part III B-USDA 538 Loan'!$A$1:$F$111</definedName>
    <definedName name="_xlnm.Print_Area" localSheetId="6">'Part III C-HUD Insured Loan'!$A$1:$F$47</definedName>
    <definedName name="_xlnm.Print_Area" localSheetId="4">'Part III-Sources of Funds'!$A$1:$Q$61</definedName>
    <definedName name="_xlnm.Print_Area" localSheetId="2">'Part I-Project Information'!$A$1:$P$175</definedName>
    <definedName name="_xlnm.Print_Area" localSheetId="7">'Part IV-Uses of Funds'!$A$1:$T$178</definedName>
    <definedName name="_xlnm.Print_Area" localSheetId="12">'Part IX A-Scoring Criteria'!$A$1:$P$411</definedName>
    <definedName name="_xlnm.Print_Area" localSheetId="11">'Part VIII-Threshold Criteria'!$A$1:$Q$424</definedName>
    <definedName name="_xlnm.Print_Area" localSheetId="10">'Part VII-Pro Forma'!$A$1:$K$131</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1">'Project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0">'Application Tabs Checklist'!$1:$4</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1">'Project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Checklist'!$A$1:$L$254</definedName>
    <definedName name="Z_83931971_0D7C_489C_BAD5_4341DF1D4913_.wvu.PrintTitles" localSheetId="0" hidden="1">'Application Tabs Checklist'!$1:$4</definedName>
    <definedName name="Z_DE0486CF_22D3_42AC_BEA0_19C94882BEE4_.wvu.PrintArea" localSheetId="0" hidden="1">'Application Tabs Checklist'!$A$1:$L$254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F176" i="59" l="1"/>
  <c r="G14" i="15"/>
  <c r="A1850" i="61" l="1"/>
  <c r="A1847" i="61"/>
  <c r="A2" i="62"/>
  <c r="A1842" i="61" l="1"/>
  <c r="L1583" i="61"/>
  <c r="L1582" i="61"/>
  <c r="L152" i="11"/>
  <c r="L151" i="11"/>
  <c r="A1878" i="61"/>
  <c r="O1829" i="61"/>
  <c r="P1829" i="61"/>
  <c r="P1828" i="61"/>
  <c r="O1828" i="61"/>
  <c r="I1815" i="61"/>
  <c r="J1815" i="61"/>
  <c r="I1816" i="61"/>
  <c r="J1816" i="61"/>
  <c r="J1814" i="61"/>
  <c r="I1814" i="61"/>
  <c r="K1798" i="61"/>
  <c r="K1799" i="61"/>
  <c r="J1798" i="61"/>
  <c r="J1799" i="61"/>
  <c r="I1798" i="61"/>
  <c r="I1799" i="61"/>
  <c r="F1798" i="61"/>
  <c r="F1799" i="61"/>
  <c r="P1798" i="61"/>
  <c r="P1799" i="61"/>
  <c r="P1797" i="61"/>
  <c r="K1797" i="61"/>
  <c r="J1797" i="61"/>
  <c r="I1797" i="61"/>
  <c r="F1797" i="61"/>
  <c r="J1792" i="61"/>
  <c r="K1776" i="61"/>
  <c r="G1774" i="61"/>
  <c r="H1774" i="61"/>
  <c r="I1774" i="61"/>
  <c r="J1774" i="61"/>
  <c r="K1774" i="61"/>
  <c r="F1774" i="61"/>
  <c r="L1767" i="61"/>
  <c r="F1767" i="61"/>
  <c r="K1765" i="61"/>
  <c r="G1765" i="61"/>
  <c r="K1763" i="61"/>
  <c r="G1763" i="61"/>
  <c r="D1763" i="61"/>
  <c r="K1761" i="61"/>
  <c r="G1761" i="61"/>
  <c r="D1761" i="61"/>
  <c r="P1757" i="61"/>
  <c r="B1749" i="61"/>
  <c r="D1743" i="61"/>
  <c r="L1737" i="61"/>
  <c r="L1736" i="61"/>
  <c r="G1736" i="61"/>
  <c r="P1720" i="61"/>
  <c r="P1721" i="61"/>
  <c r="P1722" i="61"/>
  <c r="P1723" i="61"/>
  <c r="P1724" i="61"/>
  <c r="P1719" i="61"/>
  <c r="I1717" i="61"/>
  <c r="P1715" i="61"/>
  <c r="L1708" i="61"/>
  <c r="I1708" i="61"/>
  <c r="D1707" i="61"/>
  <c r="I1706" i="61"/>
  <c r="I1705" i="61"/>
  <c r="I1704" i="61"/>
  <c r="I1703" i="61"/>
  <c r="L1687" i="61"/>
  <c r="L1688" i="61"/>
  <c r="L1689" i="61"/>
  <c r="L1690" i="61"/>
  <c r="L1691" i="61"/>
  <c r="L1692" i="61"/>
  <c r="L1693" i="61"/>
  <c r="L1694" i="61"/>
  <c r="L1695" i="61"/>
  <c r="I1687" i="61"/>
  <c r="I1688" i="61"/>
  <c r="I1689" i="61"/>
  <c r="I1690" i="61"/>
  <c r="I1691" i="61"/>
  <c r="I1692" i="61"/>
  <c r="I1693" i="61"/>
  <c r="I1694" i="61"/>
  <c r="I1695" i="61"/>
  <c r="L1686" i="61"/>
  <c r="I1686" i="61"/>
  <c r="J1674" i="61"/>
  <c r="A1674" i="61"/>
  <c r="J1660" i="61"/>
  <c r="A1660" i="61"/>
  <c r="I1672" i="61"/>
  <c r="I241" i="11"/>
  <c r="I1665" i="61"/>
  <c r="J1604" i="61"/>
  <c r="J1603" i="61"/>
  <c r="L1580" i="61"/>
  <c r="O1625" i="61"/>
  <c r="P1625" i="61"/>
  <c r="O1626" i="61"/>
  <c r="P1626" i="61"/>
  <c r="O1627" i="61"/>
  <c r="P1627" i="61"/>
  <c r="O1644" i="61"/>
  <c r="P1644" i="61"/>
  <c r="O1645" i="61"/>
  <c r="P1645" i="61"/>
  <c r="O1666" i="61"/>
  <c r="P1666" i="61"/>
  <c r="O1667" i="61"/>
  <c r="P1667" i="61"/>
  <c r="O1668" i="61"/>
  <c r="P1668" i="61"/>
  <c r="O1679" i="61"/>
  <c r="P1679" i="61"/>
  <c r="O1680" i="61"/>
  <c r="P1680" i="61"/>
  <c r="O1681" i="61"/>
  <c r="P1681" i="61"/>
  <c r="O1682" i="61"/>
  <c r="P1682" i="61"/>
  <c r="O1683" i="61"/>
  <c r="P1683" i="61"/>
  <c r="O1731" i="61"/>
  <c r="P1731" i="61"/>
  <c r="O1732" i="61"/>
  <c r="P1732" i="61"/>
  <c r="P1790" i="61"/>
  <c r="O1790" i="61"/>
  <c r="P1737" i="61"/>
  <c r="O1737" i="61"/>
  <c r="P1735" i="61"/>
  <c r="O1735" i="61"/>
  <c r="P1730" i="61"/>
  <c r="O1730" i="61"/>
  <c r="P1716" i="61"/>
  <c r="O1716" i="61"/>
  <c r="P1701" i="61"/>
  <c r="O1701" i="61"/>
  <c r="P1678" i="61"/>
  <c r="O1678" i="61"/>
  <c r="P1671" i="61"/>
  <c r="O1671" i="61"/>
  <c r="P1665" i="61"/>
  <c r="O1665" i="61"/>
  <c r="P1643" i="61"/>
  <c r="O1643" i="61"/>
  <c r="P1637" i="61"/>
  <c r="O1637" i="61"/>
  <c r="P1635" i="61"/>
  <c r="O1635" i="61"/>
  <c r="P1624" i="61"/>
  <c r="O1624" i="61"/>
  <c r="O1782" i="61"/>
  <c r="P1782" i="61"/>
  <c r="P1775" i="61"/>
  <c r="O1775" i="61"/>
  <c r="P1771" i="61"/>
  <c r="O1771" i="61"/>
  <c r="P1768" i="61"/>
  <c r="O1768" i="61"/>
  <c r="P1760" i="61"/>
  <c r="O1760" i="61"/>
  <c r="P1831" i="61"/>
  <c r="O1831" i="61"/>
  <c r="P1781" i="61"/>
  <c r="O1781" i="61"/>
  <c r="P1780" i="61"/>
  <c r="O1780" i="61"/>
  <c r="P1779" i="61"/>
  <c r="O1779" i="61"/>
  <c r="P1777" i="61"/>
  <c r="O1777" i="61"/>
  <c r="P1770" i="61"/>
  <c r="O1770" i="61"/>
  <c r="P1766" i="61"/>
  <c r="O1766" i="61"/>
  <c r="P1751" i="61"/>
  <c r="O1751" i="61"/>
  <c r="P1745" i="61"/>
  <c r="O1745" i="61"/>
  <c r="P1700" i="61"/>
  <c r="O1700" i="61"/>
  <c r="P1670" i="61"/>
  <c r="O1670" i="61"/>
  <c r="P1663" i="61"/>
  <c r="O1663" i="61"/>
  <c r="P1651" i="61"/>
  <c r="O1651" i="61"/>
  <c r="P1636" i="61"/>
  <c r="O1636" i="61"/>
  <c r="P1634" i="61"/>
  <c r="O1634" i="61"/>
  <c r="P1616" i="61"/>
  <c r="O1616" i="61"/>
  <c r="P1615" i="61"/>
  <c r="O1615" i="61"/>
  <c r="P1614" i="61"/>
  <c r="O1614" i="61"/>
  <c r="P1611" i="61"/>
  <c r="O1611" i="61"/>
  <c r="P1610" i="61"/>
  <c r="O1610" i="61"/>
  <c r="P1601" i="61"/>
  <c r="O1601" i="61"/>
  <c r="P1590" i="61" l="1"/>
  <c r="P1591" i="61"/>
  <c r="P1592" i="61"/>
  <c r="P1593" i="61"/>
  <c r="P1589" i="61"/>
  <c r="K1591" i="61"/>
  <c r="L1591" i="61"/>
  <c r="L1590" i="61"/>
  <c r="K1590" i="61"/>
  <c r="L1573" i="61"/>
  <c r="L1574" i="61"/>
  <c r="L1575" i="61"/>
  <c r="L1576" i="61"/>
  <c r="L1577" i="61"/>
  <c r="L1572" i="61"/>
  <c r="L1571" i="61"/>
  <c r="L1570" i="61"/>
  <c r="L1568" i="61"/>
  <c r="L1569" i="61"/>
  <c r="J1569" i="61"/>
  <c r="J1568" i="61"/>
  <c r="L1566" i="61"/>
  <c r="L1567" i="61"/>
  <c r="J1567" i="61"/>
  <c r="J1566" i="61"/>
  <c r="L1565" i="61"/>
  <c r="L1564" i="61"/>
  <c r="P1556" i="61"/>
  <c r="P1542" i="61"/>
  <c r="O1564" i="61"/>
  <c r="P1564" i="61"/>
  <c r="O1573" i="61"/>
  <c r="P1573" i="61"/>
  <c r="O1574" i="61"/>
  <c r="P1574" i="61"/>
  <c r="O1575" i="61"/>
  <c r="P1575" i="61"/>
  <c r="O1576" i="61"/>
  <c r="P1576" i="61"/>
  <c r="O1577" i="61"/>
  <c r="P1577" i="61"/>
  <c r="O1578" i="61"/>
  <c r="P1578" i="61"/>
  <c r="O1606" i="61"/>
  <c r="P1606" i="61"/>
  <c r="O1607" i="61"/>
  <c r="P1607" i="61"/>
  <c r="P1605" i="61"/>
  <c r="O1605" i="61"/>
  <c r="P1602" i="61"/>
  <c r="O1602" i="61"/>
  <c r="P1587" i="61"/>
  <c r="O1587" i="61"/>
  <c r="P1585" i="61"/>
  <c r="O1585" i="61"/>
  <c r="P1580" i="61"/>
  <c r="O1580" i="61"/>
  <c r="P1572" i="61"/>
  <c r="O1572" i="61"/>
  <c r="P1570" i="61"/>
  <c r="O1570" i="61"/>
  <c r="P1563" i="61"/>
  <c r="O1563" i="61"/>
  <c r="P1560" i="61"/>
  <c r="O1560" i="61"/>
  <c r="L1563" i="61"/>
  <c r="G1558" i="61"/>
  <c r="J1556" i="61"/>
  <c r="L1550" i="61"/>
  <c r="K1550" i="61"/>
  <c r="L1546" i="61"/>
  <c r="L1545" i="61"/>
  <c r="D1545" i="61"/>
  <c r="O1521" i="61"/>
  <c r="P1521" i="61"/>
  <c r="O1522" i="61"/>
  <c r="P1522" i="61"/>
  <c r="L1522" i="61"/>
  <c r="J1522" i="61"/>
  <c r="H1522" i="61"/>
  <c r="L1521" i="61"/>
  <c r="J1521" i="61"/>
  <c r="H1521" i="61"/>
  <c r="I1518" i="61"/>
  <c r="O1531" i="61"/>
  <c r="P1531" i="61"/>
  <c r="O1532" i="61"/>
  <c r="P1532" i="61"/>
  <c r="O1533" i="61"/>
  <c r="P1533" i="61"/>
  <c r="P1547" i="61"/>
  <c r="O1547" i="61"/>
  <c r="P1544" i="61"/>
  <c r="O1544" i="61"/>
  <c r="P1530" i="61"/>
  <c r="O1530" i="61"/>
  <c r="P1526" i="61"/>
  <c r="O1526" i="61"/>
  <c r="P1528" i="61"/>
  <c r="O1528" i="61"/>
  <c r="P1524" i="61"/>
  <c r="O1524" i="61"/>
  <c r="P1520" i="61"/>
  <c r="O1520" i="61"/>
  <c r="P1513" i="61"/>
  <c r="O1513" i="61"/>
  <c r="K1512" i="61"/>
  <c r="K1511" i="61"/>
  <c r="I1501" i="61"/>
  <c r="I1499" i="61"/>
  <c r="L1498" i="61"/>
  <c r="I1498" i="61"/>
  <c r="P1503" i="61"/>
  <c r="O1503" i="61"/>
  <c r="O1498" i="61"/>
  <c r="P1498" i="61"/>
  <c r="O1499" i="61"/>
  <c r="P1499" i="61"/>
  <c r="O1500" i="61"/>
  <c r="P1500" i="61"/>
  <c r="O1501" i="61"/>
  <c r="P1501" i="61"/>
  <c r="P1510" i="61"/>
  <c r="O1510" i="61"/>
  <c r="P1497" i="61"/>
  <c r="O1497" i="61"/>
  <c r="O1492" i="61"/>
  <c r="O1493" i="61"/>
  <c r="O1494" i="61"/>
  <c r="O1491" i="61"/>
  <c r="P1490" i="61"/>
  <c r="P1491" i="61"/>
  <c r="P1492" i="61"/>
  <c r="P1493" i="61"/>
  <c r="P1494" i="61"/>
  <c r="P1489" i="61"/>
  <c r="O1489" i="61"/>
  <c r="P1481" i="61"/>
  <c r="O1481" i="61"/>
  <c r="L1479" i="61"/>
  <c r="L1480" i="61"/>
  <c r="I1479" i="61"/>
  <c r="I1480" i="61"/>
  <c r="F1479" i="61"/>
  <c r="F1480" i="61"/>
  <c r="L1478" i="61"/>
  <c r="I1478" i="61"/>
  <c r="F1478" i="61"/>
  <c r="O1477" i="61"/>
  <c r="P1477" i="61"/>
  <c r="P1476" i="61"/>
  <c r="O1476" i="61"/>
  <c r="A1823" i="61"/>
  <c r="A1821" i="61"/>
  <c r="A1803" i="61"/>
  <c r="A1801" i="61"/>
  <c r="A1787" i="61"/>
  <c r="A1785" i="61"/>
  <c r="A1713" i="61"/>
  <c r="A1711" i="61"/>
  <c r="A1631" i="61"/>
  <c r="A1629" i="61"/>
  <c r="A1620" i="61"/>
  <c r="A1618" i="61"/>
  <c r="A1597" i="61"/>
  <c r="A1595" i="61"/>
  <c r="A1538" i="61"/>
  <c r="A1536" i="61"/>
  <c r="A1508" i="61"/>
  <c r="A1506" i="61"/>
  <c r="A1483" i="61"/>
  <c r="A1485" i="61"/>
  <c r="A1833" i="61"/>
  <c r="A1755" i="61"/>
  <c r="A1739" i="61"/>
  <c r="A1726" i="61"/>
  <c r="A1647" i="61"/>
  <c r="A1639" i="61"/>
  <c r="A1554" i="61"/>
  <c r="A1515" i="61"/>
  <c r="A1472" i="61"/>
  <c r="P1470" i="61"/>
  <c r="O1470" i="61"/>
  <c r="I1469" i="61"/>
  <c r="H1469" i="61"/>
  <c r="I1466" i="61"/>
  <c r="H1466" i="61"/>
  <c r="I1465" i="61"/>
  <c r="H1465" i="61"/>
  <c r="O1458" i="61"/>
  <c r="O1457" i="61"/>
  <c r="O1456" i="61"/>
  <c r="O1455" i="61"/>
  <c r="O1454" i="61"/>
  <c r="O1453" i="61"/>
  <c r="O1452" i="61"/>
  <c r="O1451" i="61"/>
  <c r="O1448" i="61"/>
  <c r="J1458" i="61"/>
  <c r="J1456" i="61"/>
  <c r="J1454" i="61"/>
  <c r="J1452" i="61"/>
  <c r="J1450" i="61"/>
  <c r="J1448" i="61"/>
  <c r="K1448" i="61"/>
  <c r="K1449" i="61"/>
  <c r="K1450" i="61"/>
  <c r="K1451" i="61"/>
  <c r="K1452" i="61"/>
  <c r="K1453" i="61"/>
  <c r="K1454" i="61"/>
  <c r="K1455" i="61"/>
  <c r="K1456" i="61"/>
  <c r="K1457" i="61"/>
  <c r="K1458" i="61"/>
  <c r="K1447" i="61"/>
  <c r="G1448" i="61"/>
  <c r="G1449" i="61"/>
  <c r="G1450" i="61"/>
  <c r="G1451" i="61"/>
  <c r="G1452" i="61"/>
  <c r="G1453" i="61"/>
  <c r="G1454" i="61"/>
  <c r="G1455" i="61"/>
  <c r="G1456" i="61"/>
  <c r="G1457" i="61"/>
  <c r="G1458" i="61"/>
  <c r="G1447" i="61"/>
  <c r="F1448" i="61"/>
  <c r="F1449" i="61"/>
  <c r="F1450" i="61"/>
  <c r="F1451" i="61"/>
  <c r="F1452" i="61"/>
  <c r="F1453" i="61"/>
  <c r="F1454" i="61"/>
  <c r="F1455" i="61"/>
  <c r="F1456" i="61"/>
  <c r="F1457" i="61"/>
  <c r="F1458" i="61"/>
  <c r="F1447" i="61"/>
  <c r="A1448" i="61"/>
  <c r="A1449" i="61"/>
  <c r="A1450" i="61"/>
  <c r="A1451" i="61"/>
  <c r="A1452" i="61"/>
  <c r="A1453" i="61"/>
  <c r="A1454" i="61"/>
  <c r="A1455" i="61"/>
  <c r="A1456" i="61"/>
  <c r="A1457" i="61"/>
  <c r="A1458" i="61"/>
  <c r="A1447" i="61"/>
  <c r="O1442" i="61"/>
  <c r="O1443" i="61"/>
  <c r="O1441" i="61"/>
  <c r="Q1151" i="61" l="1"/>
  <c r="Q1030" i="61"/>
  <c r="P1408" i="61"/>
  <c r="Q1408" i="61"/>
  <c r="P1409" i="61"/>
  <c r="Q1409" i="61"/>
  <c r="P1410" i="61"/>
  <c r="Q1410" i="61"/>
  <c r="P1411" i="61"/>
  <c r="Q1411" i="61"/>
  <c r="P1412" i="61"/>
  <c r="Q1412" i="61"/>
  <c r="P1413" i="61"/>
  <c r="Q1413" i="61"/>
  <c r="Q1407" i="61"/>
  <c r="P1407" i="61"/>
  <c r="N1399" i="61"/>
  <c r="O1398" i="61"/>
  <c r="N1398" i="61"/>
  <c r="H1399" i="61"/>
  <c r="G1399" i="61"/>
  <c r="H1398" i="61"/>
  <c r="G1398" i="61"/>
  <c r="O1395" i="61"/>
  <c r="N1395" i="61"/>
  <c r="O1394" i="61"/>
  <c r="N1394" i="61"/>
  <c r="H1396" i="61"/>
  <c r="H1394" i="61"/>
  <c r="G1395" i="61"/>
  <c r="H1395" i="61"/>
  <c r="G1396" i="61"/>
  <c r="G1394" i="61"/>
  <c r="P1392" i="61"/>
  <c r="Q1392" i="61"/>
  <c r="Q1391" i="61"/>
  <c r="P1391" i="61"/>
  <c r="Q1390" i="61"/>
  <c r="P1390" i="61"/>
  <c r="Q1388" i="61"/>
  <c r="P1388" i="61"/>
  <c r="Q1387" i="61"/>
  <c r="P1387" i="61"/>
  <c r="H1380" i="61"/>
  <c r="P1379" i="61"/>
  <c r="Q1379" i="61"/>
  <c r="P1380" i="61"/>
  <c r="Q1380" i="61"/>
  <c r="Q1378" i="61"/>
  <c r="P1378" i="61"/>
  <c r="Q1377" i="61"/>
  <c r="P1377" i="61"/>
  <c r="Q1376" i="61"/>
  <c r="P1376" i="61"/>
  <c r="Q1369" i="61"/>
  <c r="P1369" i="61"/>
  <c r="Q1368" i="61"/>
  <c r="P1368" i="61"/>
  <c r="Q1367" i="61"/>
  <c r="P1367" i="61"/>
  <c r="M1366" i="61"/>
  <c r="E1366" i="61"/>
  <c r="Q1351" i="61"/>
  <c r="K1351" i="61"/>
  <c r="P1354" i="61"/>
  <c r="Q1354" i="61"/>
  <c r="P1355" i="61"/>
  <c r="Q1355" i="61"/>
  <c r="P1356" i="61"/>
  <c r="Q1356" i="61"/>
  <c r="P1357" i="61"/>
  <c r="Q1357" i="61"/>
  <c r="P1358" i="61"/>
  <c r="Q1358" i="61"/>
  <c r="P1359" i="61"/>
  <c r="Q1359" i="61"/>
  <c r="Q1353" i="61"/>
  <c r="P1353" i="61"/>
  <c r="Q1352" i="61"/>
  <c r="P1352" i="61"/>
  <c r="P1344" i="61"/>
  <c r="Q1344" i="61"/>
  <c r="Q1343" i="61"/>
  <c r="P1343" i="61"/>
  <c r="Q1342" i="61"/>
  <c r="P1342" i="61"/>
  <c r="M1336" i="61"/>
  <c r="M1335" i="61"/>
  <c r="Q1334" i="61"/>
  <c r="P1334" i="61"/>
  <c r="Q1333" i="61"/>
  <c r="P1333" i="61"/>
  <c r="D1326" i="61"/>
  <c r="D1325" i="61"/>
  <c r="G1322" i="61"/>
  <c r="G1321" i="61"/>
  <c r="Q1326" i="61"/>
  <c r="P1326" i="61"/>
  <c r="Q1325" i="61"/>
  <c r="P1325" i="61"/>
  <c r="Q1322" i="61"/>
  <c r="P1322" i="61"/>
  <c r="Q1321" i="61"/>
  <c r="P1321" i="61"/>
  <c r="Q1319" i="61"/>
  <c r="P1319" i="61"/>
  <c r="Q1317" i="61"/>
  <c r="P1317" i="61"/>
  <c r="Q1316" i="61"/>
  <c r="P1316" i="61"/>
  <c r="Q1310" i="61"/>
  <c r="P1310" i="61"/>
  <c r="Q1309" i="61"/>
  <c r="P1309" i="61"/>
  <c r="Q1308" i="61"/>
  <c r="P1308" i="61"/>
  <c r="Q1307" i="61"/>
  <c r="P1307" i="61"/>
  <c r="P1301" i="61"/>
  <c r="Q1301" i="61"/>
  <c r="P1302" i="61"/>
  <c r="Q1302" i="61"/>
  <c r="P1303" i="61"/>
  <c r="Q1303" i="61"/>
  <c r="P1304" i="61"/>
  <c r="Q1304" i="61"/>
  <c r="P1305" i="61"/>
  <c r="Q1305" i="61"/>
  <c r="Q1300" i="61"/>
  <c r="P1300" i="61"/>
  <c r="Q1299" i="61"/>
  <c r="P1299" i="61"/>
  <c r="Q1292" i="61"/>
  <c r="P1292" i="61"/>
  <c r="Q1291" i="61"/>
  <c r="P1291" i="61"/>
  <c r="Q1284" i="61"/>
  <c r="P1284" i="61"/>
  <c r="Q1283" i="61"/>
  <c r="P1283" i="61"/>
  <c r="Q1275" i="61"/>
  <c r="P1275" i="61"/>
  <c r="Q1274" i="61"/>
  <c r="P1274" i="61"/>
  <c r="P1273" i="61"/>
  <c r="P1272" i="61"/>
  <c r="P1271" i="61"/>
  <c r="L1273" i="61"/>
  <c r="L1272" i="61"/>
  <c r="L1271" i="61"/>
  <c r="P1260" i="61"/>
  <c r="Q1260" i="61"/>
  <c r="P1261" i="61"/>
  <c r="Q1261" i="61"/>
  <c r="P1262" i="61"/>
  <c r="Q1262" i="61"/>
  <c r="P1263" i="61"/>
  <c r="Q1263" i="61"/>
  <c r="P1251" i="61"/>
  <c r="Q1251" i="61"/>
  <c r="P1252" i="61"/>
  <c r="Q1252" i="61"/>
  <c r="P1253" i="61"/>
  <c r="Q1253" i="61"/>
  <c r="P1254" i="61"/>
  <c r="Q1254" i="61"/>
  <c r="P1255" i="61"/>
  <c r="Q1255" i="61"/>
  <c r="P1256" i="61"/>
  <c r="Q1256" i="61"/>
  <c r="P1257" i="61"/>
  <c r="Q1257" i="61"/>
  <c r="L1248" i="61"/>
  <c r="L1247" i="61"/>
  <c r="Q1248" i="61"/>
  <c r="P1248" i="61"/>
  <c r="Q1247" i="61"/>
  <c r="P1247" i="61"/>
  <c r="J1247" i="61"/>
  <c r="J1248" i="61"/>
  <c r="I1248" i="61"/>
  <c r="I1247" i="61"/>
  <c r="D1248" i="61"/>
  <c r="D1247" i="61"/>
  <c r="Q1259" i="61"/>
  <c r="P1259" i="61"/>
  <c r="Q1250" i="61"/>
  <c r="P1250" i="61"/>
  <c r="Q1244" i="61"/>
  <c r="P1244" i="61"/>
  <c r="P1239" i="61"/>
  <c r="Q1239" i="61"/>
  <c r="Q1241" i="61"/>
  <c r="Q1242" i="61"/>
  <c r="Q1240" i="61"/>
  <c r="L1242" i="61"/>
  <c r="N1241" i="61"/>
  <c r="L1241" i="61"/>
  <c r="L1240" i="61"/>
  <c r="Q1238" i="61"/>
  <c r="P1238" i="61"/>
  <c r="Q1230" i="61"/>
  <c r="P1230" i="61"/>
  <c r="Q1229" i="61"/>
  <c r="P1229" i="61"/>
  <c r="Q1228" i="61"/>
  <c r="P1228" i="61"/>
  <c r="Q1227" i="61"/>
  <c r="P1227" i="61"/>
  <c r="Q1223" i="61"/>
  <c r="P1223" i="61"/>
  <c r="M1225" i="61"/>
  <c r="G1225" i="61"/>
  <c r="M1226" i="61"/>
  <c r="M1224" i="61"/>
  <c r="G1226" i="61"/>
  <c r="G1224" i="61"/>
  <c r="P1213" i="61"/>
  <c r="Q1213" i="61"/>
  <c r="P1214" i="61"/>
  <c r="Q1214" i="61"/>
  <c r="P1215" i="61"/>
  <c r="Q1215" i="61"/>
  <c r="K1215" i="61"/>
  <c r="K1214" i="61"/>
  <c r="K1204" i="61"/>
  <c r="K1203" i="61"/>
  <c r="P1169" i="61"/>
  <c r="N1169" i="61"/>
  <c r="Q1170" i="61"/>
  <c r="K1170" i="61"/>
  <c r="P1204" i="61"/>
  <c r="Q1204" i="61"/>
  <c r="P1188" i="61"/>
  <c r="Q1188" i="61"/>
  <c r="P1189" i="61"/>
  <c r="Q1189" i="61"/>
  <c r="P1190" i="61"/>
  <c r="Q1190" i="61"/>
  <c r="P1191" i="61"/>
  <c r="Q1191" i="61"/>
  <c r="P1192" i="61"/>
  <c r="Q1192" i="61"/>
  <c r="P1193" i="61"/>
  <c r="Q1193" i="61"/>
  <c r="P1194" i="61"/>
  <c r="Q1194" i="61"/>
  <c r="P1195" i="61"/>
  <c r="Q1195" i="61"/>
  <c r="P1196" i="61"/>
  <c r="Q1196" i="61"/>
  <c r="P1179" i="61"/>
  <c r="Q1179" i="61"/>
  <c r="P1180" i="61"/>
  <c r="Q1180" i="61"/>
  <c r="Q1212" i="61"/>
  <c r="P1212" i="61"/>
  <c r="Q1203" i="61"/>
  <c r="P1203" i="61"/>
  <c r="Q1187" i="61"/>
  <c r="P1187" i="61"/>
  <c r="Q1178" i="61"/>
  <c r="P1178" i="61"/>
  <c r="Q1171" i="61"/>
  <c r="P1171" i="61"/>
  <c r="Q1168" i="61"/>
  <c r="P1168" i="61"/>
  <c r="K1168" i="61"/>
  <c r="P1160" i="61"/>
  <c r="Q1160" i="61"/>
  <c r="Q1159" i="61"/>
  <c r="H1159" i="61"/>
  <c r="P1158" i="61"/>
  <c r="N1158" i="61"/>
  <c r="D1133" i="61"/>
  <c r="P1155" i="61"/>
  <c r="Q1155" i="61"/>
  <c r="P1156" i="61"/>
  <c r="Q1156" i="61"/>
  <c r="Q1141" i="61"/>
  <c r="P1141" i="61"/>
  <c r="Q1137" i="61"/>
  <c r="P1137" i="61"/>
  <c r="Q1131" i="61"/>
  <c r="P1131" i="61"/>
  <c r="Q1130" i="61"/>
  <c r="M1130" i="61"/>
  <c r="Q1127" i="61"/>
  <c r="M1127" i="61"/>
  <c r="Q1110" i="61"/>
  <c r="M1110" i="61"/>
  <c r="P1112" i="61"/>
  <c r="Q1112" i="61"/>
  <c r="P1113" i="61"/>
  <c r="Q1113" i="61"/>
  <c r="P1114" i="61"/>
  <c r="Q1114" i="61"/>
  <c r="P1115" i="61"/>
  <c r="Q1115" i="61"/>
  <c r="P1118" i="61"/>
  <c r="Q1118" i="61"/>
  <c r="P1119" i="61"/>
  <c r="Q1119" i="61"/>
  <c r="Q1129" i="61"/>
  <c r="P1129" i="61"/>
  <c r="Q1144" i="61"/>
  <c r="P1144" i="61"/>
  <c r="Q1143" i="61"/>
  <c r="P1143" i="61"/>
  <c r="Q1142" i="61"/>
  <c r="P1142" i="61"/>
  <c r="Q1140" i="61"/>
  <c r="P1140" i="61"/>
  <c r="Q1139" i="61"/>
  <c r="P1139" i="61"/>
  <c r="Q1138" i="61"/>
  <c r="P1138" i="61"/>
  <c r="P1136" i="61"/>
  <c r="Q1136" i="61"/>
  <c r="P1154" i="61"/>
  <c r="Q1154" i="61"/>
  <c r="P1147" i="61"/>
  <c r="Q1147" i="61"/>
  <c r="P1148" i="61"/>
  <c r="Q1148" i="61"/>
  <c r="L1147" i="61"/>
  <c r="M1147" i="61"/>
  <c r="L1148" i="61"/>
  <c r="M1148" i="61"/>
  <c r="L1149" i="61"/>
  <c r="M1149" i="61"/>
  <c r="F1147" i="61"/>
  <c r="G1147" i="61"/>
  <c r="F1148" i="61"/>
  <c r="G1148" i="61"/>
  <c r="F1149" i="61"/>
  <c r="G1149" i="61"/>
  <c r="Q1153" i="61"/>
  <c r="P1153" i="61"/>
  <c r="Q1146" i="61"/>
  <c r="P1146" i="61"/>
  <c r="M1146" i="61"/>
  <c r="L1146" i="61"/>
  <c r="G1146" i="61"/>
  <c r="F1146" i="61"/>
  <c r="Q1135" i="61"/>
  <c r="P1135" i="61"/>
  <c r="Q1128" i="61"/>
  <c r="P1128" i="61"/>
  <c r="Q1117" i="61"/>
  <c r="P1117" i="61"/>
  <c r="Q1111" i="61"/>
  <c r="P1111" i="61"/>
  <c r="Q1109" i="61"/>
  <c r="P1109" i="61"/>
  <c r="Q1108" i="61"/>
  <c r="P1108" i="61"/>
  <c r="Q1101" i="61"/>
  <c r="P1101" i="61"/>
  <c r="O1100" i="61"/>
  <c r="N1100" i="61"/>
  <c r="O1099" i="61"/>
  <c r="N1099" i="61"/>
  <c r="J1100" i="61"/>
  <c r="I1100" i="61"/>
  <c r="J1099" i="61"/>
  <c r="I1099" i="61"/>
  <c r="E1100" i="61"/>
  <c r="D1100" i="61"/>
  <c r="E1099" i="61"/>
  <c r="D1099" i="61"/>
  <c r="Q1094" i="61"/>
  <c r="Q1095" i="61"/>
  <c r="Q1096" i="61"/>
  <c r="Q1093" i="61"/>
  <c r="M1096" i="61"/>
  <c r="M1095" i="61"/>
  <c r="M1094" i="61"/>
  <c r="M1093" i="61"/>
  <c r="Q1087" i="61"/>
  <c r="L1087" i="61"/>
  <c r="J1083" i="61"/>
  <c r="J1084" i="61"/>
  <c r="J1085" i="61"/>
  <c r="J1082" i="61"/>
  <c r="P1080" i="61"/>
  <c r="K1089" i="61"/>
  <c r="A1089" i="61"/>
  <c r="K1076" i="61"/>
  <c r="A1076" i="61"/>
  <c r="K1072" i="61"/>
  <c r="A1072" i="61"/>
  <c r="P1052" i="61"/>
  <c r="A1165" i="61"/>
  <c r="A1162" i="61"/>
  <c r="A1235" i="61"/>
  <c r="A1232" i="61"/>
  <c r="A1423" i="61"/>
  <c r="A1421" i="61"/>
  <c r="A1417" i="61"/>
  <c r="A1415" i="61"/>
  <c r="A1403" i="61"/>
  <c r="A1401" i="61"/>
  <c r="A1384" i="61"/>
  <c r="A1382" i="61"/>
  <c r="A1373" i="61"/>
  <c r="A1371" i="61"/>
  <c r="A1363" i="61"/>
  <c r="A1361" i="61"/>
  <c r="A1348" i="61"/>
  <c r="A1346" i="61"/>
  <c r="A1340" i="61"/>
  <c r="A1338" i="61"/>
  <c r="A1331" i="61"/>
  <c r="A1329" i="61"/>
  <c r="A1314" i="61"/>
  <c r="A1312" i="61"/>
  <c r="A1296" i="61"/>
  <c r="A1294" i="61"/>
  <c r="A1288" i="61"/>
  <c r="A1286" i="61"/>
  <c r="A1279" i="61"/>
  <c r="A1277" i="61"/>
  <c r="A1267" i="61"/>
  <c r="A1265" i="61"/>
  <c r="A1219" i="61"/>
  <c r="A1217" i="61"/>
  <c r="A1208" i="61"/>
  <c r="A1206" i="61"/>
  <c r="A1200" i="61"/>
  <c r="A1198" i="61"/>
  <c r="A1184" i="61"/>
  <c r="A1182" i="61"/>
  <c r="A1175" i="61"/>
  <c r="A1173" i="61"/>
  <c r="A1123" i="61"/>
  <c r="A1121" i="61"/>
  <c r="A1105" i="61"/>
  <c r="A1103" i="61"/>
  <c r="A1035" i="61"/>
  <c r="A1033" i="61"/>
  <c r="Q1039" i="61"/>
  <c r="P1030" i="61"/>
  <c r="J1031" i="61"/>
  <c r="P1419" i="61"/>
  <c r="P1405" i="61"/>
  <c r="P1386" i="61"/>
  <c r="P1375" i="61"/>
  <c r="P1365" i="61"/>
  <c r="P1350" i="61"/>
  <c r="P1341" i="61"/>
  <c r="P1332" i="61"/>
  <c r="P1315" i="61"/>
  <c r="P1297" i="61"/>
  <c r="P1289" i="61"/>
  <c r="P1281" i="61"/>
  <c r="P1269" i="61"/>
  <c r="P1237" i="61"/>
  <c r="P1221" i="61"/>
  <c r="P1210" i="61"/>
  <c r="P1202" i="61"/>
  <c r="P1186" i="61"/>
  <c r="P1177" i="61"/>
  <c r="P1167" i="61"/>
  <c r="P1125" i="61"/>
  <c r="P1106" i="61"/>
  <c r="P1091" i="61"/>
  <c r="P1078" i="61"/>
  <c r="P1074" i="61"/>
  <c r="P1037" i="61"/>
  <c r="P1028" i="61"/>
  <c r="A1008" i="61"/>
  <c r="A1009" i="61"/>
  <c r="A1010" i="61"/>
  <c r="A1011" i="61"/>
  <c r="A1012" i="61"/>
  <c r="A1013" i="61"/>
  <c r="A1014" i="61"/>
  <c r="A1015" i="61"/>
  <c r="A1016" i="61"/>
  <c r="A1017" i="61"/>
  <c r="A1018" i="61"/>
  <c r="A1019" i="61"/>
  <c r="A1020" i="61"/>
  <c r="A1021" i="61"/>
  <c r="A1022" i="61"/>
  <c r="A1023" i="61"/>
  <c r="A1024" i="61"/>
  <c r="A1025" i="61"/>
  <c r="A1026" i="61"/>
  <c r="A1007" i="61"/>
  <c r="P1005" i="61"/>
  <c r="M960" i="61"/>
  <c r="M931" i="61"/>
  <c r="M902" i="61"/>
  <c r="G990" i="61"/>
  <c r="A990" i="61"/>
  <c r="F973" i="61"/>
  <c r="E973" i="61"/>
  <c r="D973" i="61"/>
  <c r="C973" i="61"/>
  <c r="B973" i="61"/>
  <c r="K944" i="61"/>
  <c r="J944" i="61"/>
  <c r="I944" i="61"/>
  <c r="H944" i="61"/>
  <c r="G944" i="61"/>
  <c r="F944" i="61"/>
  <c r="E944" i="61"/>
  <c r="D944" i="61"/>
  <c r="C944" i="61"/>
  <c r="B944" i="61"/>
  <c r="K915" i="61"/>
  <c r="J915" i="61"/>
  <c r="I915" i="61"/>
  <c r="H915" i="61"/>
  <c r="G915" i="61"/>
  <c r="F915" i="61"/>
  <c r="E915" i="61"/>
  <c r="D915" i="61"/>
  <c r="C915" i="61"/>
  <c r="B915" i="61"/>
  <c r="C886" i="61"/>
  <c r="D886" i="61"/>
  <c r="E886" i="61"/>
  <c r="F886" i="61"/>
  <c r="G886" i="61"/>
  <c r="H886" i="61"/>
  <c r="I886" i="61"/>
  <c r="J886" i="61"/>
  <c r="K886" i="61"/>
  <c r="B886" i="61"/>
  <c r="M873" i="61"/>
  <c r="M864" i="61"/>
  <c r="K868" i="61"/>
  <c r="K867" i="61"/>
  <c r="G868" i="61"/>
  <c r="G867" i="61"/>
  <c r="G864" i="61"/>
  <c r="B867" i="61"/>
  <c r="K853" i="61"/>
  <c r="A853" i="61"/>
  <c r="U837" i="61"/>
  <c r="U824" i="61"/>
  <c r="N827" i="61"/>
  <c r="P826" i="61"/>
  <c r="P827" i="61"/>
  <c r="I845" i="61"/>
  <c r="P825" i="61"/>
  <c r="I835" i="61"/>
  <c r="B848" i="61"/>
  <c r="B837" i="61"/>
  <c r="F842" i="61"/>
  <c r="F843" i="61"/>
  <c r="F844" i="61"/>
  <c r="F845" i="61"/>
  <c r="F846" i="61"/>
  <c r="F847" i="61"/>
  <c r="F848" i="61"/>
  <c r="K842" i="61"/>
  <c r="K843" i="61"/>
  <c r="K844" i="61"/>
  <c r="K845" i="61"/>
  <c r="K833" i="61"/>
  <c r="K834" i="61"/>
  <c r="K835" i="61"/>
  <c r="K826" i="61"/>
  <c r="F833" i="61"/>
  <c r="F834" i="61"/>
  <c r="F835" i="61"/>
  <c r="F836" i="61"/>
  <c r="F837" i="61"/>
  <c r="F826" i="61"/>
  <c r="F827" i="61"/>
  <c r="F828" i="61"/>
  <c r="B828" i="61"/>
  <c r="K841" i="61"/>
  <c r="K832" i="61"/>
  <c r="K825" i="61"/>
  <c r="F841" i="61"/>
  <c r="F832" i="61"/>
  <c r="F825" i="61"/>
  <c r="U818" i="61"/>
  <c r="U814" i="61"/>
  <c r="U809" i="61"/>
  <c r="U805" i="61"/>
  <c r="U800" i="61"/>
  <c r="U796" i="61"/>
  <c r="U791" i="61"/>
  <c r="U787" i="61"/>
  <c r="K819" i="61"/>
  <c r="J819" i="61"/>
  <c r="J820" i="61" s="1"/>
  <c r="I819" i="61"/>
  <c r="H819" i="61"/>
  <c r="G819" i="61"/>
  <c r="K818" i="61"/>
  <c r="K820" i="61" s="1"/>
  <c r="J818" i="61"/>
  <c r="I818" i="61"/>
  <c r="H818" i="61"/>
  <c r="G818" i="61"/>
  <c r="G820" i="61" s="1"/>
  <c r="K815" i="61"/>
  <c r="J815" i="61"/>
  <c r="I815" i="61"/>
  <c r="H815" i="61"/>
  <c r="H816" i="61" s="1"/>
  <c r="G815" i="61"/>
  <c r="K814" i="61"/>
  <c r="K816" i="61" s="1"/>
  <c r="J814" i="61"/>
  <c r="I814" i="61"/>
  <c r="I816" i="61" s="1"/>
  <c r="H814" i="61"/>
  <c r="G814" i="61"/>
  <c r="P810" i="61"/>
  <c r="O810" i="61"/>
  <c r="O811" i="61" s="1"/>
  <c r="N810" i="61"/>
  <c r="M810" i="61"/>
  <c r="L810" i="61"/>
  <c r="K810" i="61"/>
  <c r="J810" i="61"/>
  <c r="I810" i="61"/>
  <c r="H810" i="61"/>
  <c r="G810" i="61"/>
  <c r="P809" i="61"/>
  <c r="P811" i="61" s="1"/>
  <c r="O809" i="61"/>
  <c r="N809" i="61"/>
  <c r="M809" i="61"/>
  <c r="M811" i="61" s="1"/>
  <c r="L809" i="61"/>
  <c r="L811" i="61" s="1"/>
  <c r="K809" i="61"/>
  <c r="J809" i="61"/>
  <c r="I809" i="61"/>
  <c r="I811" i="61" s="1"/>
  <c r="H809" i="61"/>
  <c r="H811" i="61" s="1"/>
  <c r="G809" i="61"/>
  <c r="P806" i="61"/>
  <c r="O806" i="61"/>
  <c r="N806" i="61"/>
  <c r="M806" i="61"/>
  <c r="L806" i="61"/>
  <c r="K806" i="61"/>
  <c r="J806" i="61"/>
  <c r="I806" i="61"/>
  <c r="H806" i="61"/>
  <c r="G806" i="61"/>
  <c r="P805" i="61"/>
  <c r="O805" i="61"/>
  <c r="N805" i="61"/>
  <c r="M805" i="61"/>
  <c r="M807" i="61" s="1"/>
  <c r="L805" i="61"/>
  <c r="K805" i="61"/>
  <c r="J805" i="61"/>
  <c r="J807" i="61" s="1"/>
  <c r="I805" i="61"/>
  <c r="I807" i="61" s="1"/>
  <c r="H805" i="61"/>
  <c r="G805" i="61"/>
  <c r="P801" i="61"/>
  <c r="O801" i="61"/>
  <c r="N801" i="61"/>
  <c r="M801" i="61"/>
  <c r="L801" i="61"/>
  <c r="K801" i="61"/>
  <c r="J801" i="61"/>
  <c r="I801" i="61"/>
  <c r="H801" i="61"/>
  <c r="H802" i="61" s="1"/>
  <c r="G801" i="61"/>
  <c r="G802" i="61" s="1"/>
  <c r="P800" i="61"/>
  <c r="O800" i="61"/>
  <c r="N800" i="61"/>
  <c r="N802" i="61" s="1"/>
  <c r="M800" i="61"/>
  <c r="L800" i="61"/>
  <c r="K800" i="61"/>
  <c r="J800" i="61"/>
  <c r="J802" i="61" s="1"/>
  <c r="I800" i="61"/>
  <c r="H800" i="61"/>
  <c r="G800" i="61"/>
  <c r="P797" i="61"/>
  <c r="O797" i="61"/>
  <c r="N797" i="61"/>
  <c r="M797" i="61"/>
  <c r="L797" i="61"/>
  <c r="K797" i="61"/>
  <c r="J797" i="61"/>
  <c r="I797" i="61"/>
  <c r="H797" i="61"/>
  <c r="G797" i="61"/>
  <c r="P796" i="61"/>
  <c r="O796" i="61"/>
  <c r="N796" i="61"/>
  <c r="M796" i="61"/>
  <c r="M798" i="61" s="1"/>
  <c r="L796" i="61"/>
  <c r="K796" i="61"/>
  <c r="J796" i="61"/>
  <c r="I796" i="61"/>
  <c r="I798" i="61" s="1"/>
  <c r="H796" i="61"/>
  <c r="G796" i="61"/>
  <c r="P792" i="61"/>
  <c r="O792" i="61"/>
  <c r="N792" i="61"/>
  <c r="M792" i="61"/>
  <c r="L792" i="61"/>
  <c r="K792" i="61"/>
  <c r="J792" i="61"/>
  <c r="I792" i="61"/>
  <c r="H792" i="61"/>
  <c r="G792" i="61"/>
  <c r="P791" i="61"/>
  <c r="O791" i="61"/>
  <c r="N791" i="61"/>
  <c r="M791" i="61"/>
  <c r="L791" i="61"/>
  <c r="K791" i="61"/>
  <c r="J791" i="61"/>
  <c r="I791" i="61"/>
  <c r="H791" i="61"/>
  <c r="G791" i="61"/>
  <c r="G788" i="61"/>
  <c r="H788" i="61"/>
  <c r="I788" i="61"/>
  <c r="J788" i="61"/>
  <c r="K788" i="61"/>
  <c r="L788" i="61"/>
  <c r="M788" i="61"/>
  <c r="N788" i="61"/>
  <c r="N789" i="61" s="1"/>
  <c r="O788" i="61"/>
  <c r="P788" i="61"/>
  <c r="H787" i="61"/>
  <c r="I787" i="61"/>
  <c r="J787" i="61"/>
  <c r="K787" i="61"/>
  <c r="L787" i="61"/>
  <c r="M787" i="61"/>
  <c r="M789" i="61" s="1"/>
  <c r="N787" i="61"/>
  <c r="O787" i="61"/>
  <c r="P787" i="61"/>
  <c r="G787" i="61"/>
  <c r="C819" i="61"/>
  <c r="C815" i="61"/>
  <c r="C810" i="61"/>
  <c r="C806" i="61"/>
  <c r="C801" i="61"/>
  <c r="C797" i="61"/>
  <c r="C792" i="61"/>
  <c r="C788" i="61"/>
  <c r="U774" i="61"/>
  <c r="U765" i="61"/>
  <c r="U747" i="61"/>
  <c r="U733" i="61"/>
  <c r="U729" i="61"/>
  <c r="U725" i="61"/>
  <c r="U717" i="61"/>
  <c r="J743" i="61"/>
  <c r="K743" i="61"/>
  <c r="L743" i="61"/>
  <c r="M743" i="61"/>
  <c r="N743" i="61"/>
  <c r="K742" i="61"/>
  <c r="L742" i="61"/>
  <c r="M742" i="61"/>
  <c r="N742" i="61"/>
  <c r="J742" i="61"/>
  <c r="U671" i="61"/>
  <c r="S672" i="61"/>
  <c r="T672" i="61"/>
  <c r="S673" i="61"/>
  <c r="T673" i="61"/>
  <c r="S674" i="61"/>
  <c r="T674" i="61"/>
  <c r="S675" i="61"/>
  <c r="T675" i="61"/>
  <c r="S676" i="61"/>
  <c r="T676" i="61"/>
  <c r="S677" i="61"/>
  <c r="T677" i="61"/>
  <c r="S678" i="61"/>
  <c r="T678" i="61"/>
  <c r="S679" i="61"/>
  <c r="T679" i="61"/>
  <c r="S680" i="61"/>
  <c r="T680" i="61"/>
  <c r="S681" i="61"/>
  <c r="T681" i="61"/>
  <c r="S682" i="61"/>
  <c r="T682" i="61"/>
  <c r="S683" i="61"/>
  <c r="T683" i="61"/>
  <c r="S684" i="61"/>
  <c r="T684" i="61"/>
  <c r="S685" i="61"/>
  <c r="T685" i="61"/>
  <c r="S686" i="61"/>
  <c r="T686" i="61"/>
  <c r="S687" i="61"/>
  <c r="T687" i="61"/>
  <c r="S688" i="61"/>
  <c r="T688" i="61"/>
  <c r="S689" i="61"/>
  <c r="T689" i="61"/>
  <c r="S690" i="61"/>
  <c r="T690" i="61"/>
  <c r="S691" i="61"/>
  <c r="T691" i="61"/>
  <c r="S692" i="61"/>
  <c r="T692" i="61"/>
  <c r="S693" i="61"/>
  <c r="T693" i="61"/>
  <c r="S694" i="61"/>
  <c r="T694" i="61"/>
  <c r="S695" i="61"/>
  <c r="T695" i="61"/>
  <c r="S696" i="61"/>
  <c r="T696" i="61"/>
  <c r="S697" i="61"/>
  <c r="T697" i="61"/>
  <c r="S698" i="61"/>
  <c r="T698" i="61"/>
  <c r="S699" i="61"/>
  <c r="T699" i="61"/>
  <c r="S700" i="61"/>
  <c r="T700" i="61"/>
  <c r="S701" i="61"/>
  <c r="T701" i="61"/>
  <c r="S702" i="61"/>
  <c r="T702" i="61"/>
  <c r="S703" i="61"/>
  <c r="T703" i="61"/>
  <c r="S704" i="61"/>
  <c r="T704" i="61"/>
  <c r="S705" i="61"/>
  <c r="T705" i="61"/>
  <c r="S706" i="61"/>
  <c r="T706" i="61"/>
  <c r="S707" i="61"/>
  <c r="T707" i="61"/>
  <c r="S708" i="61"/>
  <c r="T708" i="61"/>
  <c r="T671" i="61"/>
  <c r="S671" i="61"/>
  <c r="M672" i="61"/>
  <c r="N672" i="61"/>
  <c r="O672" i="61"/>
  <c r="P672" i="61"/>
  <c r="M673" i="61"/>
  <c r="N673" i="61"/>
  <c r="O673" i="61"/>
  <c r="P673" i="61"/>
  <c r="M674" i="61"/>
  <c r="N674" i="61"/>
  <c r="O674" i="61"/>
  <c r="P674" i="61"/>
  <c r="M675" i="61"/>
  <c r="N675" i="61"/>
  <c r="O675" i="61"/>
  <c r="P675" i="61"/>
  <c r="M676" i="61"/>
  <c r="N676" i="61"/>
  <c r="O676" i="61"/>
  <c r="P676" i="61"/>
  <c r="M677" i="61"/>
  <c r="N677" i="61"/>
  <c r="GF677" i="61" s="1"/>
  <c r="O677" i="61"/>
  <c r="P677" i="61"/>
  <c r="M678" i="61"/>
  <c r="N678" i="61"/>
  <c r="O678" i="61"/>
  <c r="P678" i="61"/>
  <c r="M679" i="61"/>
  <c r="N679" i="61"/>
  <c r="O679" i="61"/>
  <c r="P679" i="61"/>
  <c r="M680" i="61"/>
  <c r="N680" i="61"/>
  <c r="O680" i="61"/>
  <c r="P680" i="61"/>
  <c r="M681" i="61"/>
  <c r="N681" i="61"/>
  <c r="O681" i="61"/>
  <c r="P681" i="61"/>
  <c r="M682" i="61"/>
  <c r="N682" i="61"/>
  <c r="O682" i="61"/>
  <c r="P682" i="61"/>
  <c r="M683" i="61"/>
  <c r="N683" i="61"/>
  <c r="O683" i="61"/>
  <c r="P683" i="61"/>
  <c r="M684" i="61"/>
  <c r="N684" i="61"/>
  <c r="O684" i="61"/>
  <c r="P684" i="61"/>
  <c r="M685" i="61"/>
  <c r="N685" i="61"/>
  <c r="O685" i="61"/>
  <c r="P685" i="61"/>
  <c r="M686" i="61"/>
  <c r="N686" i="61"/>
  <c r="O686" i="61"/>
  <c r="P686" i="61"/>
  <c r="M687" i="61"/>
  <c r="N687" i="61"/>
  <c r="O687" i="61"/>
  <c r="P687" i="61"/>
  <c r="M688" i="61"/>
  <c r="N688" i="61"/>
  <c r="O688" i="61"/>
  <c r="P688" i="61"/>
  <c r="M689" i="61"/>
  <c r="N689" i="61"/>
  <c r="O689" i="61"/>
  <c r="P689" i="61"/>
  <c r="M690" i="61"/>
  <c r="N690" i="61"/>
  <c r="O690" i="61"/>
  <c r="P690" i="61"/>
  <c r="M691" i="61"/>
  <c r="N691" i="61"/>
  <c r="O691" i="61"/>
  <c r="P691" i="61"/>
  <c r="M692" i="61"/>
  <c r="N692" i="61"/>
  <c r="O692" i="61"/>
  <c r="P692" i="61"/>
  <c r="M693" i="61"/>
  <c r="N693" i="61"/>
  <c r="O693" i="61"/>
  <c r="P693" i="61"/>
  <c r="M694" i="61"/>
  <c r="N694" i="61"/>
  <c r="O694" i="61"/>
  <c r="P694" i="61"/>
  <c r="M695" i="61"/>
  <c r="N695" i="61"/>
  <c r="O695" i="61"/>
  <c r="P695" i="61"/>
  <c r="M696" i="61"/>
  <c r="N696" i="61"/>
  <c r="O696" i="61"/>
  <c r="P696" i="61"/>
  <c r="M697" i="61"/>
  <c r="N697" i="61"/>
  <c r="O697" i="61"/>
  <c r="P697" i="61"/>
  <c r="M698" i="61"/>
  <c r="N698" i="61"/>
  <c r="O698" i="61"/>
  <c r="P698" i="61"/>
  <c r="M699" i="61"/>
  <c r="N699" i="61"/>
  <c r="O699" i="61"/>
  <c r="P699" i="61"/>
  <c r="M700" i="61"/>
  <c r="N700" i="61"/>
  <c r="O700" i="61"/>
  <c r="P700" i="61"/>
  <c r="M701" i="61"/>
  <c r="N701" i="61"/>
  <c r="O701" i="61"/>
  <c r="P701" i="61"/>
  <c r="M702" i="61"/>
  <c r="N702" i="61"/>
  <c r="O702" i="61"/>
  <c r="P702" i="61"/>
  <c r="M703" i="61"/>
  <c r="N703" i="61"/>
  <c r="O703" i="61"/>
  <c r="P703" i="61"/>
  <c r="M704" i="61"/>
  <c r="N704" i="61"/>
  <c r="O704" i="61"/>
  <c r="P704" i="61"/>
  <c r="M705" i="61"/>
  <c r="N705" i="61"/>
  <c r="O705" i="61"/>
  <c r="P705" i="61"/>
  <c r="M706" i="61"/>
  <c r="N706" i="61"/>
  <c r="O706" i="61"/>
  <c r="P706" i="61"/>
  <c r="M707" i="61"/>
  <c r="N707" i="61"/>
  <c r="O707" i="61"/>
  <c r="P707" i="61"/>
  <c r="M708" i="61"/>
  <c r="N708" i="61"/>
  <c r="O708" i="61"/>
  <c r="P708" i="61"/>
  <c r="B672" i="61"/>
  <c r="C672" i="61"/>
  <c r="D672" i="61"/>
  <c r="E672" i="61"/>
  <c r="F672" i="61"/>
  <c r="G672" i="61"/>
  <c r="H672" i="61"/>
  <c r="I672" i="61"/>
  <c r="J672" i="61"/>
  <c r="B673" i="61"/>
  <c r="C673" i="61"/>
  <c r="D673" i="61"/>
  <c r="E673" i="61"/>
  <c r="F673" i="61"/>
  <c r="G673" i="61"/>
  <c r="H673" i="61"/>
  <c r="I673" i="61"/>
  <c r="J673" i="61"/>
  <c r="B674" i="61"/>
  <c r="C674" i="61"/>
  <c r="D674" i="61"/>
  <c r="E674" i="61"/>
  <c r="F674" i="61"/>
  <c r="G674" i="61"/>
  <c r="H674" i="61"/>
  <c r="I674" i="61"/>
  <c r="J674" i="61"/>
  <c r="B675" i="61"/>
  <c r="C675" i="61"/>
  <c r="D675" i="61"/>
  <c r="E675" i="61"/>
  <c r="F675" i="61"/>
  <c r="G675" i="61"/>
  <c r="H675" i="61"/>
  <c r="I675" i="61"/>
  <c r="J675" i="61"/>
  <c r="B676" i="61"/>
  <c r="C676" i="61"/>
  <c r="D676" i="61"/>
  <c r="E676" i="61"/>
  <c r="F676" i="61"/>
  <c r="G676" i="61"/>
  <c r="H676" i="61"/>
  <c r="I676" i="61"/>
  <c r="J676" i="61"/>
  <c r="B677" i="61"/>
  <c r="C677" i="61"/>
  <c r="D677" i="61"/>
  <c r="E677" i="61"/>
  <c r="F677" i="61"/>
  <c r="G677" i="61"/>
  <c r="H677" i="61"/>
  <c r="I677" i="61"/>
  <c r="J677" i="61"/>
  <c r="B678" i="61"/>
  <c r="C678" i="61"/>
  <c r="D678" i="61"/>
  <c r="E678" i="61"/>
  <c r="F678" i="61"/>
  <c r="G678" i="61"/>
  <c r="H678" i="61"/>
  <c r="I678" i="61"/>
  <c r="J678" i="61"/>
  <c r="B679" i="61"/>
  <c r="C679" i="61"/>
  <c r="D679" i="61"/>
  <c r="E679" i="61"/>
  <c r="F679" i="61"/>
  <c r="G679" i="61"/>
  <c r="H679" i="61"/>
  <c r="I679" i="61"/>
  <c r="J679" i="61"/>
  <c r="B680" i="61"/>
  <c r="C680" i="61"/>
  <c r="D680" i="61"/>
  <c r="E680" i="61"/>
  <c r="F680" i="61"/>
  <c r="G680" i="61"/>
  <c r="H680" i="61"/>
  <c r="I680" i="61"/>
  <c r="J680" i="61"/>
  <c r="B681" i="61"/>
  <c r="C681" i="61"/>
  <c r="D681" i="61"/>
  <c r="E681" i="61"/>
  <c r="F681" i="61"/>
  <c r="G681" i="61"/>
  <c r="H681" i="61"/>
  <c r="I681" i="61"/>
  <c r="J681" i="61"/>
  <c r="B682" i="61"/>
  <c r="C682" i="61"/>
  <c r="D682" i="61"/>
  <c r="E682" i="61"/>
  <c r="F682" i="61"/>
  <c r="G682" i="61"/>
  <c r="H682" i="61"/>
  <c r="I682" i="61"/>
  <c r="J682" i="61"/>
  <c r="B683" i="61"/>
  <c r="C683" i="61"/>
  <c r="D683" i="61"/>
  <c r="E683" i="61"/>
  <c r="F683" i="61"/>
  <c r="G683" i="61"/>
  <c r="H683" i="61"/>
  <c r="I683" i="61"/>
  <c r="J683" i="61"/>
  <c r="B684" i="61"/>
  <c r="C684" i="61"/>
  <c r="D684" i="61"/>
  <c r="E684" i="61"/>
  <c r="F684" i="61"/>
  <c r="G684" i="61"/>
  <c r="H684" i="61"/>
  <c r="I684" i="61"/>
  <c r="J684" i="61"/>
  <c r="B685" i="61"/>
  <c r="C685" i="61"/>
  <c r="D685" i="61"/>
  <c r="E685" i="61"/>
  <c r="F685" i="61"/>
  <c r="G685" i="61"/>
  <c r="H685" i="61"/>
  <c r="I685" i="61"/>
  <c r="J685" i="61"/>
  <c r="B686" i="61"/>
  <c r="C686" i="61"/>
  <c r="D686" i="61"/>
  <c r="E686" i="61"/>
  <c r="F686" i="61"/>
  <c r="G686" i="61"/>
  <c r="H686" i="61"/>
  <c r="I686" i="61"/>
  <c r="J686" i="61"/>
  <c r="B687" i="61"/>
  <c r="C687" i="61"/>
  <c r="D687" i="61"/>
  <c r="E687" i="61"/>
  <c r="F687" i="61"/>
  <c r="G687" i="61"/>
  <c r="H687" i="61"/>
  <c r="I687" i="61"/>
  <c r="J687" i="61"/>
  <c r="B688" i="61"/>
  <c r="C688" i="61"/>
  <c r="D688" i="61"/>
  <c r="E688" i="61"/>
  <c r="F688" i="61"/>
  <c r="G688" i="61"/>
  <c r="H688" i="61"/>
  <c r="I688" i="61"/>
  <c r="J688" i="61"/>
  <c r="B689" i="61"/>
  <c r="C689" i="61"/>
  <c r="D689" i="61"/>
  <c r="E689" i="61"/>
  <c r="F689" i="61"/>
  <c r="G689" i="61"/>
  <c r="H689" i="61"/>
  <c r="I689" i="61"/>
  <c r="J689" i="61"/>
  <c r="B690" i="61"/>
  <c r="C690" i="61"/>
  <c r="D690" i="61"/>
  <c r="E690" i="61"/>
  <c r="F690" i="61"/>
  <c r="G690" i="61"/>
  <c r="H690" i="61"/>
  <c r="I690" i="61"/>
  <c r="J690" i="61"/>
  <c r="B691" i="61"/>
  <c r="C691" i="61"/>
  <c r="D691" i="61"/>
  <c r="E691" i="61"/>
  <c r="F691" i="61"/>
  <c r="G691" i="61"/>
  <c r="H691" i="61"/>
  <c r="I691" i="61"/>
  <c r="J691" i="61"/>
  <c r="B692" i="61"/>
  <c r="C692" i="61"/>
  <c r="D692" i="61"/>
  <c r="E692" i="61"/>
  <c r="F692" i="61"/>
  <c r="G692" i="61"/>
  <c r="H692" i="61"/>
  <c r="I692" i="61"/>
  <c r="J692" i="61"/>
  <c r="B693" i="61"/>
  <c r="C693" i="61"/>
  <c r="D693" i="61"/>
  <c r="E693" i="61"/>
  <c r="F693" i="61"/>
  <c r="G693" i="61"/>
  <c r="H693" i="61"/>
  <c r="I693" i="61"/>
  <c r="J693" i="61"/>
  <c r="B694" i="61"/>
  <c r="C694" i="61"/>
  <c r="D694" i="61"/>
  <c r="E694" i="61"/>
  <c r="F694" i="61"/>
  <c r="G694" i="61"/>
  <c r="H694" i="61"/>
  <c r="I694" i="61"/>
  <c r="J694" i="61"/>
  <c r="B695" i="61"/>
  <c r="C695" i="61"/>
  <c r="D695" i="61"/>
  <c r="E695" i="61"/>
  <c r="F695" i="61"/>
  <c r="G695" i="61"/>
  <c r="H695" i="61"/>
  <c r="I695" i="61"/>
  <c r="J695" i="61"/>
  <c r="B696" i="61"/>
  <c r="C696" i="61"/>
  <c r="D696" i="61"/>
  <c r="E696" i="61"/>
  <c r="F696" i="61"/>
  <c r="G696" i="61"/>
  <c r="H696" i="61"/>
  <c r="I696" i="61"/>
  <c r="J696" i="61"/>
  <c r="B697" i="61"/>
  <c r="C697" i="61"/>
  <c r="D697" i="61"/>
  <c r="E697" i="61"/>
  <c r="F697" i="61"/>
  <c r="G697" i="61"/>
  <c r="H697" i="61"/>
  <c r="I697" i="61"/>
  <c r="J697" i="61"/>
  <c r="B698" i="61"/>
  <c r="C698" i="61"/>
  <c r="D698" i="61"/>
  <c r="E698" i="61"/>
  <c r="F698" i="61"/>
  <c r="G698" i="61"/>
  <c r="H698" i="61"/>
  <c r="I698" i="61"/>
  <c r="J698" i="61"/>
  <c r="B699" i="61"/>
  <c r="C699" i="61"/>
  <c r="D699" i="61"/>
  <c r="E699" i="61"/>
  <c r="F699" i="61"/>
  <c r="G699" i="61"/>
  <c r="H699" i="61"/>
  <c r="I699" i="61"/>
  <c r="J699" i="61"/>
  <c r="B700" i="61"/>
  <c r="C700" i="61"/>
  <c r="D700" i="61"/>
  <c r="E700" i="61"/>
  <c r="F700" i="61"/>
  <c r="G700" i="61"/>
  <c r="H700" i="61"/>
  <c r="I700" i="61"/>
  <c r="J700" i="61"/>
  <c r="B701" i="61"/>
  <c r="C701" i="61"/>
  <c r="D701" i="61"/>
  <c r="E701" i="61"/>
  <c r="F701" i="61"/>
  <c r="G701" i="61"/>
  <c r="H701" i="61"/>
  <c r="I701" i="61"/>
  <c r="J701" i="61"/>
  <c r="B702" i="61"/>
  <c r="C702" i="61"/>
  <c r="D702" i="61"/>
  <c r="E702" i="61"/>
  <c r="F702" i="61"/>
  <c r="G702" i="61"/>
  <c r="H702" i="61"/>
  <c r="I702" i="61"/>
  <c r="J702" i="61"/>
  <c r="B703" i="61"/>
  <c r="C703" i="61"/>
  <c r="D703" i="61"/>
  <c r="E703" i="61"/>
  <c r="F703" i="61"/>
  <c r="G703" i="61"/>
  <c r="H703" i="61"/>
  <c r="I703" i="61"/>
  <c r="J703" i="61"/>
  <c r="B704" i="61"/>
  <c r="C704" i="61"/>
  <c r="D704" i="61"/>
  <c r="E704" i="61"/>
  <c r="F704" i="61"/>
  <c r="G704" i="61"/>
  <c r="H704" i="61"/>
  <c r="I704" i="61"/>
  <c r="J704" i="61"/>
  <c r="B705" i="61"/>
  <c r="C705" i="61"/>
  <c r="D705" i="61"/>
  <c r="E705" i="61"/>
  <c r="F705" i="61"/>
  <c r="G705" i="61"/>
  <c r="H705" i="61"/>
  <c r="I705" i="61"/>
  <c r="J705" i="61"/>
  <c r="B706" i="61"/>
  <c r="C706" i="61"/>
  <c r="D706" i="61"/>
  <c r="E706" i="61"/>
  <c r="F706" i="61"/>
  <c r="G706" i="61"/>
  <c r="H706" i="61"/>
  <c r="I706" i="61"/>
  <c r="J706" i="61"/>
  <c r="B707" i="61"/>
  <c r="C707" i="61"/>
  <c r="D707" i="61"/>
  <c r="E707" i="61"/>
  <c r="F707" i="61"/>
  <c r="G707" i="61"/>
  <c r="H707" i="61"/>
  <c r="I707" i="61"/>
  <c r="J707" i="61"/>
  <c r="B708" i="61"/>
  <c r="C708" i="61"/>
  <c r="D708" i="61"/>
  <c r="E708" i="61"/>
  <c r="F708" i="61"/>
  <c r="G708" i="61"/>
  <c r="H708" i="61"/>
  <c r="I708" i="61"/>
  <c r="J708" i="61"/>
  <c r="P671" i="61"/>
  <c r="O671" i="61"/>
  <c r="N671" i="61"/>
  <c r="M671" i="61"/>
  <c r="J671" i="61"/>
  <c r="I671" i="61"/>
  <c r="H671" i="61"/>
  <c r="G671" i="61"/>
  <c r="F671" i="61"/>
  <c r="E671" i="61"/>
  <c r="D671" i="61"/>
  <c r="C671" i="61"/>
  <c r="B671" i="61"/>
  <c r="F667" i="61"/>
  <c r="H666" i="61"/>
  <c r="B653" i="61"/>
  <c r="B650" i="61"/>
  <c r="M643" i="61"/>
  <c r="L643" i="61"/>
  <c r="K643" i="61"/>
  <c r="J643" i="61"/>
  <c r="I643" i="61"/>
  <c r="M642" i="61"/>
  <c r="L642" i="61"/>
  <c r="K642" i="61"/>
  <c r="J642" i="61"/>
  <c r="I642" i="61"/>
  <c r="M641" i="61"/>
  <c r="L641" i="61"/>
  <c r="K641" i="61"/>
  <c r="J641" i="61"/>
  <c r="I641" i="61"/>
  <c r="M640" i="61"/>
  <c r="L640" i="61"/>
  <c r="K640" i="61"/>
  <c r="J640" i="61"/>
  <c r="I640" i="61"/>
  <c r="M639" i="61"/>
  <c r="L639" i="61"/>
  <c r="K639" i="61"/>
  <c r="J639" i="61"/>
  <c r="I639" i="61"/>
  <c r="M638" i="61"/>
  <c r="L638" i="61"/>
  <c r="K638" i="61"/>
  <c r="J638" i="61"/>
  <c r="I638" i="61"/>
  <c r="M637" i="61"/>
  <c r="L637" i="61"/>
  <c r="K637" i="61"/>
  <c r="J637" i="61"/>
  <c r="I637" i="61"/>
  <c r="J622" i="61"/>
  <c r="K622" i="61"/>
  <c r="L622" i="61"/>
  <c r="M622" i="61"/>
  <c r="J623" i="61"/>
  <c r="K623" i="61"/>
  <c r="L623" i="61"/>
  <c r="M623" i="61"/>
  <c r="J624" i="61"/>
  <c r="K624" i="61"/>
  <c r="L624" i="61"/>
  <c r="M624" i="61"/>
  <c r="J625" i="61"/>
  <c r="K625" i="61"/>
  <c r="L625" i="61"/>
  <c r="M625" i="61"/>
  <c r="J626" i="61"/>
  <c r="K626" i="61"/>
  <c r="L626" i="61"/>
  <c r="M626" i="61"/>
  <c r="J627" i="61"/>
  <c r="K627" i="61"/>
  <c r="L627" i="61"/>
  <c r="M627" i="61"/>
  <c r="J628" i="61"/>
  <c r="K628" i="61"/>
  <c r="L628" i="61"/>
  <c r="M628" i="61"/>
  <c r="I623" i="61"/>
  <c r="I624" i="61"/>
  <c r="I625" i="61"/>
  <c r="I626" i="61"/>
  <c r="I627" i="61"/>
  <c r="I628" i="61"/>
  <c r="I622" i="61"/>
  <c r="G643" i="61"/>
  <c r="G642" i="61"/>
  <c r="G641" i="61"/>
  <c r="G640" i="61"/>
  <c r="G639" i="61"/>
  <c r="G638" i="61"/>
  <c r="G637" i="61"/>
  <c r="F643" i="61"/>
  <c r="F642" i="61"/>
  <c r="F641" i="61"/>
  <c r="F640" i="61"/>
  <c r="F639" i="61"/>
  <c r="F638" i="61"/>
  <c r="F637" i="61"/>
  <c r="G628" i="61"/>
  <c r="G627" i="61"/>
  <c r="G626" i="61"/>
  <c r="G625" i="61"/>
  <c r="G624" i="61"/>
  <c r="G623" i="61"/>
  <c r="G622" i="61"/>
  <c r="F623" i="61"/>
  <c r="F624" i="61"/>
  <c r="F625" i="61"/>
  <c r="F626" i="61"/>
  <c r="F627" i="61"/>
  <c r="F628" i="61"/>
  <c r="F622" i="61"/>
  <c r="L633" i="61"/>
  <c r="I633" i="61"/>
  <c r="I632" i="61"/>
  <c r="E642" i="61"/>
  <c r="E627" i="61"/>
  <c r="D640" i="61"/>
  <c r="D639" i="61"/>
  <c r="D637" i="61"/>
  <c r="D625" i="61"/>
  <c r="D624" i="61"/>
  <c r="D622" i="61"/>
  <c r="L618" i="61"/>
  <c r="I618" i="61"/>
  <c r="I617"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58" i="61" s="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S454" i="61"/>
  <c r="S448" i="61"/>
  <c r="M450" i="61"/>
  <c r="J454" i="61"/>
  <c r="G464" i="61"/>
  <c r="G458" i="61"/>
  <c r="G454" i="61"/>
  <c r="G448" i="61"/>
  <c r="C557" i="61"/>
  <c r="C553" i="61"/>
  <c r="A553" i="61" s="1"/>
  <c r="C539" i="61"/>
  <c r="C533" i="61"/>
  <c r="C532" i="61"/>
  <c r="U532" i="61" s="1"/>
  <c r="C519" i="61"/>
  <c r="C505" i="61"/>
  <c r="U505" i="61" s="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N99" i="61" s="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O55" i="61"/>
  <c r="P54" i="61"/>
  <c r="N54" i="61"/>
  <c r="O53" i="61"/>
  <c r="O52" i="61"/>
  <c r="P51" i="61"/>
  <c r="N51" i="61"/>
  <c r="O50" i="61"/>
  <c r="O49" i="61"/>
  <c r="J53" i="61"/>
  <c r="F50" i="61"/>
  <c r="F51" i="61"/>
  <c r="F52" i="61"/>
  <c r="F49" i="61"/>
  <c r="J44" i="61"/>
  <c r="J43" i="61"/>
  <c r="L44" i="61"/>
  <c r="O42" i="61"/>
  <c r="O43" i="61"/>
  <c r="O41" i="61"/>
  <c r="N40" i="61"/>
  <c r="F44" i="61"/>
  <c r="F43" i="61"/>
  <c r="F54" i="61"/>
  <c r="F53" i="61"/>
  <c r="F42" i="61"/>
  <c r="F41" i="61"/>
  <c r="F40" i="61"/>
  <c r="O36" i="61"/>
  <c r="O35" i="61"/>
  <c r="F35" i="61"/>
  <c r="O29" i="61"/>
  <c r="A5" i="61"/>
  <c r="A1876" i="61"/>
  <c r="A1874" i="61"/>
  <c r="P1838" i="61"/>
  <c r="P1837" i="61"/>
  <c r="P1836" i="61"/>
  <c r="M1835" i="61"/>
  <c r="J1818" i="61"/>
  <c r="I1818" i="61"/>
  <c r="M1816" i="61"/>
  <c r="H1815" i="61"/>
  <c r="M1814" i="61"/>
  <c r="K1814" i="61"/>
  <c r="O1799" i="61"/>
  <c r="M1799" i="61"/>
  <c r="O1798" i="61"/>
  <c r="M1798" i="61"/>
  <c r="O1797" i="61"/>
  <c r="M1797" i="61"/>
  <c r="J1794" i="61"/>
  <c r="L1783" i="61"/>
  <c r="L1782" i="61"/>
  <c r="L1774" i="61"/>
  <c r="L1768" i="61"/>
  <c r="L1743" i="61"/>
  <c r="R1741" i="61"/>
  <c r="P1725" i="61"/>
  <c r="L1715" i="61"/>
  <c r="I1715" i="61"/>
  <c r="L1709" i="61"/>
  <c r="I1709" i="61"/>
  <c r="L1697" i="61"/>
  <c r="G1697" i="61"/>
  <c r="L1696" i="61"/>
  <c r="I1696" i="61"/>
  <c r="L1680" i="61"/>
  <c r="L1678" i="61"/>
  <c r="L1676" i="61"/>
  <c r="L1672" i="61"/>
  <c r="D1672" i="61"/>
  <c r="N1670" i="61"/>
  <c r="L1670" i="61"/>
  <c r="N1663" i="61"/>
  <c r="L1663" i="61"/>
  <c r="M1658" i="61"/>
  <c r="L1658" i="61"/>
  <c r="J1658" i="61"/>
  <c r="G1658" i="61"/>
  <c r="F1658" i="61"/>
  <c r="C1658" i="61"/>
  <c r="M1657" i="61"/>
  <c r="L1657" i="61"/>
  <c r="J1657" i="61"/>
  <c r="G1657" i="61"/>
  <c r="F1657" i="61"/>
  <c r="C1657" i="61"/>
  <c r="M1656" i="61"/>
  <c r="L1656" i="61"/>
  <c r="J1656" i="61"/>
  <c r="G1656" i="61"/>
  <c r="F1656" i="61"/>
  <c r="C1656" i="61"/>
  <c r="M1655" i="61"/>
  <c r="L1655" i="61"/>
  <c r="J1655" i="61"/>
  <c r="G1655" i="61"/>
  <c r="F1655" i="61"/>
  <c r="C1655" i="61"/>
  <c r="G1654" i="61"/>
  <c r="F1654" i="61"/>
  <c r="C1654" i="61"/>
  <c r="G1653" i="61"/>
  <c r="F1653" i="61"/>
  <c r="C1653" i="61"/>
  <c r="G1652" i="61"/>
  <c r="F1652" i="61"/>
  <c r="C1652" i="61"/>
  <c r="H1649" i="61"/>
  <c r="G1649" i="61"/>
  <c r="I1642" i="61"/>
  <c r="S1627" i="61"/>
  <c r="R1627" i="61"/>
  <c r="S1626" i="61"/>
  <c r="R1626" i="61"/>
  <c r="S1625" i="61"/>
  <c r="R1625" i="61"/>
  <c r="S1624" i="61"/>
  <c r="R1624" i="61"/>
  <c r="K1614" i="61"/>
  <c r="L1601" i="61"/>
  <c r="J1601" i="61"/>
  <c r="J1600" i="61"/>
  <c r="S1593" i="61"/>
  <c r="S1592" i="61"/>
  <c r="S1591" i="61"/>
  <c r="S1590" i="61"/>
  <c r="S1589" i="61"/>
  <c r="L1581" i="61"/>
  <c r="M1545" i="61"/>
  <c r="Q1544" i="61"/>
  <c r="E1543" i="61"/>
  <c r="A1533" i="61"/>
  <c r="A1532" i="61"/>
  <c r="A1531" i="61"/>
  <c r="A1530" i="61"/>
  <c r="A1528" i="61"/>
  <c r="A1526" i="61"/>
  <c r="I1519" i="61"/>
  <c r="N1510" i="61"/>
  <c r="Q1503" i="61"/>
  <c r="Q1501" i="61"/>
  <c r="Q1500" i="61"/>
  <c r="Q1499" i="61"/>
  <c r="Q1498" i="61"/>
  <c r="Q1497" i="61"/>
  <c r="J1496" i="61"/>
  <c r="O1446" i="61"/>
  <c r="P1443" i="61" s="1"/>
  <c r="J1446" i="61"/>
  <c r="G1442" i="61" s="1"/>
  <c r="F1446" i="61"/>
  <c r="P1441" i="61" s="1"/>
  <c r="M1437" i="61"/>
  <c r="A1432" i="61"/>
  <c r="M1369" i="61"/>
  <c r="J1074" i="61"/>
  <c r="L1067" i="61"/>
  <c r="L1066" i="61"/>
  <c r="L1065" i="61"/>
  <c r="L1064" i="61"/>
  <c r="L1063" i="61"/>
  <c r="L1060" i="61"/>
  <c r="L1059" i="61"/>
  <c r="P1058" i="61"/>
  <c r="L1058" i="61"/>
  <c r="L1057" i="61"/>
  <c r="P1056" i="61"/>
  <c r="L1056" i="61"/>
  <c r="L1053" i="61"/>
  <c r="L1052" i="61"/>
  <c r="L1051" i="61"/>
  <c r="L1050" i="61"/>
  <c r="L1049" i="61"/>
  <c r="L1046" i="61"/>
  <c r="P1045" i="61"/>
  <c r="L1045" i="61"/>
  <c r="L1044" i="61"/>
  <c r="L1043" i="61"/>
  <c r="L1042" i="61"/>
  <c r="A1000" i="61"/>
  <c r="F966" i="61"/>
  <c r="E966" i="61"/>
  <c r="D966" i="61"/>
  <c r="C966" i="61"/>
  <c r="B966" i="61"/>
  <c r="F964" i="61"/>
  <c r="E964" i="61"/>
  <c r="D964" i="61"/>
  <c r="C964" i="61"/>
  <c r="B964" i="61"/>
  <c r="F963" i="61"/>
  <c r="E963" i="61"/>
  <c r="D963" i="61"/>
  <c r="C963" i="61"/>
  <c r="B963" i="61"/>
  <c r="K937" i="61"/>
  <c r="J937" i="61"/>
  <c r="I937" i="61"/>
  <c r="H937" i="61"/>
  <c r="G937" i="61"/>
  <c r="F937" i="61"/>
  <c r="E937" i="61"/>
  <c r="D937" i="61"/>
  <c r="C937" i="61"/>
  <c r="B937" i="61"/>
  <c r="K935" i="61"/>
  <c r="J935" i="61"/>
  <c r="I935" i="61"/>
  <c r="H935" i="61"/>
  <c r="G935" i="61"/>
  <c r="F935" i="61"/>
  <c r="E935" i="61"/>
  <c r="D935" i="61"/>
  <c r="C935" i="61"/>
  <c r="B935" i="61"/>
  <c r="K934" i="61"/>
  <c r="J934" i="61"/>
  <c r="I934" i="61"/>
  <c r="H934" i="61"/>
  <c r="G934" i="61"/>
  <c r="F934" i="61"/>
  <c r="E934" i="61"/>
  <c r="D934" i="61"/>
  <c r="C934" i="61"/>
  <c r="B934" i="61"/>
  <c r="A922" i="61"/>
  <c r="A951" i="61" s="1"/>
  <c r="A980" i="61" s="1"/>
  <c r="A914" i="61"/>
  <c r="A943" i="61" s="1"/>
  <c r="A972" i="61" s="1"/>
  <c r="A913" i="61"/>
  <c r="A942" i="61" s="1"/>
  <c r="A971" i="61" s="1"/>
  <c r="A912" i="61"/>
  <c r="A941" i="61" s="1"/>
  <c r="A970" i="61" s="1"/>
  <c r="A911" i="61"/>
  <c r="A940" i="61" s="1"/>
  <c r="A969" i="61" s="1"/>
  <c r="K908" i="61"/>
  <c r="J908" i="61"/>
  <c r="I908" i="61"/>
  <c r="H908" i="61"/>
  <c r="G908" i="61"/>
  <c r="F908" i="61"/>
  <c r="E908" i="61"/>
  <c r="D908" i="61"/>
  <c r="C908" i="61"/>
  <c r="B908" i="61"/>
  <c r="K906" i="61"/>
  <c r="J906" i="61"/>
  <c r="I906" i="61"/>
  <c r="H906" i="61"/>
  <c r="G906" i="61"/>
  <c r="F906" i="61"/>
  <c r="E906" i="61"/>
  <c r="D906" i="61"/>
  <c r="C906" i="61"/>
  <c r="B906" i="61"/>
  <c r="K905" i="61"/>
  <c r="J905" i="61"/>
  <c r="I905" i="61"/>
  <c r="H905" i="61"/>
  <c r="G905" i="61"/>
  <c r="F905" i="61"/>
  <c r="E905" i="61"/>
  <c r="D905" i="61"/>
  <c r="C905" i="61"/>
  <c r="B905" i="61"/>
  <c r="A892" i="61"/>
  <c r="A921" i="61" s="1"/>
  <c r="A950" i="61" s="1"/>
  <c r="A979" i="61" s="1"/>
  <c r="A891" i="61"/>
  <c r="A920" i="61" s="1"/>
  <c r="A949" i="61" s="1"/>
  <c r="A978" i="61" s="1"/>
  <c r="A890" i="61"/>
  <c r="A919" i="61" s="1"/>
  <c r="A948" i="61" s="1"/>
  <c r="A977" i="61" s="1"/>
  <c r="K879" i="61"/>
  <c r="J879" i="61"/>
  <c r="I879" i="61"/>
  <c r="H879" i="61"/>
  <c r="G879" i="61"/>
  <c r="F879" i="61"/>
  <c r="E879" i="61"/>
  <c r="D879" i="61"/>
  <c r="C879" i="61"/>
  <c r="B879" i="61"/>
  <c r="K877" i="61"/>
  <c r="J877" i="61"/>
  <c r="I877" i="61"/>
  <c r="H877" i="61"/>
  <c r="G877" i="61"/>
  <c r="F877" i="61"/>
  <c r="E877" i="61"/>
  <c r="D877" i="61"/>
  <c r="C877" i="61"/>
  <c r="B877" i="61"/>
  <c r="K876" i="61"/>
  <c r="J876" i="61"/>
  <c r="I876" i="61"/>
  <c r="H876" i="61"/>
  <c r="G876" i="61"/>
  <c r="F876" i="61"/>
  <c r="E876" i="61"/>
  <c r="D876" i="61"/>
  <c r="C876" i="61"/>
  <c r="B876" i="61"/>
  <c r="C872" i="61"/>
  <c r="D872" i="61" s="1"/>
  <c r="M870" i="61"/>
  <c r="K866" i="61"/>
  <c r="K864" i="61"/>
  <c r="M862" i="61"/>
  <c r="A860" i="61"/>
  <c r="M860" i="61" s="1"/>
  <c r="U822" i="61"/>
  <c r="H820" i="61"/>
  <c r="U817" i="61"/>
  <c r="J816" i="61"/>
  <c r="G816" i="61"/>
  <c r="U813" i="61"/>
  <c r="U808" i="61"/>
  <c r="P807" i="61"/>
  <c r="L807" i="61"/>
  <c r="H807" i="61"/>
  <c r="U804" i="61"/>
  <c r="O802" i="61"/>
  <c r="U799" i="61"/>
  <c r="P798" i="61"/>
  <c r="L798" i="61"/>
  <c r="H798" i="61"/>
  <c r="U795" i="61"/>
  <c r="N793" i="61"/>
  <c r="J793" i="61"/>
  <c r="U790" i="61"/>
  <c r="O789" i="61"/>
  <c r="J789" i="61"/>
  <c r="U786" i="61"/>
  <c r="U785" i="61"/>
  <c r="U783" i="61"/>
  <c r="U773" i="61"/>
  <c r="U764" i="61"/>
  <c r="U746" i="61"/>
  <c r="U732" i="61"/>
  <c r="U728" i="61"/>
  <c r="U724" i="61"/>
  <c r="U714" i="61"/>
  <c r="JR709" i="61"/>
  <c r="II708" i="61"/>
  <c r="IC708" i="61"/>
  <c r="IB708" i="61"/>
  <c r="HG708" i="61"/>
  <c r="HA708" i="61"/>
  <c r="GF708" i="61"/>
  <c r="GC708" i="61"/>
  <c r="FG708" i="61"/>
  <c r="FC708" i="61"/>
  <c r="CV708" i="61"/>
  <c r="CN708" i="61"/>
  <c r="CF708" i="61"/>
  <c r="BM708" i="61"/>
  <c r="BE708" i="61"/>
  <c r="AW708" i="61"/>
  <c r="AI708" i="61"/>
  <c r="X708" i="61"/>
  <c r="HJ707" i="61"/>
  <c r="FL707" i="61"/>
  <c r="DB707" i="61"/>
  <c r="CI707" i="61"/>
  <c r="AZ707" i="61"/>
  <c r="AB707" i="61"/>
  <c r="HI706" i="61"/>
  <c r="GW706" i="61"/>
  <c r="GA706" i="61"/>
  <c r="FM706" i="61"/>
  <c r="K706" i="61"/>
  <c r="L706" i="61" s="1"/>
  <c r="JP704" i="61"/>
  <c r="IF704" i="61"/>
  <c r="HT704" i="61"/>
  <c r="HQ704" i="61"/>
  <c r="GZ704" i="61"/>
  <c r="GY704" i="61"/>
  <c r="GI704" i="61"/>
  <c r="GE704" i="61"/>
  <c r="FO704" i="61"/>
  <c r="FM704" i="61"/>
  <c r="DY704" i="61"/>
  <c r="DC704" i="61"/>
  <c r="CS704" i="61"/>
  <c r="CQ704" i="61"/>
  <c r="CN704" i="61"/>
  <c r="CG704" i="61"/>
  <c r="CF704" i="61"/>
  <c r="CA704" i="61"/>
  <c r="BU704" i="61"/>
  <c r="BQ704" i="61"/>
  <c r="BM704" i="61"/>
  <c r="BG704" i="61"/>
  <c r="BE704" i="61"/>
  <c r="BC704" i="61"/>
  <c r="AV704" i="61"/>
  <c r="AR704" i="61"/>
  <c r="AO704" i="61"/>
  <c r="AJ704" i="61"/>
  <c r="AE704" i="61"/>
  <c r="AB704" i="61"/>
  <c r="IZ703" i="61"/>
  <c r="IM703" i="61"/>
  <c r="IG703" i="61"/>
  <c r="IE703" i="61"/>
  <c r="HW703" i="61"/>
  <c r="HT703" i="61"/>
  <c r="HA703" i="61"/>
  <c r="GJ703" i="61"/>
  <c r="GI703" i="61"/>
  <c r="FR703" i="61"/>
  <c r="FF703" i="61"/>
  <c r="FE703" i="61"/>
  <c r="EA703" i="61"/>
  <c r="DC703" i="61"/>
  <c r="CY703" i="61"/>
  <c r="CU703" i="61"/>
  <c r="CT703" i="61"/>
  <c r="CO703" i="61"/>
  <c r="CM703" i="61"/>
  <c r="CK703" i="61"/>
  <c r="CE703" i="61"/>
  <c r="CD703" i="61"/>
  <c r="BZ703" i="61"/>
  <c r="BW703" i="61"/>
  <c r="BS703" i="61"/>
  <c r="BR703" i="61"/>
  <c r="BM703" i="61"/>
  <c r="BJ703" i="61"/>
  <c r="BI703" i="61"/>
  <c r="BC703" i="61"/>
  <c r="BB703" i="61"/>
  <c r="AX703" i="61"/>
  <c r="AT703" i="61"/>
  <c r="AQ703" i="61"/>
  <c r="AO703" i="61"/>
  <c r="AI703" i="61"/>
  <c r="AH703" i="61"/>
  <c r="AG703" i="61"/>
  <c r="AA703" i="61"/>
  <c r="Y703" i="61"/>
  <c r="JO702" i="61"/>
  <c r="IC702" i="61"/>
  <c r="HT702" i="61"/>
  <c r="HN702" i="61"/>
  <c r="HE702" i="61"/>
  <c r="GZ702" i="61"/>
  <c r="GR702" i="61"/>
  <c r="GL702" i="61"/>
  <c r="GC702" i="61"/>
  <c r="FX702" i="61"/>
  <c r="FN702" i="61"/>
  <c r="FI702" i="61"/>
  <c r="FA702" i="61"/>
  <c r="CZ702" i="61"/>
  <c r="BX702" i="61"/>
  <c r="BV702" i="61"/>
  <c r="K702" i="61"/>
  <c r="L702" i="61" s="1"/>
  <c r="L701" i="61"/>
  <c r="K701" i="61"/>
  <c r="IR700" i="61"/>
  <c r="IM700" i="61"/>
  <c r="IL700" i="61"/>
  <c r="IF700" i="61"/>
  <c r="ID700" i="61"/>
  <c r="IB700" i="61"/>
  <c r="HW700" i="61"/>
  <c r="HN700" i="61"/>
  <c r="HH700" i="61"/>
  <c r="GZ700" i="61"/>
  <c r="GU700" i="61"/>
  <c r="GL700" i="61"/>
  <c r="GF700" i="61"/>
  <c r="FW700" i="61"/>
  <c r="FR700" i="61"/>
  <c r="FJ700" i="61"/>
  <c r="FD700" i="61"/>
  <c r="CZ700" i="61"/>
  <c r="CY700" i="61"/>
  <c r="CT700" i="61"/>
  <c r="CR700" i="61"/>
  <c r="CP700" i="61"/>
  <c r="CJ700" i="61"/>
  <c r="CI700" i="61"/>
  <c r="CE700" i="61"/>
  <c r="CB700" i="61"/>
  <c r="BX700" i="61"/>
  <c r="BW700" i="61"/>
  <c r="BR700" i="61"/>
  <c r="BO700" i="61"/>
  <c r="BN700" i="61"/>
  <c r="BH700" i="61"/>
  <c r="BG700" i="61"/>
  <c r="BC700" i="61"/>
  <c r="AY700" i="61"/>
  <c r="AV700" i="61"/>
  <c r="AT700" i="61"/>
  <c r="AN700" i="61"/>
  <c r="AM700" i="61"/>
  <c r="AL700" i="61"/>
  <c r="AF700" i="61"/>
  <c r="AD700" i="61"/>
  <c r="AA700" i="61"/>
  <c r="W700" i="61"/>
  <c r="IL699" i="61"/>
  <c r="IH699" i="61"/>
  <c r="ID699" i="61"/>
  <c r="IB699" i="61"/>
  <c r="HN699" i="61"/>
  <c r="HF699" i="61"/>
  <c r="GZ699" i="61"/>
  <c r="GL699" i="61"/>
  <c r="GB699" i="61"/>
  <c r="FW699" i="61"/>
  <c r="FJ699" i="61"/>
  <c r="EZ699" i="61"/>
  <c r="DS699" i="61"/>
  <c r="DC699" i="61"/>
  <c r="CX699" i="61"/>
  <c r="CU699" i="61"/>
  <c r="CR699" i="61"/>
  <c r="CN699" i="61"/>
  <c r="CJ699" i="61"/>
  <c r="CI699" i="61"/>
  <c r="CD699" i="61"/>
  <c r="CB699" i="61"/>
  <c r="BZ699" i="61"/>
  <c r="BT699" i="61"/>
  <c r="BS699" i="61"/>
  <c r="BO699" i="61"/>
  <c r="BL699" i="61"/>
  <c r="BH699" i="61"/>
  <c r="BG699" i="61"/>
  <c r="BB699" i="61"/>
  <c r="AY699" i="61"/>
  <c r="AX699" i="61"/>
  <c r="AR699" i="61"/>
  <c r="AQ699" i="61"/>
  <c r="AM699" i="61"/>
  <c r="AI699" i="61"/>
  <c r="AF699" i="61"/>
  <c r="AD699" i="61"/>
  <c r="X699" i="61"/>
  <c r="W699" i="61"/>
  <c r="HW698" i="61"/>
  <c r="HR698" i="61"/>
  <c r="HI698" i="61"/>
  <c r="HC698" i="61"/>
  <c r="GT698" i="61"/>
  <c r="GO698" i="61"/>
  <c r="GG698" i="61"/>
  <c r="GA698" i="61"/>
  <c r="FR698" i="61"/>
  <c r="FM698" i="61"/>
  <c r="FF698" i="61"/>
  <c r="FB698" i="61"/>
  <c r="CZ698" i="61"/>
  <c r="CY698" i="61"/>
  <c r="BX698" i="61"/>
  <c r="Z698" i="61"/>
  <c r="K698" i="61"/>
  <c r="L698" i="61" s="1"/>
  <c r="JQ696" i="61"/>
  <c r="IK696" i="61"/>
  <c r="IJ696" i="61"/>
  <c r="IG696" i="61"/>
  <c r="IE696" i="61"/>
  <c r="HY696" i="61"/>
  <c r="HU696" i="61"/>
  <c r="HO696" i="61"/>
  <c r="HK696" i="61"/>
  <c r="HD696" i="61"/>
  <c r="GZ696" i="61"/>
  <c r="GS696" i="61"/>
  <c r="GO696" i="61"/>
  <c r="GI696" i="61"/>
  <c r="GE696" i="61"/>
  <c r="FX696" i="61"/>
  <c r="FT696" i="61"/>
  <c r="FM696" i="61"/>
  <c r="FI696" i="61"/>
  <c r="FC696" i="61"/>
  <c r="EY696" i="61"/>
  <c r="EN696" i="61"/>
  <c r="DC696" i="61"/>
  <c r="DA696" i="61"/>
  <c r="CW696" i="61"/>
  <c r="CV696" i="61"/>
  <c r="CS696" i="61"/>
  <c r="CQ696" i="61"/>
  <c r="CN696" i="61"/>
  <c r="CM696" i="61"/>
  <c r="CI696" i="61"/>
  <c r="CG696" i="61"/>
  <c r="CF696" i="61"/>
  <c r="CB696" i="61"/>
  <c r="CA696" i="61"/>
  <c r="BX696" i="61"/>
  <c r="BU696" i="61"/>
  <c r="BS696" i="61"/>
  <c r="BQ696" i="61"/>
  <c r="BM696" i="61"/>
  <c r="BL696" i="61"/>
  <c r="BK696" i="61"/>
  <c r="BG696" i="61"/>
  <c r="BE696" i="61"/>
  <c r="BC696" i="61"/>
  <c r="AZ696" i="61"/>
  <c r="AW696" i="61"/>
  <c r="AV696" i="61"/>
  <c r="AR696" i="61"/>
  <c r="AQ696" i="61"/>
  <c r="AO696" i="61"/>
  <c r="AK696" i="61"/>
  <c r="AJ696" i="61"/>
  <c r="AG696" i="61"/>
  <c r="AE696" i="61"/>
  <c r="AB696" i="61"/>
  <c r="AA696" i="61"/>
  <c r="W696" i="61"/>
  <c r="IV695" i="61"/>
  <c r="IM695" i="61"/>
  <c r="IJ695" i="61"/>
  <c r="IG695" i="61"/>
  <c r="IF695" i="61"/>
  <c r="HY695" i="61"/>
  <c r="HU695" i="61"/>
  <c r="HO695" i="61"/>
  <c r="HD695" i="61"/>
  <c r="GZ695" i="61"/>
  <c r="GS695" i="61"/>
  <c r="GI695" i="61"/>
  <c r="GE695" i="61"/>
  <c r="FX695" i="61"/>
  <c r="FM695" i="61"/>
  <c r="FI695" i="61"/>
  <c r="FC695" i="61"/>
  <c r="EC695" i="61"/>
  <c r="DC695" i="61"/>
  <c r="DA695" i="61"/>
  <c r="CY695" i="61"/>
  <c r="CV695" i="61"/>
  <c r="CS695" i="61"/>
  <c r="CR695" i="61"/>
  <c r="CN695" i="61"/>
  <c r="CM695" i="61"/>
  <c r="CK695" i="61"/>
  <c r="CG695" i="61"/>
  <c r="CF695" i="61"/>
  <c r="CC695" i="61"/>
  <c r="CA695" i="61"/>
  <c r="BX695" i="61"/>
  <c r="BW695" i="61"/>
  <c r="BS695" i="61"/>
  <c r="BQ695" i="61"/>
  <c r="BP695" i="61"/>
  <c r="BL695" i="61"/>
  <c r="BK695" i="61"/>
  <c r="BH695" i="61"/>
  <c r="BE695" i="61"/>
  <c r="BC695" i="61"/>
  <c r="BA695" i="61"/>
  <c r="AW695" i="61"/>
  <c r="AV695" i="61"/>
  <c r="AU695" i="61"/>
  <c r="AQ695" i="61"/>
  <c r="AO695" i="61"/>
  <c r="AM695" i="61"/>
  <c r="AJ695" i="61"/>
  <c r="AG695" i="61"/>
  <c r="AF695" i="61"/>
  <c r="AB695" i="61"/>
  <c r="AA695" i="61"/>
  <c r="Y695" i="61"/>
  <c r="JN694" i="61"/>
  <c r="JD694" i="61"/>
  <c r="HY694" i="61"/>
  <c r="HU694" i="61"/>
  <c r="HN694" i="61"/>
  <c r="HJ694" i="61"/>
  <c r="HD694" i="61"/>
  <c r="GZ694" i="61"/>
  <c r="GS694" i="61"/>
  <c r="GO694" i="61"/>
  <c r="GH694" i="61"/>
  <c r="GD694" i="61"/>
  <c r="FX694" i="61"/>
  <c r="FT694" i="61"/>
  <c r="FM694" i="61"/>
  <c r="FI694" i="61"/>
  <c r="FB694" i="61"/>
  <c r="EX694" i="61"/>
  <c r="DB694" i="61"/>
  <c r="DA694" i="61"/>
  <c r="CZ694" i="61"/>
  <c r="BX694" i="61"/>
  <c r="BW694" i="61"/>
  <c r="BU694" i="61"/>
  <c r="K694" i="61"/>
  <c r="L694" i="61" s="1"/>
  <c r="K693" i="61"/>
  <c r="L693" i="61" s="1"/>
  <c r="JM692" i="61"/>
  <c r="JI692" i="61"/>
  <c r="IM692" i="61"/>
  <c r="II692" i="61"/>
  <c r="IH692" i="61"/>
  <c r="IG692" i="61"/>
  <c r="IA692" i="61"/>
  <c r="HW692" i="61"/>
  <c r="HQ692" i="61"/>
  <c r="HM692" i="61"/>
  <c r="HF692" i="61"/>
  <c r="HB692" i="61"/>
  <c r="GU692" i="61"/>
  <c r="GQ692" i="61"/>
  <c r="GK692" i="61"/>
  <c r="GG692" i="61"/>
  <c r="FZ692" i="61"/>
  <c r="FV692" i="61"/>
  <c r="FO692" i="61"/>
  <c r="FK692" i="61"/>
  <c r="FE692" i="61"/>
  <c r="FA692" i="61"/>
  <c r="EP692" i="61"/>
  <c r="DC692" i="61"/>
  <c r="DA692" i="61"/>
  <c r="CY692" i="61"/>
  <c r="CX692" i="61"/>
  <c r="CU692" i="61"/>
  <c r="CT692" i="61"/>
  <c r="CS692" i="61"/>
  <c r="CP692" i="61"/>
  <c r="CO692" i="61"/>
  <c r="CM692" i="61"/>
  <c r="CK692" i="61"/>
  <c r="CI692" i="61"/>
  <c r="CH692" i="61"/>
  <c r="CE692" i="61"/>
  <c r="CD692" i="61"/>
  <c r="CC692" i="61"/>
  <c r="BZ692" i="61"/>
  <c r="BY692" i="61"/>
  <c r="BW692" i="61"/>
  <c r="BU692" i="61"/>
  <c r="BS692" i="61"/>
  <c r="BR692" i="61"/>
  <c r="BO692" i="61"/>
  <c r="BN692" i="61"/>
  <c r="BM692" i="61"/>
  <c r="BJ692" i="61"/>
  <c r="BI692" i="61"/>
  <c r="BG692" i="61"/>
  <c r="BE692" i="61"/>
  <c r="BC692" i="61"/>
  <c r="BB692" i="61"/>
  <c r="AY692" i="61"/>
  <c r="AX692" i="61"/>
  <c r="AW692" i="61"/>
  <c r="AT692" i="61"/>
  <c r="AS692" i="61"/>
  <c r="AQ692" i="61"/>
  <c r="AO692" i="61"/>
  <c r="AM692" i="61"/>
  <c r="AL692" i="61"/>
  <c r="AI692" i="61"/>
  <c r="AH692" i="61"/>
  <c r="AG692" i="61"/>
  <c r="AD692" i="61"/>
  <c r="AC692" i="61"/>
  <c r="AA692" i="61"/>
  <c r="Y692" i="61"/>
  <c r="W692" i="61"/>
  <c r="IX691" i="61"/>
  <c r="IM691" i="61"/>
  <c r="IL691" i="61"/>
  <c r="II691" i="61"/>
  <c r="IH691" i="61"/>
  <c r="IG691" i="61"/>
  <c r="ID691" i="61"/>
  <c r="IA691" i="61"/>
  <c r="HW691" i="61"/>
  <c r="HQ691" i="61"/>
  <c r="HM691" i="61"/>
  <c r="HF691" i="61"/>
  <c r="HB691" i="61"/>
  <c r="GU691" i="61"/>
  <c r="GQ691" i="61"/>
  <c r="GK691" i="61"/>
  <c r="GG691" i="61"/>
  <c r="FZ691" i="61"/>
  <c r="FV691" i="61"/>
  <c r="FO691" i="61"/>
  <c r="FK691" i="61"/>
  <c r="FE691" i="61"/>
  <c r="FA691" i="61"/>
  <c r="DU691" i="61"/>
  <c r="DC691" i="61"/>
  <c r="DA691" i="61"/>
  <c r="CY691" i="61"/>
  <c r="CX691" i="61"/>
  <c r="CU691" i="61"/>
  <c r="CT691" i="61"/>
  <c r="CS691" i="61"/>
  <c r="CP691" i="61"/>
  <c r="CO691" i="61"/>
  <c r="CM691" i="61"/>
  <c r="CK691" i="61"/>
  <c r="CI691" i="61"/>
  <c r="CH691" i="61"/>
  <c r="CE691" i="61"/>
  <c r="CD691" i="61"/>
  <c r="CC691" i="61"/>
  <c r="BZ691" i="61"/>
  <c r="BY691" i="61"/>
  <c r="BW691" i="61"/>
  <c r="BU691" i="61"/>
  <c r="BS691" i="61"/>
  <c r="BR691" i="61"/>
  <c r="BO691" i="61"/>
  <c r="BN691" i="61"/>
  <c r="BM691" i="61"/>
  <c r="BJ691" i="61"/>
  <c r="BI691" i="61"/>
  <c r="BG691" i="61"/>
  <c r="BE691" i="61"/>
  <c r="BC691" i="61"/>
  <c r="BB691" i="61"/>
  <c r="AY691" i="61"/>
  <c r="AX691" i="61"/>
  <c r="AW691" i="61"/>
  <c r="AT691" i="61"/>
  <c r="AS691" i="61"/>
  <c r="AQ691" i="61"/>
  <c r="AO691" i="61"/>
  <c r="AM691" i="61"/>
  <c r="AL691" i="61"/>
  <c r="AI691" i="61"/>
  <c r="AH691" i="61"/>
  <c r="AG691" i="61"/>
  <c r="AD691" i="61"/>
  <c r="AC691" i="61"/>
  <c r="AA691" i="61"/>
  <c r="Y691" i="61"/>
  <c r="W691" i="61"/>
  <c r="IA690" i="61"/>
  <c r="HZ690" i="61"/>
  <c r="HP690" i="61"/>
  <c r="HO690" i="61"/>
  <c r="HG690" i="61"/>
  <c r="HF690" i="61"/>
  <c r="GZ690" i="61"/>
  <c r="GY690" i="61"/>
  <c r="GT690" i="61"/>
  <c r="GQ690" i="61"/>
  <c r="GL690" i="61"/>
  <c r="GJ690" i="61"/>
  <c r="GE690" i="61"/>
  <c r="GD690" i="61"/>
  <c r="FX690" i="61"/>
  <c r="FV690" i="61"/>
  <c r="FP690" i="61"/>
  <c r="FO690" i="61"/>
  <c r="FJ690" i="61"/>
  <c r="FH690" i="61"/>
  <c r="FC690" i="61"/>
  <c r="EZ690" i="61"/>
  <c r="DC690" i="61"/>
  <c r="DB690" i="61"/>
  <c r="CZ690" i="61"/>
  <c r="CD690" i="61"/>
  <c r="BX690" i="61"/>
  <c r="BW690" i="61"/>
  <c r="K690" i="61"/>
  <c r="L690" i="61" s="1"/>
  <c r="K689" i="61"/>
  <c r="L689" i="61" s="1"/>
  <c r="JO688" i="61"/>
  <c r="JM688" i="61"/>
  <c r="JF688" i="61"/>
  <c r="IL688" i="61"/>
  <c r="IK688" i="61"/>
  <c r="II688" i="61"/>
  <c r="IG688" i="61"/>
  <c r="IE688" i="61"/>
  <c r="ID688" i="61"/>
  <c r="HY688" i="61"/>
  <c r="HV688" i="61"/>
  <c r="HQ688" i="61"/>
  <c r="HO688" i="61"/>
  <c r="HJ688" i="61"/>
  <c r="HI688" i="61"/>
  <c r="HC688" i="61"/>
  <c r="HA688" i="61"/>
  <c r="GU688" i="61"/>
  <c r="GT688" i="61"/>
  <c r="GO688" i="61"/>
  <c r="GM688" i="61"/>
  <c r="GH688" i="61"/>
  <c r="GE688" i="61"/>
  <c r="FZ688" i="61"/>
  <c r="FY688" i="61"/>
  <c r="FS688" i="61"/>
  <c r="FR688" i="61"/>
  <c r="FM688" i="61"/>
  <c r="FJ688" i="61"/>
  <c r="FE688" i="61"/>
  <c r="FC688" i="61"/>
  <c r="EX688" i="61"/>
  <c r="EW688" i="61"/>
  <c r="DS688" i="61"/>
  <c r="DC688" i="61"/>
  <c r="DB688" i="61"/>
  <c r="DA688" i="61"/>
  <c r="CX688" i="61"/>
  <c r="CW688" i="61"/>
  <c r="CU688" i="61"/>
  <c r="CS688" i="61"/>
  <c r="CQ688" i="61"/>
  <c r="CP688" i="61"/>
  <c r="CM688" i="61"/>
  <c r="CL688" i="61"/>
  <c r="CK688" i="61"/>
  <c r="CH688" i="61"/>
  <c r="CG688" i="61"/>
  <c r="CE688" i="61"/>
  <c r="CC688" i="61"/>
  <c r="CA688" i="61"/>
  <c r="BZ688" i="61"/>
  <c r="BW688" i="61"/>
  <c r="BV688" i="61"/>
  <c r="BU688" i="61"/>
  <c r="BR688" i="61"/>
  <c r="BQ688" i="61"/>
  <c r="BO688" i="61"/>
  <c r="BM688" i="61"/>
  <c r="BK688" i="61"/>
  <c r="BJ688" i="61"/>
  <c r="BG688" i="61"/>
  <c r="BF688" i="61"/>
  <c r="BE688" i="61"/>
  <c r="BB688" i="61"/>
  <c r="BA688" i="61"/>
  <c r="AY688" i="61"/>
  <c r="AW688" i="61"/>
  <c r="AU688" i="61"/>
  <c r="AT688" i="61"/>
  <c r="AQ688" i="61"/>
  <c r="AP688" i="61"/>
  <c r="AO688" i="61"/>
  <c r="AL688" i="61"/>
  <c r="AK688" i="61"/>
  <c r="AI688" i="61"/>
  <c r="AG688" i="61"/>
  <c r="AE688" i="61"/>
  <c r="AD688" i="61"/>
  <c r="AA688" i="61"/>
  <c r="Z688" i="61"/>
  <c r="Y688" i="61"/>
  <c r="IP687" i="61"/>
  <c r="IL687" i="61"/>
  <c r="IK687" i="61"/>
  <c r="II687" i="61"/>
  <c r="IG687" i="61"/>
  <c r="IE687" i="61"/>
  <c r="ID687" i="61"/>
  <c r="IA687" i="61"/>
  <c r="HV687" i="61"/>
  <c r="HU687" i="61"/>
  <c r="HO687" i="61"/>
  <c r="HN687" i="61"/>
  <c r="HI687" i="61"/>
  <c r="HF687" i="61"/>
  <c r="HA687" i="61"/>
  <c r="GY687" i="61"/>
  <c r="GT687" i="61"/>
  <c r="GS687" i="61"/>
  <c r="GM687" i="61"/>
  <c r="GK687" i="61"/>
  <c r="GE687" i="61"/>
  <c r="GD687" i="61"/>
  <c r="FY687" i="61"/>
  <c r="FW687" i="61"/>
  <c r="FR687" i="61"/>
  <c r="FO687" i="61"/>
  <c r="FJ687" i="61"/>
  <c r="FI687" i="61"/>
  <c r="FC687" i="61"/>
  <c r="FB687" i="61"/>
  <c r="EW687" i="61"/>
  <c r="EM687" i="61"/>
  <c r="DK687" i="61"/>
  <c r="DC687" i="61"/>
  <c r="DB687" i="61"/>
  <c r="DA687" i="61"/>
  <c r="CX687" i="61"/>
  <c r="CW687" i="61"/>
  <c r="CU687" i="61"/>
  <c r="CS687" i="61"/>
  <c r="CQ687" i="61"/>
  <c r="CP687" i="61"/>
  <c r="CM687" i="61"/>
  <c r="CL687" i="61"/>
  <c r="CK687" i="61"/>
  <c r="CH687" i="61"/>
  <c r="CG687" i="61"/>
  <c r="CE687" i="61"/>
  <c r="CC687" i="61"/>
  <c r="CA687" i="61"/>
  <c r="BZ687" i="61"/>
  <c r="BW687" i="61"/>
  <c r="BV687" i="61"/>
  <c r="BU687" i="61"/>
  <c r="BR687" i="61"/>
  <c r="BQ687" i="61"/>
  <c r="BO687" i="61"/>
  <c r="BM687" i="61"/>
  <c r="BL687" i="61"/>
  <c r="BK687" i="61"/>
  <c r="BI687" i="61"/>
  <c r="BH687" i="61"/>
  <c r="BG687" i="61"/>
  <c r="BE687" i="61"/>
  <c r="BD687" i="61"/>
  <c r="BC687" i="61"/>
  <c r="BA687" i="61"/>
  <c r="AZ687" i="61"/>
  <c r="AY687" i="61"/>
  <c r="AW687" i="61"/>
  <c r="AV687" i="61"/>
  <c r="AU687" i="61"/>
  <c r="AS687" i="61"/>
  <c r="AR687" i="61"/>
  <c r="AQ687" i="61"/>
  <c r="AO687" i="61"/>
  <c r="AN687" i="61"/>
  <c r="AM687" i="61"/>
  <c r="AK687" i="61"/>
  <c r="AJ687" i="61"/>
  <c r="AI687" i="61"/>
  <c r="AG687" i="61"/>
  <c r="AF687" i="61"/>
  <c r="AE687" i="61"/>
  <c r="AC687" i="61"/>
  <c r="AB687" i="61"/>
  <c r="AA687" i="61"/>
  <c r="Y687" i="61"/>
  <c r="X687" i="61"/>
  <c r="W687" i="61"/>
  <c r="JQ686" i="61"/>
  <c r="JP686" i="61"/>
  <c r="JJ686" i="61"/>
  <c r="IC686" i="61"/>
  <c r="IB686" i="61"/>
  <c r="HX686" i="61"/>
  <c r="HV686" i="61"/>
  <c r="HR686" i="61"/>
  <c r="HQ686" i="61"/>
  <c r="HM686" i="61"/>
  <c r="HL686" i="61"/>
  <c r="HH686" i="61"/>
  <c r="HF686" i="61"/>
  <c r="HB686" i="61"/>
  <c r="HA686" i="61"/>
  <c r="GW686" i="61"/>
  <c r="GV686" i="61"/>
  <c r="GR686" i="61"/>
  <c r="GP686" i="61"/>
  <c r="GL686" i="61"/>
  <c r="GK686" i="61"/>
  <c r="GG686" i="61"/>
  <c r="GF686" i="61"/>
  <c r="GB686" i="61"/>
  <c r="FZ686" i="61"/>
  <c r="FV686" i="61"/>
  <c r="FU686" i="61"/>
  <c r="FQ686" i="61"/>
  <c r="FP686" i="61"/>
  <c r="FL686" i="61"/>
  <c r="FJ686" i="61"/>
  <c r="FF686" i="61"/>
  <c r="FE686" i="61"/>
  <c r="FA686" i="61"/>
  <c r="EZ686" i="61"/>
  <c r="DB686" i="61"/>
  <c r="DA686" i="61"/>
  <c r="CZ686" i="61"/>
  <c r="BY686" i="61"/>
  <c r="BX686" i="61"/>
  <c r="BV686" i="61"/>
  <c r="BU686" i="61"/>
  <c r="BD686" i="61"/>
  <c r="K686" i="61"/>
  <c r="L686" i="61" s="1"/>
  <c r="BA685" i="61"/>
  <c r="L685" i="61"/>
  <c r="K685" i="61"/>
  <c r="JN684" i="61"/>
  <c r="JM684" i="61"/>
  <c r="IQ684" i="61"/>
  <c r="IM684" i="61"/>
  <c r="IL684" i="61"/>
  <c r="IK684" i="61"/>
  <c r="II684" i="61"/>
  <c r="IH684" i="61"/>
  <c r="IG684" i="61"/>
  <c r="IE684" i="61"/>
  <c r="ID684" i="61"/>
  <c r="IC684" i="61"/>
  <c r="IA684" i="61"/>
  <c r="HW684" i="61"/>
  <c r="HV684" i="61"/>
  <c r="HR684" i="61"/>
  <c r="HQ684" i="61"/>
  <c r="HM684" i="61"/>
  <c r="HK684" i="61"/>
  <c r="HG684" i="61"/>
  <c r="HF684" i="61"/>
  <c r="HB684" i="61"/>
  <c r="HA684" i="61"/>
  <c r="GW684" i="61"/>
  <c r="GU684" i="61"/>
  <c r="GQ684" i="61"/>
  <c r="GP684" i="61"/>
  <c r="GL684" i="61"/>
  <c r="GK684" i="61"/>
  <c r="GG684" i="61"/>
  <c r="GE684" i="61"/>
  <c r="GA684" i="61"/>
  <c r="FZ684" i="61"/>
  <c r="FV684" i="61"/>
  <c r="FU684" i="61"/>
  <c r="FQ684" i="61"/>
  <c r="FO684" i="61"/>
  <c r="FK684" i="61"/>
  <c r="FJ684" i="61"/>
  <c r="FF684" i="61"/>
  <c r="FE684" i="61"/>
  <c r="FA684" i="61"/>
  <c r="EY684" i="61"/>
  <c r="ED684" i="61"/>
  <c r="DI684" i="61"/>
  <c r="DC684" i="61"/>
  <c r="DB684" i="61"/>
  <c r="DA684" i="61"/>
  <c r="CY684" i="61"/>
  <c r="CX684" i="61"/>
  <c r="CW684" i="61"/>
  <c r="CU684" i="61"/>
  <c r="CT684" i="61"/>
  <c r="CS684" i="61"/>
  <c r="CQ684" i="61"/>
  <c r="CP684" i="61"/>
  <c r="CO684" i="61"/>
  <c r="CM684" i="61"/>
  <c r="CL684" i="61"/>
  <c r="CK684" i="61"/>
  <c r="CI684" i="61"/>
  <c r="CH684" i="61"/>
  <c r="CG684" i="61"/>
  <c r="CE684" i="61"/>
  <c r="CD684" i="61"/>
  <c r="CC684" i="61"/>
  <c r="CA684" i="61"/>
  <c r="BZ684" i="61"/>
  <c r="BY684" i="61"/>
  <c r="BW684" i="61"/>
  <c r="BV684" i="61"/>
  <c r="BU684" i="61"/>
  <c r="BS684" i="61"/>
  <c r="BR684" i="61"/>
  <c r="BQ684" i="61"/>
  <c r="BO684" i="61"/>
  <c r="BN684" i="61"/>
  <c r="BM684" i="61"/>
  <c r="BK684" i="61"/>
  <c r="BJ684" i="61"/>
  <c r="BI684" i="61"/>
  <c r="BG684" i="61"/>
  <c r="BF684" i="61"/>
  <c r="BE684" i="61"/>
  <c r="BC684" i="61"/>
  <c r="BB684" i="61"/>
  <c r="BA684" i="61"/>
  <c r="AY684" i="61"/>
  <c r="AX684" i="61"/>
  <c r="AW684" i="61"/>
  <c r="AU684" i="61"/>
  <c r="AT684" i="61"/>
  <c r="AS684" i="61"/>
  <c r="AQ684" i="61"/>
  <c r="AP684" i="61"/>
  <c r="AO684" i="61"/>
  <c r="AM684" i="61"/>
  <c r="AL684" i="61"/>
  <c r="AK684" i="61"/>
  <c r="AI684" i="61"/>
  <c r="AH684" i="61"/>
  <c r="AG684" i="61"/>
  <c r="AE684" i="61"/>
  <c r="AD684" i="61"/>
  <c r="AC684" i="61"/>
  <c r="AA684" i="61"/>
  <c r="Z684" i="61"/>
  <c r="Y684" i="61"/>
  <c r="W684" i="61"/>
  <c r="IM683" i="61"/>
  <c r="IL683" i="61"/>
  <c r="IK683" i="61"/>
  <c r="II683" i="61"/>
  <c r="IH683" i="61"/>
  <c r="IG683" i="61"/>
  <c r="IE683" i="61"/>
  <c r="ID683" i="61"/>
  <c r="IC683" i="61"/>
  <c r="IA683" i="61"/>
  <c r="HW683" i="61"/>
  <c r="HV683" i="61"/>
  <c r="HR683" i="61"/>
  <c r="HQ683" i="61"/>
  <c r="HM683" i="61"/>
  <c r="HK683" i="61"/>
  <c r="HG683" i="61"/>
  <c r="HF683" i="61"/>
  <c r="HB683" i="61"/>
  <c r="HA683" i="61"/>
  <c r="GW683" i="61"/>
  <c r="GU683" i="61"/>
  <c r="GQ683" i="61"/>
  <c r="GP683" i="61"/>
  <c r="GL683" i="61"/>
  <c r="GK683" i="61"/>
  <c r="GG683" i="61"/>
  <c r="GE683" i="61"/>
  <c r="GA683" i="61"/>
  <c r="FZ683" i="61"/>
  <c r="FV683" i="61"/>
  <c r="FU683" i="61"/>
  <c r="FQ683" i="61"/>
  <c r="FO683" i="61"/>
  <c r="FK683" i="61"/>
  <c r="FJ683" i="61"/>
  <c r="FF683" i="61"/>
  <c r="FE683" i="61"/>
  <c r="FA683" i="61"/>
  <c r="EY683" i="61"/>
  <c r="ET683" i="61"/>
  <c r="DY683" i="61"/>
  <c r="DC683" i="61"/>
  <c r="DB683" i="61"/>
  <c r="DA683" i="61"/>
  <c r="CY683" i="61"/>
  <c r="CX683" i="61"/>
  <c r="CW683" i="61"/>
  <c r="CU683" i="61"/>
  <c r="CT683" i="61"/>
  <c r="CS683" i="61"/>
  <c r="CQ683" i="61"/>
  <c r="CP683" i="61"/>
  <c r="CO683" i="61"/>
  <c r="CM683" i="61"/>
  <c r="CL683" i="61"/>
  <c r="CK683" i="61"/>
  <c r="CI683" i="61"/>
  <c r="CH683" i="61"/>
  <c r="CG683" i="61"/>
  <c r="CE683" i="61"/>
  <c r="CD683" i="61"/>
  <c r="CC683" i="61"/>
  <c r="CA683" i="61"/>
  <c r="BZ683" i="61"/>
  <c r="BY683" i="61"/>
  <c r="BW683" i="61"/>
  <c r="BV683" i="61"/>
  <c r="BU683" i="61"/>
  <c r="BS683" i="61"/>
  <c r="BR683" i="61"/>
  <c r="BQ683" i="61"/>
  <c r="BO683" i="61"/>
  <c r="BN683" i="61"/>
  <c r="BM683" i="61"/>
  <c r="BK683" i="61"/>
  <c r="BJ683" i="61"/>
  <c r="BI683" i="61"/>
  <c r="BG683" i="61"/>
  <c r="BF683" i="61"/>
  <c r="BE683" i="61"/>
  <c r="BC683" i="61"/>
  <c r="BB683" i="61"/>
  <c r="BA683" i="61"/>
  <c r="AY683" i="61"/>
  <c r="AX683" i="61"/>
  <c r="AW683" i="61"/>
  <c r="AU683" i="61"/>
  <c r="AT683" i="61"/>
  <c r="AS683" i="61"/>
  <c r="AQ683" i="61"/>
  <c r="AP683" i="61"/>
  <c r="AO683" i="61"/>
  <c r="AM683" i="61"/>
  <c r="AL683" i="61"/>
  <c r="AK683" i="61"/>
  <c r="AI683" i="61"/>
  <c r="AH683" i="61"/>
  <c r="AG683" i="61"/>
  <c r="AE683" i="61"/>
  <c r="AD683" i="61"/>
  <c r="AC683" i="61"/>
  <c r="AA683" i="61"/>
  <c r="Z683" i="61"/>
  <c r="Y683" i="61"/>
  <c r="W683" i="61"/>
  <c r="JN682" i="61"/>
  <c r="JM682" i="61"/>
  <c r="IV682" i="61"/>
  <c r="HZ682" i="61"/>
  <c r="HY682" i="61"/>
  <c r="HU682" i="61"/>
  <c r="HS682" i="61"/>
  <c r="HO682" i="61"/>
  <c r="HN682" i="61"/>
  <c r="HJ682" i="61"/>
  <c r="HI682" i="61"/>
  <c r="HE682" i="61"/>
  <c r="HC682" i="61"/>
  <c r="GY682" i="61"/>
  <c r="GX682" i="61"/>
  <c r="GT682" i="61"/>
  <c r="GS682" i="61"/>
  <c r="GO682" i="61"/>
  <c r="GM682" i="61"/>
  <c r="GI682" i="61"/>
  <c r="GH682" i="61"/>
  <c r="GD682" i="61"/>
  <c r="GC682" i="61"/>
  <c r="FY682" i="61"/>
  <c r="FW682" i="61"/>
  <c r="FS682" i="61"/>
  <c r="FR682" i="61"/>
  <c r="FN682" i="61"/>
  <c r="FM682" i="61"/>
  <c r="FI682" i="61"/>
  <c r="FG682" i="61"/>
  <c r="FC682" i="61"/>
  <c r="FB682" i="61"/>
  <c r="EX682" i="61"/>
  <c r="EW682" i="61"/>
  <c r="DC682" i="61"/>
  <c r="DB682" i="61"/>
  <c r="CZ682" i="61"/>
  <c r="CY682" i="61"/>
  <c r="BX682" i="61"/>
  <c r="BW682" i="61"/>
  <c r="BV682" i="61"/>
  <c r="K682" i="61"/>
  <c r="L682" i="61" s="1"/>
  <c r="AR681" i="61"/>
  <c r="K681" i="61"/>
  <c r="L681" i="61" s="1"/>
  <c r="JN680" i="61"/>
  <c r="JM680" i="61"/>
  <c r="IR680" i="61"/>
  <c r="IL680" i="61"/>
  <c r="IK680" i="61"/>
  <c r="IJ680" i="61"/>
  <c r="IH680" i="61"/>
  <c r="IG680" i="61"/>
  <c r="IF680" i="61"/>
  <c r="ID680" i="61"/>
  <c r="IC680" i="61"/>
  <c r="IB680" i="61"/>
  <c r="HX680" i="61"/>
  <c r="HV680" i="61"/>
  <c r="HR680" i="61"/>
  <c r="HQ680" i="61"/>
  <c r="HM680" i="61"/>
  <c r="HL680" i="61"/>
  <c r="HH680" i="61"/>
  <c r="HF680" i="61"/>
  <c r="HB680" i="61"/>
  <c r="HA680" i="61"/>
  <c r="GW680" i="61"/>
  <c r="GV680" i="61"/>
  <c r="GR680" i="61"/>
  <c r="GP680" i="61"/>
  <c r="GL680" i="61"/>
  <c r="GK680" i="61"/>
  <c r="GG680" i="61"/>
  <c r="GF680" i="61"/>
  <c r="GB680" i="61"/>
  <c r="FZ680" i="61"/>
  <c r="FV680" i="61"/>
  <c r="FU680" i="61"/>
  <c r="FQ680" i="61"/>
  <c r="FP680" i="61"/>
  <c r="FL680" i="61"/>
  <c r="FJ680" i="61"/>
  <c r="FF680" i="61"/>
  <c r="FE680" i="61"/>
  <c r="FA680" i="61"/>
  <c r="EZ680" i="61"/>
  <c r="ET680" i="61"/>
  <c r="DY680" i="61"/>
  <c r="DD680" i="61"/>
  <c r="DB680" i="61"/>
  <c r="DA680" i="61"/>
  <c r="CZ680" i="61"/>
  <c r="CX680" i="61"/>
  <c r="CW680" i="61"/>
  <c r="CV680" i="61"/>
  <c r="CT680" i="61"/>
  <c r="CS680" i="61"/>
  <c r="CR680" i="61"/>
  <c r="CP680" i="61"/>
  <c r="CO680" i="61"/>
  <c r="CN680" i="61"/>
  <c r="CL680" i="61"/>
  <c r="CK680" i="61"/>
  <c r="CJ680" i="61"/>
  <c r="CH680" i="61"/>
  <c r="CG680" i="61"/>
  <c r="CF680" i="61"/>
  <c r="CD680" i="61"/>
  <c r="CC680" i="61"/>
  <c r="CB680" i="61"/>
  <c r="BZ680" i="61"/>
  <c r="BY680" i="61"/>
  <c r="BX680" i="61"/>
  <c r="BV680" i="61"/>
  <c r="BU680" i="61"/>
  <c r="BT680" i="61"/>
  <c r="BR680" i="61"/>
  <c r="BQ680" i="61"/>
  <c r="BP680" i="61"/>
  <c r="BN680" i="61"/>
  <c r="BM680" i="61"/>
  <c r="BL680" i="61"/>
  <c r="BJ680" i="61"/>
  <c r="BI680" i="61"/>
  <c r="BH680" i="61"/>
  <c r="BF680" i="61"/>
  <c r="BE680" i="61"/>
  <c r="BD680" i="61"/>
  <c r="BB680" i="61"/>
  <c r="BA680" i="61"/>
  <c r="AZ680" i="61"/>
  <c r="AX680" i="61"/>
  <c r="AW680" i="61"/>
  <c r="AV680" i="61"/>
  <c r="AT680" i="61"/>
  <c r="AS680" i="61"/>
  <c r="AR680" i="61"/>
  <c r="AP680" i="61"/>
  <c r="AO680" i="61"/>
  <c r="AN680" i="61"/>
  <c r="AL680" i="61"/>
  <c r="AK680" i="61"/>
  <c r="AJ680" i="61"/>
  <c r="AH680" i="61"/>
  <c r="AG680" i="61"/>
  <c r="AF680" i="61"/>
  <c r="AD680" i="61"/>
  <c r="AC680" i="61"/>
  <c r="AB680" i="61"/>
  <c r="Z680" i="61"/>
  <c r="Y680" i="61"/>
  <c r="X680" i="61"/>
  <c r="JI679" i="61"/>
  <c r="IS679" i="61"/>
  <c r="IM679" i="61"/>
  <c r="IL679" i="61"/>
  <c r="IK679" i="61"/>
  <c r="II679" i="61"/>
  <c r="IH679" i="61"/>
  <c r="IG679" i="61"/>
  <c r="IE679" i="61"/>
  <c r="ID679" i="61"/>
  <c r="IC679" i="61"/>
  <c r="HY679" i="61"/>
  <c r="HW679" i="61"/>
  <c r="HS679" i="61"/>
  <c r="HR679" i="61"/>
  <c r="HN679" i="61"/>
  <c r="HM679" i="61"/>
  <c r="HI679" i="61"/>
  <c r="HG679" i="61"/>
  <c r="HC679" i="61"/>
  <c r="HB679" i="61"/>
  <c r="GX679" i="61"/>
  <c r="GW679" i="61"/>
  <c r="GS679" i="61"/>
  <c r="GQ679" i="61"/>
  <c r="GM679" i="61"/>
  <c r="GL679" i="61"/>
  <c r="GH679" i="61"/>
  <c r="GG679" i="61"/>
  <c r="GC679" i="61"/>
  <c r="GA679" i="61"/>
  <c r="FW679" i="61"/>
  <c r="FV679" i="61"/>
  <c r="FR679" i="61"/>
  <c r="FQ679" i="61"/>
  <c r="FM679" i="61"/>
  <c r="FK679" i="61"/>
  <c r="FG679" i="61"/>
  <c r="FF679" i="61"/>
  <c r="FB679" i="61"/>
  <c r="FA679" i="61"/>
  <c r="EW679" i="61"/>
  <c r="EK679" i="61"/>
  <c r="DU679" i="61"/>
  <c r="DJ679" i="61"/>
  <c r="DC679" i="61"/>
  <c r="DB679" i="61"/>
  <c r="DA679" i="61"/>
  <c r="CY679" i="61"/>
  <c r="CX679" i="61"/>
  <c r="CW679" i="61"/>
  <c r="CU679" i="61"/>
  <c r="CT679" i="61"/>
  <c r="CS679" i="61"/>
  <c r="CQ679" i="61"/>
  <c r="CP679" i="61"/>
  <c r="CO679" i="61"/>
  <c r="CM679" i="61"/>
  <c r="CL679" i="61"/>
  <c r="CK679" i="61"/>
  <c r="CI679" i="61"/>
  <c r="CH679" i="61"/>
  <c r="CG679" i="61"/>
  <c r="CE679" i="61"/>
  <c r="CD679" i="61"/>
  <c r="CC679" i="61"/>
  <c r="CA679" i="61"/>
  <c r="BZ679" i="61"/>
  <c r="BY679" i="61"/>
  <c r="BW679" i="61"/>
  <c r="BV679" i="61"/>
  <c r="BU679" i="61"/>
  <c r="BS679" i="61"/>
  <c r="BR679" i="61"/>
  <c r="BQ679" i="61"/>
  <c r="BO679" i="61"/>
  <c r="BN679" i="61"/>
  <c r="BM679" i="61"/>
  <c r="BK679" i="61"/>
  <c r="BJ679" i="61"/>
  <c r="BI679" i="61"/>
  <c r="BG679" i="61"/>
  <c r="BF679" i="61"/>
  <c r="BE679" i="61"/>
  <c r="BC679" i="61"/>
  <c r="BB679" i="61"/>
  <c r="BA679" i="61"/>
  <c r="AY679" i="61"/>
  <c r="AX679" i="61"/>
  <c r="AW679" i="61"/>
  <c r="AU679" i="61"/>
  <c r="AT679" i="61"/>
  <c r="AS679" i="61"/>
  <c r="AQ679" i="61"/>
  <c r="AP679" i="61"/>
  <c r="AO679" i="61"/>
  <c r="AM679" i="61"/>
  <c r="AL679" i="61"/>
  <c r="AK679" i="61"/>
  <c r="AI679" i="61"/>
  <c r="AH679" i="61"/>
  <c r="AG679" i="61"/>
  <c r="AE679" i="61"/>
  <c r="AD679" i="61"/>
  <c r="AC679" i="61"/>
  <c r="AA679" i="61"/>
  <c r="Z679" i="61"/>
  <c r="Y679" i="61"/>
  <c r="W679" i="61"/>
  <c r="JO678" i="61"/>
  <c r="HP678" i="61"/>
  <c r="FZ678" i="61"/>
  <c r="EZ678" i="61"/>
  <c r="BW678" i="61"/>
  <c r="BV678" i="61"/>
  <c r="K678" i="61"/>
  <c r="L678" i="61" s="1"/>
  <c r="K677" i="61"/>
  <c r="L677" i="61" s="1"/>
  <c r="JP676" i="61"/>
  <c r="JO676" i="61"/>
  <c r="IY676" i="61"/>
  <c r="IN676" i="61"/>
  <c r="IM676" i="61"/>
  <c r="IK676" i="61"/>
  <c r="IJ676" i="61"/>
  <c r="II676" i="61"/>
  <c r="IG676" i="61"/>
  <c r="IF676" i="61"/>
  <c r="IE676" i="61"/>
  <c r="IC676" i="61"/>
  <c r="HY676" i="61"/>
  <c r="HX676" i="61"/>
  <c r="HT676" i="61"/>
  <c r="HS676" i="61"/>
  <c r="HO676" i="61"/>
  <c r="HM676" i="61"/>
  <c r="HI676" i="61"/>
  <c r="HH676" i="61"/>
  <c r="HD676" i="61"/>
  <c r="HC676" i="61"/>
  <c r="GY676" i="61"/>
  <c r="GW676" i="61"/>
  <c r="GS676" i="61"/>
  <c r="GR676" i="61"/>
  <c r="GN676" i="61"/>
  <c r="GM676" i="61"/>
  <c r="GI676" i="61"/>
  <c r="GG676" i="61"/>
  <c r="GC676" i="61"/>
  <c r="GB676" i="61"/>
  <c r="FX676" i="61"/>
  <c r="FW676" i="61"/>
  <c r="FS676" i="61"/>
  <c r="FQ676" i="61"/>
  <c r="FM676" i="61"/>
  <c r="FL676" i="61"/>
  <c r="FH676" i="61"/>
  <c r="FG676" i="61"/>
  <c r="FC676" i="61"/>
  <c r="FA676" i="61"/>
  <c r="EW676" i="61"/>
  <c r="EV676" i="61"/>
  <c r="EF676" i="61"/>
  <c r="DP676" i="61"/>
  <c r="DE676" i="61"/>
  <c r="DC676" i="61"/>
  <c r="DA676" i="61"/>
  <c r="CZ676" i="61"/>
  <c r="CY676" i="61"/>
  <c r="CW676" i="61"/>
  <c r="CV676" i="61"/>
  <c r="CU676" i="61"/>
  <c r="CS676" i="61"/>
  <c r="CR676" i="61"/>
  <c r="CQ676" i="61"/>
  <c r="CO676" i="61"/>
  <c r="CN676" i="61"/>
  <c r="CM676" i="61"/>
  <c r="CK676" i="61"/>
  <c r="CJ676" i="61"/>
  <c r="CI676" i="61"/>
  <c r="CG676" i="61"/>
  <c r="CF676" i="61"/>
  <c r="CE676" i="61"/>
  <c r="CC676" i="61"/>
  <c r="CB676" i="61"/>
  <c r="CA676" i="61"/>
  <c r="BY676" i="61"/>
  <c r="BX676" i="61"/>
  <c r="BW676" i="61"/>
  <c r="BU676" i="61"/>
  <c r="BT676" i="61"/>
  <c r="BS676" i="61"/>
  <c r="BQ676" i="61"/>
  <c r="BP676" i="61"/>
  <c r="BO676" i="61"/>
  <c r="BM676" i="61"/>
  <c r="BL676" i="61"/>
  <c r="BK676" i="61"/>
  <c r="BI676" i="61"/>
  <c r="BH676" i="61"/>
  <c r="BG676" i="61"/>
  <c r="BE676" i="61"/>
  <c r="BD676" i="61"/>
  <c r="BC676" i="61"/>
  <c r="BA676" i="61"/>
  <c r="AZ676" i="61"/>
  <c r="AY676" i="61"/>
  <c r="AW676" i="61"/>
  <c r="AV676" i="61"/>
  <c r="AU676" i="61"/>
  <c r="AS676" i="61"/>
  <c r="AR676" i="61"/>
  <c r="AQ676" i="61"/>
  <c r="AO676" i="61"/>
  <c r="AN676" i="61"/>
  <c r="AM676" i="61"/>
  <c r="AK676" i="61"/>
  <c r="AJ676" i="61"/>
  <c r="AI676" i="61"/>
  <c r="AG676" i="61"/>
  <c r="AF676" i="61"/>
  <c r="AE676" i="61"/>
  <c r="AC676" i="61"/>
  <c r="AB676" i="61"/>
  <c r="AA676" i="61"/>
  <c r="Y676" i="61"/>
  <c r="X676" i="61"/>
  <c r="W676" i="61"/>
  <c r="IK675" i="61"/>
  <c r="HU675" i="61"/>
  <c r="GZ675" i="61"/>
  <c r="GD675" i="61"/>
  <c r="FI675" i="61"/>
  <c r="DQ675" i="61"/>
  <c r="CS675" i="61"/>
  <c r="CH675" i="61"/>
  <c r="BX675" i="61"/>
  <c r="BM675" i="61"/>
  <c r="BB675" i="61"/>
  <c r="AR675" i="61"/>
  <c r="AG675" i="61"/>
  <c r="JQ674" i="61"/>
  <c r="JP674" i="61"/>
  <c r="IC674" i="61"/>
  <c r="IB674" i="61"/>
  <c r="HX674" i="61"/>
  <c r="HV674" i="61"/>
  <c r="HR674" i="61"/>
  <c r="HQ674" i="61"/>
  <c r="HM674" i="61"/>
  <c r="HL674" i="61"/>
  <c r="HH674" i="61"/>
  <c r="HF674" i="61"/>
  <c r="HB674" i="61"/>
  <c r="HA674" i="61"/>
  <c r="GW674" i="61"/>
  <c r="GV674" i="61"/>
  <c r="GR674" i="61"/>
  <c r="GP674" i="61"/>
  <c r="GL674" i="61"/>
  <c r="GK674" i="61"/>
  <c r="GG674" i="61"/>
  <c r="GF674" i="61"/>
  <c r="GB674" i="61"/>
  <c r="FZ674" i="61"/>
  <c r="FV674" i="61"/>
  <c r="FU674" i="61"/>
  <c r="FQ674" i="61"/>
  <c r="FP674" i="61"/>
  <c r="FL674" i="61"/>
  <c r="FJ674" i="61"/>
  <c r="FF674" i="61"/>
  <c r="FE674" i="61"/>
  <c r="FA674" i="61"/>
  <c r="EZ674" i="61"/>
  <c r="DD674" i="61"/>
  <c r="DC674" i="61"/>
  <c r="DB674" i="61"/>
  <c r="CZ674" i="61"/>
  <c r="CY674" i="61"/>
  <c r="BX674" i="61"/>
  <c r="BW674" i="61"/>
  <c r="BV674" i="61"/>
  <c r="AR674" i="61"/>
  <c r="K674" i="61"/>
  <c r="L674" i="61" s="1"/>
  <c r="FE673" i="61"/>
  <c r="DA673" i="61"/>
  <c r="BU673" i="61"/>
  <c r="AO673" i="61"/>
  <c r="Y673" i="61"/>
  <c r="K673" i="61"/>
  <c r="L673" i="61" s="1"/>
  <c r="JN672" i="61"/>
  <c r="JM672" i="61"/>
  <c r="IC672" i="61"/>
  <c r="IA672" i="61"/>
  <c r="HW672" i="61"/>
  <c r="HV672" i="61"/>
  <c r="HR672" i="61"/>
  <c r="HQ672" i="61"/>
  <c r="HM672" i="61"/>
  <c r="HK672" i="61"/>
  <c r="HG672" i="61"/>
  <c r="HF672" i="61"/>
  <c r="HB672" i="61"/>
  <c r="HA672" i="61"/>
  <c r="GW672" i="61"/>
  <c r="GU672" i="61"/>
  <c r="GQ672" i="61"/>
  <c r="GP672" i="61"/>
  <c r="GL672" i="61"/>
  <c r="GK672" i="61"/>
  <c r="GG672" i="61"/>
  <c r="GE672" i="61"/>
  <c r="GA672" i="61"/>
  <c r="FZ672" i="61"/>
  <c r="FV672" i="61"/>
  <c r="FU672" i="61"/>
  <c r="FQ672" i="61"/>
  <c r="FO672" i="61"/>
  <c r="FK672" i="61"/>
  <c r="FJ672" i="61"/>
  <c r="FF672" i="61"/>
  <c r="FE672" i="61"/>
  <c r="FA672" i="61"/>
  <c r="EY672" i="61"/>
  <c r="CX672" i="61"/>
  <c r="CU672" i="61"/>
  <c r="IM671" i="61"/>
  <c r="IL671" i="61"/>
  <c r="IH671" i="61"/>
  <c r="IE671" i="61"/>
  <c r="ID671" i="61"/>
  <c r="HZ671" i="61"/>
  <c r="HW671" i="61"/>
  <c r="HO671" i="61"/>
  <c r="HN671" i="61"/>
  <c r="HJ671" i="61"/>
  <c r="HB671" i="61"/>
  <c r="GY671" i="61"/>
  <c r="GT671" i="61"/>
  <c r="GQ671" i="61"/>
  <c r="GM671" i="61"/>
  <c r="GL671" i="61"/>
  <c r="GF671" i="61"/>
  <c r="GD671" i="61"/>
  <c r="GB671" i="61"/>
  <c r="FW671" i="61"/>
  <c r="FV671" i="61"/>
  <c r="FR671" i="61"/>
  <c r="FN671" i="61"/>
  <c r="FK671" i="61"/>
  <c r="FH671" i="61"/>
  <c r="FC671" i="61"/>
  <c r="FB671" i="61"/>
  <c r="EZ671" i="61"/>
  <c r="DP671" i="61"/>
  <c r="DB671" i="61"/>
  <c r="CZ671" i="61"/>
  <c r="CY671" i="61"/>
  <c r="CV671" i="61"/>
  <c r="CU671" i="61"/>
  <c r="CT671" i="61"/>
  <c r="CQ671" i="61"/>
  <c r="CP671" i="61"/>
  <c r="CN671" i="61"/>
  <c r="CL671" i="61"/>
  <c r="CJ671" i="61"/>
  <c r="CI671" i="61"/>
  <c r="CF671" i="61"/>
  <c r="CE671" i="61"/>
  <c r="CD671" i="61"/>
  <c r="CA671" i="61"/>
  <c r="BZ671" i="61"/>
  <c r="BX671" i="61"/>
  <c r="BV671" i="61"/>
  <c r="BT671" i="61"/>
  <c r="BS671" i="61"/>
  <c r="BP671" i="61"/>
  <c r="BO671" i="61"/>
  <c r="BN671" i="61"/>
  <c r="BK671" i="61"/>
  <c r="BJ671" i="61"/>
  <c r="BH671" i="61"/>
  <c r="BF671" i="61"/>
  <c r="BD671" i="61"/>
  <c r="BC671" i="61"/>
  <c r="AZ671" i="61"/>
  <c r="AY671" i="61"/>
  <c r="AX671" i="61"/>
  <c r="AU671" i="61"/>
  <c r="AT671" i="61"/>
  <c r="AR671" i="61"/>
  <c r="AP671" i="61"/>
  <c r="AN671" i="61"/>
  <c r="AM671" i="61"/>
  <c r="AJ671" i="61"/>
  <c r="AI671" i="61"/>
  <c r="AH671" i="61"/>
  <c r="AE671" i="61"/>
  <c r="AD671" i="61"/>
  <c r="AB671" i="61"/>
  <c r="Z671" i="61"/>
  <c r="W671" i="61"/>
  <c r="K671" i="61"/>
  <c r="O667" i="61"/>
  <c r="M667" i="61"/>
  <c r="U664" i="61"/>
  <c r="A662" i="61"/>
  <c r="U662" i="61" s="1"/>
  <c r="L629" i="61"/>
  <c r="J629" i="61"/>
  <c r="A613" i="61"/>
  <c r="J594" i="61"/>
  <c r="O593" i="61"/>
  <c r="W589" i="61"/>
  <c r="W576" i="61"/>
  <c r="W566" i="61"/>
  <c r="W565" i="61"/>
  <c r="V558" i="61"/>
  <c r="S558" i="61"/>
  <c r="M558" i="61"/>
  <c r="U557" i="61"/>
  <c r="A557" i="61"/>
  <c r="W555" i="61"/>
  <c r="O555" i="61"/>
  <c r="V554" i="61"/>
  <c r="P554" i="61"/>
  <c r="U553" i="61"/>
  <c r="W547" i="61"/>
  <c r="O547" i="61"/>
  <c r="S546" i="61"/>
  <c r="F545" i="61"/>
  <c r="F544" i="61"/>
  <c r="F543" i="61"/>
  <c r="F542" i="61"/>
  <c r="W541" i="61"/>
  <c r="O541" i="61"/>
  <c r="A539" i="61"/>
  <c r="W535" i="61"/>
  <c r="O535" i="61"/>
  <c r="U533" i="61"/>
  <c r="B531" i="61"/>
  <c r="B530" i="61"/>
  <c r="B526" i="61"/>
  <c r="B525" i="61"/>
  <c r="W524" i="61"/>
  <c r="O524" i="61"/>
  <c r="W522" i="61"/>
  <c r="V520" i="61"/>
  <c r="W513" i="61"/>
  <c r="O513" i="61"/>
  <c r="W507" i="61"/>
  <c r="O507" i="61"/>
  <c r="A505" i="61"/>
  <c r="W494" i="61"/>
  <c r="O494" i="61"/>
  <c r="U492" i="61"/>
  <c r="A492" i="61"/>
  <c r="W481" i="61"/>
  <c r="O481" i="61"/>
  <c r="W479" i="61"/>
  <c r="W475" i="61"/>
  <c r="O475" i="61"/>
  <c r="W469" i="61"/>
  <c r="O469" i="61"/>
  <c r="M467" i="61"/>
  <c r="E466" i="61"/>
  <c r="E465" i="61"/>
  <c r="E464" i="61"/>
  <c r="W463" i="61"/>
  <c r="O463" i="61"/>
  <c r="W457" i="61"/>
  <c r="O457" i="61"/>
  <c r="P456" i="61"/>
  <c r="G456" i="61"/>
  <c r="W453" i="61"/>
  <c r="O453" i="61"/>
  <c r="W447" i="61"/>
  <c r="O447" i="61"/>
  <c r="W436" i="61"/>
  <c r="O436" i="61"/>
  <c r="W434" i="61"/>
  <c r="A430" i="61"/>
  <c r="W430" i="61" s="1"/>
  <c r="A205" i="61"/>
  <c r="P101" i="61"/>
  <c r="P99" i="61"/>
  <c r="P98" i="61"/>
  <c r="H86" i="61"/>
  <c r="N55" i="61"/>
  <c r="L53" i="61"/>
  <c r="J33" i="61"/>
  <c r="J32" i="61"/>
  <c r="A26" i="61"/>
  <c r="A2" i="61"/>
  <c r="G1441" i="61" l="1"/>
  <c r="P446" i="61"/>
  <c r="M452" i="61"/>
  <c r="M560" i="61" s="1"/>
  <c r="M577" i="61" s="1"/>
  <c r="M579" i="61" s="1"/>
  <c r="M581" i="61" s="1"/>
  <c r="G452" i="61"/>
  <c r="M462" i="61"/>
  <c r="P462" i="61"/>
  <c r="S462" i="61"/>
  <c r="P467" i="61"/>
  <c r="S467" i="61"/>
  <c r="V462" i="61"/>
  <c r="P493" i="61"/>
  <c r="S493" i="61"/>
  <c r="M512" i="61"/>
  <c r="K705" i="61"/>
  <c r="L705" i="61" s="1"/>
  <c r="CW704" i="61"/>
  <c r="IJ704" i="61"/>
  <c r="IF703" i="61"/>
  <c r="CX700" i="61"/>
  <c r="II700" i="61"/>
  <c r="II699" i="61"/>
  <c r="K697" i="61"/>
  <c r="L697" i="61" s="1"/>
  <c r="BP696" i="61"/>
  <c r="IM696" i="61"/>
  <c r="IK695" i="61"/>
  <c r="IL692" i="61"/>
  <c r="ID675" i="61"/>
  <c r="DA704" i="61"/>
  <c r="DC702" i="61"/>
  <c r="DC698" i="61"/>
  <c r="CY696" i="61"/>
  <c r="DC686" i="61"/>
  <c r="DA682" i="61"/>
  <c r="CN677" i="61"/>
  <c r="CT672" i="61"/>
  <c r="O742" i="61"/>
  <c r="O743" i="61"/>
  <c r="S512" i="61"/>
  <c r="V534" i="61"/>
  <c r="J558" i="61"/>
  <c r="P558" i="61"/>
  <c r="J574" i="61"/>
  <c r="J578" i="61" s="1"/>
  <c r="I644" i="61"/>
  <c r="M644" i="61"/>
  <c r="L644" i="61"/>
  <c r="DK671" i="61"/>
  <c r="K707" i="61"/>
  <c r="IG706" i="61"/>
  <c r="AG705" i="61"/>
  <c r="K703" i="61"/>
  <c r="K699" i="61"/>
  <c r="L699" i="61" s="1"/>
  <c r="JP699" i="61"/>
  <c r="IM697" i="61"/>
  <c r="K695" i="61"/>
  <c r="BN694" i="61"/>
  <c r="II694" i="61"/>
  <c r="A692" i="61"/>
  <c r="K691" i="61"/>
  <c r="IE690" i="61"/>
  <c r="IT689" i="61"/>
  <c r="K687" i="61"/>
  <c r="AV686" i="61"/>
  <c r="IK685" i="61"/>
  <c r="K683" i="61"/>
  <c r="JI683" i="61"/>
  <c r="BI682" i="61"/>
  <c r="AC682" i="61"/>
  <c r="W681" i="61"/>
  <c r="K679" i="61"/>
  <c r="JD679" i="61"/>
  <c r="HX673" i="61"/>
  <c r="DN703" i="61"/>
  <c r="JG702" i="61"/>
  <c r="EU699" i="61"/>
  <c r="DH696" i="61"/>
  <c r="DS695" i="61"/>
  <c r="IX692" i="61"/>
  <c r="JH690" i="61"/>
  <c r="EA688" i="61"/>
  <c r="DR687" i="61"/>
  <c r="EI684" i="61"/>
  <c r="IQ683" i="61"/>
  <c r="JH680" i="61"/>
  <c r="EP679" i="61"/>
  <c r="H793" i="61"/>
  <c r="L793" i="61"/>
  <c r="P793" i="61"/>
  <c r="J811" i="61"/>
  <c r="N811" i="61"/>
  <c r="FV678" i="61"/>
  <c r="GQ678" i="61"/>
  <c r="GU678" i="61"/>
  <c r="HL678" i="61"/>
  <c r="FD678" i="61"/>
  <c r="IA678" i="61"/>
  <c r="EZ677" i="61"/>
  <c r="AB677" i="61"/>
  <c r="BY678" i="61"/>
  <c r="GA678" i="61"/>
  <c r="GV678" i="61"/>
  <c r="HR678" i="61"/>
  <c r="DB678" i="61"/>
  <c r="FP678" i="61"/>
  <c r="GL678" i="61"/>
  <c r="HG678" i="61"/>
  <c r="IB678" i="61"/>
  <c r="FF678" i="61"/>
  <c r="BU678" i="61"/>
  <c r="EY678" i="61"/>
  <c r="FT678" i="61"/>
  <c r="GP678" i="61"/>
  <c r="HK678" i="61"/>
  <c r="JN678" i="61"/>
  <c r="IR678" i="61"/>
  <c r="JI678" i="61"/>
  <c r="CB678" i="61"/>
  <c r="FJ678" i="61"/>
  <c r="GE678" i="61"/>
  <c r="GZ678" i="61"/>
  <c r="HV678" i="61"/>
  <c r="CZ678" i="61"/>
  <c r="FK678" i="61"/>
  <c r="GF678" i="61"/>
  <c r="HB678" i="61"/>
  <c r="HW678" i="61"/>
  <c r="DC678" i="61"/>
  <c r="DA678" i="61"/>
  <c r="FO678" i="61"/>
  <c r="GJ678" i="61"/>
  <c r="HF678" i="61"/>
  <c r="IF678" i="61"/>
  <c r="AV678" i="61"/>
  <c r="S506" i="61"/>
  <c r="K629" i="61"/>
  <c r="K846" i="61"/>
  <c r="K827" i="61"/>
  <c r="F849" i="61"/>
  <c r="F829" i="61"/>
  <c r="DV671" i="61"/>
  <c r="DZ671" i="61"/>
  <c r="EJ671" i="61"/>
  <c r="IU671" i="61"/>
  <c r="IP671" i="61"/>
  <c r="EM671" i="61"/>
  <c r="EE671" i="61"/>
  <c r="DG671" i="61"/>
  <c r="ER671" i="61"/>
  <c r="CW672" i="61"/>
  <c r="BU672" i="61"/>
  <c r="CY672" i="61"/>
  <c r="BV672" i="61"/>
  <c r="DA672" i="61"/>
  <c r="BW672" i="61"/>
  <c r="DB672" i="61"/>
  <c r="BY672" i="61"/>
  <c r="DC672" i="61"/>
  <c r="IG672" i="61"/>
  <c r="X671" i="61"/>
  <c r="K675" i="61"/>
  <c r="JI676" i="61"/>
  <c r="L671" i="61"/>
  <c r="JC671" i="61"/>
  <c r="AB675" i="61"/>
  <c r="AL675" i="61"/>
  <c r="AW675" i="61"/>
  <c r="BH675" i="61"/>
  <c r="BR675" i="61"/>
  <c r="CC675" i="61"/>
  <c r="CN675" i="61"/>
  <c r="CX675" i="61"/>
  <c r="EX675" i="61"/>
  <c r="FT675" i="61"/>
  <c r="GO675" i="61"/>
  <c r="HJ675" i="61"/>
  <c r="IF675" i="61"/>
  <c r="AC675" i="61"/>
  <c r="AN675" i="61"/>
  <c r="AX675" i="61"/>
  <c r="BI675" i="61"/>
  <c r="BT675" i="61"/>
  <c r="CD675" i="61"/>
  <c r="CO675" i="61"/>
  <c r="CZ675" i="61"/>
  <c r="FB675" i="61"/>
  <c r="FX675" i="61"/>
  <c r="GS675" i="61"/>
  <c r="HN675" i="61"/>
  <c r="IG675" i="61"/>
  <c r="AD675" i="61"/>
  <c r="AO675" i="61"/>
  <c r="AZ675" i="61"/>
  <c r="BJ675" i="61"/>
  <c r="BU675" i="61"/>
  <c r="CF675" i="61"/>
  <c r="CP675" i="61"/>
  <c r="DA675" i="61"/>
  <c r="FD675" i="61"/>
  <c r="FY675" i="61"/>
  <c r="GT675" i="61"/>
  <c r="HP675" i="61"/>
  <c r="IH675" i="61"/>
  <c r="AF675" i="61"/>
  <c r="AP675" i="61"/>
  <c r="BA675" i="61"/>
  <c r="BL675" i="61"/>
  <c r="BV675" i="61"/>
  <c r="CG675" i="61"/>
  <c r="CR675" i="61"/>
  <c r="DB675" i="61"/>
  <c r="FH675" i="61"/>
  <c r="GC675" i="61"/>
  <c r="GX675" i="61"/>
  <c r="HT675" i="61"/>
  <c r="IJ675" i="61"/>
  <c r="X675" i="61"/>
  <c r="AH675" i="61"/>
  <c r="AS675" i="61"/>
  <c r="BD675" i="61"/>
  <c r="BN675" i="61"/>
  <c r="BY675" i="61"/>
  <c r="CJ675" i="61"/>
  <c r="CT675" i="61"/>
  <c r="EB675" i="61"/>
  <c r="FM675" i="61"/>
  <c r="GH675" i="61"/>
  <c r="HD675" i="61"/>
  <c r="HY675" i="61"/>
  <c r="IL675" i="61"/>
  <c r="Y675" i="61"/>
  <c r="AJ675" i="61"/>
  <c r="AT675" i="61"/>
  <c r="BE675" i="61"/>
  <c r="BP675" i="61"/>
  <c r="BZ675" i="61"/>
  <c r="CK675" i="61"/>
  <c r="CV675" i="61"/>
  <c r="ER675" i="61"/>
  <c r="FN675" i="61"/>
  <c r="GJ675" i="61"/>
  <c r="HE675" i="61"/>
  <c r="HZ675" i="61"/>
  <c r="IO675" i="61"/>
  <c r="Z675" i="61"/>
  <c r="AK675" i="61"/>
  <c r="AV675" i="61"/>
  <c r="BF675" i="61"/>
  <c r="BQ675" i="61"/>
  <c r="CB675" i="61"/>
  <c r="CL675" i="61"/>
  <c r="CW675" i="61"/>
  <c r="EW675" i="61"/>
  <c r="FR675" i="61"/>
  <c r="GN675" i="61"/>
  <c r="HI675" i="61"/>
  <c r="DA674" i="61"/>
  <c r="BT674" i="61"/>
  <c r="CN674" i="61"/>
  <c r="EL675" i="61"/>
  <c r="AE672" i="61"/>
  <c r="CG672" i="61"/>
  <c r="AP672" i="61"/>
  <c r="CQ672" i="61"/>
  <c r="BA672" i="61"/>
  <c r="IH672" i="61"/>
  <c r="BK672" i="61"/>
  <c r="AG672" i="61"/>
  <c r="AQ672" i="61"/>
  <c r="BB672" i="61"/>
  <c r="BM672" i="61"/>
  <c r="CH672" i="61"/>
  <c r="CS672" i="61"/>
  <c r="II672" i="61"/>
  <c r="W672" i="61"/>
  <c r="AH672" i="61"/>
  <c r="AS672" i="61"/>
  <c r="BC672" i="61"/>
  <c r="BN672" i="61"/>
  <c r="CI672" i="61"/>
  <c r="DI672" i="61"/>
  <c r="IK672" i="61"/>
  <c r="EO672" i="61"/>
  <c r="Y672" i="61"/>
  <c r="AI672" i="61"/>
  <c r="AT672" i="61"/>
  <c r="BE672" i="61"/>
  <c r="BO672" i="61"/>
  <c r="BZ672" i="61"/>
  <c r="CK672" i="61"/>
  <c r="DS672" i="61"/>
  <c r="IL672" i="61"/>
  <c r="BF672" i="61"/>
  <c r="AU672" i="61"/>
  <c r="CA672" i="61"/>
  <c r="EI672" i="61"/>
  <c r="AA672" i="61"/>
  <c r="AL672" i="61"/>
  <c r="AW672" i="61"/>
  <c r="BG672" i="61"/>
  <c r="BR672" i="61"/>
  <c r="CC672" i="61"/>
  <c r="CM672" i="61"/>
  <c r="ID672" i="61"/>
  <c r="IQ672" i="61"/>
  <c r="Z672" i="61"/>
  <c r="AC672" i="61"/>
  <c r="AM672" i="61"/>
  <c r="AX672" i="61"/>
  <c r="BI672" i="61"/>
  <c r="BS672" i="61"/>
  <c r="CD672" i="61"/>
  <c r="CO672" i="61"/>
  <c r="IE672" i="61"/>
  <c r="JB672" i="61"/>
  <c r="A672" i="61"/>
  <c r="AK672" i="61"/>
  <c r="BQ672" i="61"/>
  <c r="CL672" i="61"/>
  <c r="IM672" i="61"/>
  <c r="AD672" i="61"/>
  <c r="AO672" i="61"/>
  <c r="AY672" i="61"/>
  <c r="BJ672" i="61"/>
  <c r="CE672" i="61"/>
  <c r="CP672" i="61"/>
  <c r="JB671" i="61"/>
  <c r="K644" i="61"/>
  <c r="J644" i="61"/>
  <c r="S540" i="61"/>
  <c r="J554" i="61"/>
  <c r="S554" i="61"/>
  <c r="G546" i="61"/>
  <c r="C546" i="61" s="1"/>
  <c r="G540" i="61"/>
  <c r="A533" i="61"/>
  <c r="A445" i="61"/>
  <c r="G520" i="61"/>
  <c r="J512" i="61"/>
  <c r="J467" i="61"/>
  <c r="A444" i="61"/>
  <c r="U445" i="61"/>
  <c r="U443" i="61"/>
  <c r="K798" i="61"/>
  <c r="G811" i="61"/>
  <c r="DJ671" i="61"/>
  <c r="DR671" i="61"/>
  <c r="EB671" i="61"/>
  <c r="EL671" i="61"/>
  <c r="EU671" i="61"/>
  <c r="DN672" i="61"/>
  <c r="AG673" i="61"/>
  <c r="CK673" i="61"/>
  <c r="BH674" i="61"/>
  <c r="DF675" i="61"/>
  <c r="DK676" i="61"/>
  <c r="EK676" i="61"/>
  <c r="AF678" i="61"/>
  <c r="DO679" i="61"/>
  <c r="DT680" i="61"/>
  <c r="CK682" i="61"/>
  <c r="DI683" i="61"/>
  <c r="CG685" i="61"/>
  <c r="AE690" i="61"/>
  <c r="DD699" i="61"/>
  <c r="V446" i="61"/>
  <c r="E709" i="61"/>
  <c r="JN671" i="61"/>
  <c r="IX671" i="61"/>
  <c r="EV671" i="61"/>
  <c r="EP671" i="61"/>
  <c r="EH671" i="61"/>
  <c r="EA671" i="61"/>
  <c r="DT671" i="61"/>
  <c r="DL671" i="61"/>
  <c r="DF671" i="61"/>
  <c r="A688" i="61"/>
  <c r="A684" i="61"/>
  <c r="BM681" i="61"/>
  <c r="IJ681" i="61"/>
  <c r="A680" i="61"/>
  <c r="A676" i="61"/>
  <c r="IR708" i="61"/>
  <c r="EE708" i="61"/>
  <c r="DE708" i="61"/>
  <c r="DH704" i="61"/>
  <c r="IV704" i="61"/>
  <c r="ES704" i="61"/>
  <c r="IQ688" i="61"/>
  <c r="EH688" i="61"/>
  <c r="DF688" i="61"/>
  <c r="IY688" i="61"/>
  <c r="EO688" i="61"/>
  <c r="DM688" i="61"/>
  <c r="DY687" i="61"/>
  <c r="EG687" i="61"/>
  <c r="JL686" i="61"/>
  <c r="JE686" i="61"/>
  <c r="JB684" i="61"/>
  <c r="EO684" i="61"/>
  <c r="DS684" i="61"/>
  <c r="JG684" i="61"/>
  <c r="ET684" i="61"/>
  <c r="DY684" i="61"/>
  <c r="IW683" i="61"/>
  <c r="EI683" i="61"/>
  <c r="DN683" i="61"/>
  <c r="JB683" i="61"/>
  <c r="EO683" i="61"/>
  <c r="DS683" i="61"/>
  <c r="ER682" i="61"/>
  <c r="JG682" i="61"/>
  <c r="IW680" i="61"/>
  <c r="ED680" i="61"/>
  <c r="DI680" i="61"/>
  <c r="JB680" i="61"/>
  <c r="EJ680" i="61"/>
  <c r="DN680" i="61"/>
  <c r="EU679" i="61"/>
  <c r="DZ679" i="61"/>
  <c r="DE679" i="61"/>
  <c r="IV678" i="61"/>
  <c r="JC678" i="61"/>
  <c r="JD676" i="61"/>
  <c r="EQ676" i="61"/>
  <c r="DU676" i="61"/>
  <c r="DT674" i="61"/>
  <c r="JE674" i="61"/>
  <c r="JG672" i="61"/>
  <c r="ET672" i="61"/>
  <c r="DY672" i="61"/>
  <c r="G446" i="61"/>
  <c r="A704" i="61"/>
  <c r="A700" i="61"/>
  <c r="A696" i="61"/>
  <c r="IL686" i="61"/>
  <c r="CQ686" i="61"/>
  <c r="JD677" i="61"/>
  <c r="IR677" i="61"/>
  <c r="BX677" i="61"/>
  <c r="IN674" i="61"/>
  <c r="AB674" i="61"/>
  <c r="JP673" i="61"/>
  <c r="FM673" i="61"/>
  <c r="CS673" i="61"/>
  <c r="BE673" i="61"/>
  <c r="JG700" i="61"/>
  <c r="EA700" i="61"/>
  <c r="EP700" i="61"/>
  <c r="JJ698" i="61"/>
  <c r="JD698" i="61"/>
  <c r="DO697" i="61"/>
  <c r="DS696" i="61"/>
  <c r="IV696" i="61"/>
  <c r="EC696" i="61"/>
  <c r="DJ694" i="61"/>
  <c r="DR693" i="61"/>
  <c r="DJ692" i="61"/>
  <c r="DU692" i="61"/>
  <c r="EP691" i="61"/>
  <c r="DJ691" i="61"/>
  <c r="EL689" i="61"/>
  <c r="ES685" i="61"/>
  <c r="ER681" i="61"/>
  <c r="DD677" i="61"/>
  <c r="IZ675" i="61"/>
  <c r="EG675" i="61"/>
  <c r="DL675" i="61"/>
  <c r="DD671" i="61"/>
  <c r="DO671" i="61"/>
  <c r="DW671" i="61"/>
  <c r="EF671" i="61"/>
  <c r="EQ671" i="61"/>
  <c r="IT671" i="61"/>
  <c r="JJ671" i="61"/>
  <c r="ED672" i="61"/>
  <c r="IW672" i="61"/>
  <c r="BM673" i="61"/>
  <c r="DQ673" i="61"/>
  <c r="JJ674" i="61"/>
  <c r="DV675" i="61"/>
  <c r="IT675" i="61"/>
  <c r="EA676" i="61"/>
  <c r="IS676" i="61"/>
  <c r="BH677" i="61"/>
  <c r="CR678" i="61"/>
  <c r="DH678" i="61"/>
  <c r="EE679" i="61"/>
  <c r="IX679" i="61"/>
  <c r="EO680" i="61"/>
  <c r="JP681" i="61"/>
  <c r="ED683" i="61"/>
  <c r="DN684" i="61"/>
  <c r="IW684" i="61"/>
  <c r="ET687" i="61"/>
  <c r="IW687" i="61"/>
  <c r="EE691" i="61"/>
  <c r="EE692" i="61"/>
  <c r="EN695" i="61"/>
  <c r="JG696" i="61"/>
  <c r="IX699" i="61"/>
  <c r="DN700" i="61"/>
  <c r="M446" i="61"/>
  <c r="G467" i="61"/>
  <c r="S456" i="61"/>
  <c r="U491" i="61"/>
  <c r="M493" i="61"/>
  <c r="M506" i="61"/>
  <c r="V512" i="61"/>
  <c r="S534" i="61"/>
  <c r="M546" i="61"/>
  <c r="P546" i="61"/>
  <c r="V546" i="61"/>
  <c r="M629" i="61"/>
  <c r="BT708" i="61"/>
  <c r="AZ708" i="61"/>
  <c r="BK708" i="61"/>
  <c r="AS708" i="61"/>
  <c r="CI708" i="61"/>
  <c r="AJ708" i="61"/>
  <c r="CQ708" i="61"/>
  <c r="AB708" i="61"/>
  <c r="HS707" i="61"/>
  <c r="FV707" i="61"/>
  <c r="DA707" i="61"/>
  <c r="BP707" i="61"/>
  <c r="AA707" i="61"/>
  <c r="GR707" i="61"/>
  <c r="DC707" i="61"/>
  <c r="CE707" i="61"/>
  <c r="AY707" i="61"/>
  <c r="CY708" i="61"/>
  <c r="BY708" i="61"/>
  <c r="BU706" i="61"/>
  <c r="DC706" i="61"/>
  <c r="BF693" i="61"/>
  <c r="BZ689" i="61"/>
  <c r="IJ684" i="61"/>
  <c r="IJ683" i="61"/>
  <c r="CI681" i="61"/>
  <c r="IM680" i="61"/>
  <c r="IJ679" i="61"/>
  <c r="AR677" i="61"/>
  <c r="IL676" i="61"/>
  <c r="IM675" i="61"/>
  <c r="CC673" i="61"/>
  <c r="IJ672" i="61"/>
  <c r="G793" i="61"/>
  <c r="K793" i="61"/>
  <c r="O793" i="61"/>
  <c r="I793" i="61"/>
  <c r="M793" i="61"/>
  <c r="G798" i="61"/>
  <c r="O798" i="61"/>
  <c r="K802" i="61"/>
  <c r="I802" i="61"/>
  <c r="M802" i="61"/>
  <c r="G807" i="61"/>
  <c r="K807" i="61"/>
  <c r="O807" i="61"/>
  <c r="K811" i="61"/>
  <c r="F838" i="61"/>
  <c r="E463" i="61"/>
  <c r="ID692" i="61"/>
  <c r="W695" i="61"/>
  <c r="AE695" i="61"/>
  <c r="AK695" i="61"/>
  <c r="AR695" i="61"/>
  <c r="AZ695" i="61"/>
  <c r="BG695" i="61"/>
  <c r="BM695" i="61"/>
  <c r="BU695" i="61"/>
  <c r="CB695" i="61"/>
  <c r="CI695" i="61"/>
  <c r="CQ695" i="61"/>
  <c r="CW695" i="61"/>
  <c r="DH695" i="61"/>
  <c r="EY695" i="61"/>
  <c r="FT695" i="61"/>
  <c r="GO695" i="61"/>
  <c r="HK695" i="61"/>
  <c r="IE695" i="61"/>
  <c r="Y696" i="61"/>
  <c r="AF696" i="61"/>
  <c r="AM696" i="61"/>
  <c r="AU696" i="61"/>
  <c r="BA696" i="61"/>
  <c r="BH696" i="61"/>
  <c r="BW696" i="61"/>
  <c r="CC696" i="61"/>
  <c r="CK696" i="61"/>
  <c r="CR696" i="61"/>
  <c r="IF696" i="61"/>
  <c r="BV698" i="61"/>
  <c r="AB699" i="61"/>
  <c r="AL699" i="61"/>
  <c r="AT699" i="61"/>
  <c r="BD699" i="61"/>
  <c r="BN699" i="61"/>
  <c r="BW699" i="61"/>
  <c r="CH699" i="61"/>
  <c r="CP699" i="61"/>
  <c r="CY699" i="61"/>
  <c r="EF699" i="61"/>
  <c r="FO699" i="61"/>
  <c r="GQ699" i="61"/>
  <c r="HS699" i="61"/>
  <c r="X700" i="61"/>
  <c r="AH700" i="61"/>
  <c r="AR700" i="61"/>
  <c r="BB700" i="61"/>
  <c r="BJ700" i="61"/>
  <c r="BT700" i="61"/>
  <c r="CD700" i="61"/>
  <c r="CM700" i="61"/>
  <c r="AC703" i="61"/>
  <c r="AM703" i="61"/>
  <c r="AW703" i="61"/>
  <c r="BE703" i="61"/>
  <c r="BO703" i="61"/>
  <c r="BY703" i="61"/>
  <c r="CH703" i="61"/>
  <c r="CS703" i="61"/>
  <c r="DA703" i="61"/>
  <c r="EP703" i="61"/>
  <c r="FU703" i="61"/>
  <c r="HD703" i="61"/>
  <c r="AA704" i="61"/>
  <c r="AK704" i="61"/>
  <c r="AW704" i="61"/>
  <c r="BL704" i="61"/>
  <c r="BX704" i="61"/>
  <c r="CI704" i="61"/>
  <c r="IM704" i="61"/>
  <c r="BV706" i="61"/>
  <c r="BW707" i="61"/>
  <c r="GI707" i="61"/>
  <c r="AM708" i="61"/>
  <c r="BU708" i="61"/>
  <c r="C878" i="61"/>
  <c r="P185" i="61"/>
  <c r="I417" i="61"/>
  <c r="S446" i="61"/>
  <c r="S452" i="61"/>
  <c r="J456" i="61"/>
  <c r="J462" i="61"/>
  <c r="V456" i="61"/>
  <c r="V452" i="61"/>
  <c r="J493" i="61"/>
  <c r="P506" i="61"/>
  <c r="V506" i="61"/>
  <c r="U539" i="61"/>
  <c r="M554" i="61"/>
  <c r="JK671" i="61"/>
  <c r="P789" i="61"/>
  <c r="L789" i="61"/>
  <c r="H789" i="61"/>
  <c r="I789" i="61"/>
  <c r="J798" i="61"/>
  <c r="N798" i="61"/>
  <c r="I820" i="61"/>
  <c r="K836" i="61"/>
  <c r="J446" i="61"/>
  <c r="V467" i="61"/>
  <c r="G506" i="61"/>
  <c r="J506" i="61"/>
  <c r="P512" i="61"/>
  <c r="S520" i="61"/>
  <c r="J546" i="61"/>
  <c r="G554" i="61"/>
  <c r="V540" i="61"/>
  <c r="P574" i="61"/>
  <c r="P578" i="61" s="1"/>
  <c r="V574" i="61"/>
  <c r="HV671" i="61"/>
  <c r="FM701" i="61"/>
  <c r="GD693" i="61"/>
  <c r="JJ689" i="61"/>
  <c r="JQ685" i="61"/>
  <c r="HD681" i="61"/>
  <c r="GB673" i="61"/>
  <c r="K789" i="61"/>
  <c r="G789" i="61"/>
  <c r="L802" i="61"/>
  <c r="P802" i="61"/>
  <c r="N807" i="61"/>
  <c r="P828" i="61"/>
  <c r="G1443" i="61"/>
  <c r="P1442" i="61"/>
  <c r="A1002" i="61"/>
  <c r="H1002" i="61" s="1"/>
  <c r="JB708" i="61"/>
  <c r="IX708" i="61"/>
  <c r="IT708" i="61"/>
  <c r="IP708" i="61"/>
  <c r="ET708" i="61"/>
  <c r="EP708" i="61"/>
  <c r="EL708" i="61"/>
  <c r="EH708" i="61"/>
  <c r="ED708" i="61"/>
  <c r="DZ708" i="61"/>
  <c r="DV708" i="61"/>
  <c r="DR708" i="61"/>
  <c r="DN708" i="61"/>
  <c r="DJ708" i="61"/>
  <c r="DF708" i="61"/>
  <c r="JA708" i="61"/>
  <c r="IV708" i="61"/>
  <c r="IQ708" i="61"/>
  <c r="ES708" i="61"/>
  <c r="EN708" i="61"/>
  <c r="EI708" i="61"/>
  <c r="EC708" i="61"/>
  <c r="DX708" i="61"/>
  <c r="DS708" i="61"/>
  <c r="DM708" i="61"/>
  <c r="DH708" i="61"/>
  <c r="IZ708" i="61"/>
  <c r="IS708" i="61"/>
  <c r="EQ708" i="61"/>
  <c r="EJ708" i="61"/>
  <c r="EB708" i="61"/>
  <c r="DU708" i="61"/>
  <c r="DO708" i="61"/>
  <c r="DG708" i="61"/>
  <c r="IY708" i="61"/>
  <c r="IO708" i="61"/>
  <c r="EO708" i="61"/>
  <c r="EF708" i="61"/>
  <c r="DW708" i="61"/>
  <c r="DL708" i="61"/>
  <c r="DD708" i="61"/>
  <c r="IW708" i="61"/>
  <c r="EM708" i="61"/>
  <c r="EA708" i="61"/>
  <c r="DP708" i="61"/>
  <c r="IU708" i="61"/>
  <c r="EV708" i="61"/>
  <c r="EK708" i="61"/>
  <c r="DY708" i="61"/>
  <c r="DK708" i="61"/>
  <c r="IY707" i="61"/>
  <c r="EF707" i="61"/>
  <c r="DH707" i="61"/>
  <c r="IR707" i="61"/>
  <c r="EI707" i="61"/>
  <c r="DG707" i="61"/>
  <c r="EV707" i="61"/>
  <c r="DP707" i="61"/>
  <c r="DS707" i="61"/>
  <c r="DX707" i="61"/>
  <c r="JB704" i="61"/>
  <c r="IX704" i="61"/>
  <c r="IT704" i="61"/>
  <c r="IP704" i="61"/>
  <c r="ET704" i="61"/>
  <c r="EP704" i="61"/>
  <c r="EL704" i="61"/>
  <c r="EH704" i="61"/>
  <c r="ED704" i="61"/>
  <c r="DZ704" i="61"/>
  <c r="DV704" i="61"/>
  <c r="DR704" i="61"/>
  <c r="DN704" i="61"/>
  <c r="DJ704" i="61"/>
  <c r="DF704" i="61"/>
  <c r="IY704" i="61"/>
  <c r="IS704" i="61"/>
  <c r="IN704" i="61"/>
  <c r="EV704" i="61"/>
  <c r="EQ704" i="61"/>
  <c r="EK704" i="61"/>
  <c r="EF704" i="61"/>
  <c r="EA704" i="61"/>
  <c r="DU704" i="61"/>
  <c r="DP704" i="61"/>
  <c r="DK704" i="61"/>
  <c r="DE704" i="61"/>
  <c r="IZ704" i="61"/>
  <c r="IR704" i="61"/>
  <c r="EO704" i="61"/>
  <c r="EI704" i="61"/>
  <c r="EB704" i="61"/>
  <c r="DT704" i="61"/>
  <c r="DM704" i="61"/>
  <c r="DG704" i="61"/>
  <c r="JA704" i="61"/>
  <c r="IQ704" i="61"/>
  <c r="ER704" i="61"/>
  <c r="EG704" i="61"/>
  <c r="DX704" i="61"/>
  <c r="DO704" i="61"/>
  <c r="DD704" i="61"/>
  <c r="IW704" i="61"/>
  <c r="IO704" i="61"/>
  <c r="EN704" i="61"/>
  <c r="EE704" i="61"/>
  <c r="DW704" i="61"/>
  <c r="DL704" i="61"/>
  <c r="JB703" i="61"/>
  <c r="IX703" i="61"/>
  <c r="IT703" i="61"/>
  <c r="IP703" i="61"/>
  <c r="IY703" i="61"/>
  <c r="IS703" i="61"/>
  <c r="IN703" i="61"/>
  <c r="EV703" i="61"/>
  <c r="ER703" i="61"/>
  <c r="EN703" i="61"/>
  <c r="EJ703" i="61"/>
  <c r="EF703" i="61"/>
  <c r="EB703" i="61"/>
  <c r="DX703" i="61"/>
  <c r="DT703" i="61"/>
  <c r="DP703" i="61"/>
  <c r="DL703" i="61"/>
  <c r="DH703" i="61"/>
  <c r="DD703" i="61"/>
  <c r="IW703" i="61"/>
  <c r="IQ703" i="61"/>
  <c r="ES703" i="61"/>
  <c r="EM703" i="61"/>
  <c r="EH703" i="61"/>
  <c r="EC703" i="61"/>
  <c r="DW703" i="61"/>
  <c r="DR703" i="61"/>
  <c r="DM703" i="61"/>
  <c r="DG703" i="61"/>
  <c r="IU703" i="61"/>
  <c r="EU703" i="61"/>
  <c r="EO703" i="61"/>
  <c r="EG703" i="61"/>
  <c r="DZ703" i="61"/>
  <c r="DS703" i="61"/>
  <c r="DK703" i="61"/>
  <c r="DE703" i="61"/>
  <c r="JA703" i="61"/>
  <c r="IR703" i="61"/>
  <c r="ET703" i="61"/>
  <c r="EL703" i="61"/>
  <c r="EE703" i="61"/>
  <c r="DY703" i="61"/>
  <c r="DQ703" i="61"/>
  <c r="DJ703" i="61"/>
  <c r="JA700" i="61"/>
  <c r="IW700" i="61"/>
  <c r="IS700" i="61"/>
  <c r="IO700" i="61"/>
  <c r="ES700" i="61"/>
  <c r="EO700" i="61"/>
  <c r="EK700" i="61"/>
  <c r="EG700" i="61"/>
  <c r="EC700" i="61"/>
  <c r="DY700" i="61"/>
  <c r="DU700" i="61"/>
  <c r="DQ700" i="61"/>
  <c r="DM700" i="61"/>
  <c r="DI700" i="61"/>
  <c r="DE700" i="61"/>
  <c r="IZ700" i="61"/>
  <c r="IU700" i="61"/>
  <c r="IP700" i="61"/>
  <c r="ER700" i="61"/>
  <c r="EM700" i="61"/>
  <c r="EH700" i="61"/>
  <c r="EB700" i="61"/>
  <c r="DW700" i="61"/>
  <c r="DR700" i="61"/>
  <c r="DL700" i="61"/>
  <c r="DG700" i="61"/>
  <c r="IV700" i="61"/>
  <c r="IN700" i="61"/>
  <c r="ET700" i="61"/>
  <c r="EL700" i="61"/>
  <c r="EE700" i="61"/>
  <c r="DX700" i="61"/>
  <c r="DP700" i="61"/>
  <c r="DJ700" i="61"/>
  <c r="JB700" i="61"/>
  <c r="IT700" i="61"/>
  <c r="EQ700" i="61"/>
  <c r="EJ700" i="61"/>
  <c r="ED700" i="61"/>
  <c r="DV700" i="61"/>
  <c r="DO700" i="61"/>
  <c r="DH700" i="61"/>
  <c r="JA699" i="61"/>
  <c r="IW699" i="61"/>
  <c r="IS699" i="61"/>
  <c r="IO699" i="61"/>
  <c r="ES699" i="61"/>
  <c r="EO699" i="61"/>
  <c r="EK699" i="61"/>
  <c r="EG699" i="61"/>
  <c r="EC699" i="61"/>
  <c r="DY699" i="61"/>
  <c r="DU699" i="61"/>
  <c r="DQ699" i="61"/>
  <c r="DM699" i="61"/>
  <c r="DI699" i="61"/>
  <c r="DE699" i="61"/>
  <c r="IZ699" i="61"/>
  <c r="IU699" i="61"/>
  <c r="IP699" i="61"/>
  <c r="ER699" i="61"/>
  <c r="EM699" i="61"/>
  <c r="EH699" i="61"/>
  <c r="EB699" i="61"/>
  <c r="DW699" i="61"/>
  <c r="DR699" i="61"/>
  <c r="DL699" i="61"/>
  <c r="DG699" i="61"/>
  <c r="JB699" i="61"/>
  <c r="IT699" i="61"/>
  <c r="EQ699" i="61"/>
  <c r="EJ699" i="61"/>
  <c r="ED699" i="61"/>
  <c r="DV699" i="61"/>
  <c r="DO699" i="61"/>
  <c r="DH699" i="61"/>
  <c r="IY699" i="61"/>
  <c r="IR699" i="61"/>
  <c r="EV699" i="61"/>
  <c r="EP699" i="61"/>
  <c r="EI699" i="61"/>
  <c r="EA699" i="61"/>
  <c r="DT699" i="61"/>
  <c r="DN699" i="61"/>
  <c r="DF699" i="61"/>
  <c r="JB696" i="61"/>
  <c r="IX696" i="61"/>
  <c r="IT696" i="61"/>
  <c r="IP696" i="61"/>
  <c r="ET696" i="61"/>
  <c r="EP696" i="61"/>
  <c r="EL696" i="61"/>
  <c r="EH696" i="61"/>
  <c r="ED696" i="61"/>
  <c r="DZ696" i="61"/>
  <c r="DV696" i="61"/>
  <c r="DR696" i="61"/>
  <c r="DN696" i="61"/>
  <c r="DJ696" i="61"/>
  <c r="DF696" i="61"/>
  <c r="IY696" i="61"/>
  <c r="IS696" i="61"/>
  <c r="IN696" i="61"/>
  <c r="EV696" i="61"/>
  <c r="EQ696" i="61"/>
  <c r="EK696" i="61"/>
  <c r="EF696" i="61"/>
  <c r="EA696" i="61"/>
  <c r="DU696" i="61"/>
  <c r="DP696" i="61"/>
  <c r="DK696" i="61"/>
  <c r="DE696" i="61"/>
  <c r="IW696" i="61"/>
  <c r="IR696" i="61"/>
  <c r="EU696" i="61"/>
  <c r="EO696" i="61"/>
  <c r="EJ696" i="61"/>
  <c r="EE696" i="61"/>
  <c r="DY696" i="61"/>
  <c r="DT696" i="61"/>
  <c r="DO696" i="61"/>
  <c r="DI696" i="61"/>
  <c r="DD696" i="61"/>
  <c r="JB695" i="61"/>
  <c r="IX695" i="61"/>
  <c r="IT695" i="61"/>
  <c r="IP695" i="61"/>
  <c r="ET695" i="61"/>
  <c r="EP695" i="61"/>
  <c r="EL695" i="61"/>
  <c r="EH695" i="61"/>
  <c r="ED695" i="61"/>
  <c r="DZ695" i="61"/>
  <c r="DV695" i="61"/>
  <c r="DR695" i="61"/>
  <c r="DN695" i="61"/>
  <c r="DJ695" i="61"/>
  <c r="DF695" i="61"/>
  <c r="IY695" i="61"/>
  <c r="IS695" i="61"/>
  <c r="IN695" i="61"/>
  <c r="EV695" i="61"/>
  <c r="EQ695" i="61"/>
  <c r="EK695" i="61"/>
  <c r="EF695" i="61"/>
  <c r="EA695" i="61"/>
  <c r="DU695" i="61"/>
  <c r="DP695" i="61"/>
  <c r="DK695" i="61"/>
  <c r="DE695" i="61"/>
  <c r="IW695" i="61"/>
  <c r="IR695" i="61"/>
  <c r="EU695" i="61"/>
  <c r="EO695" i="61"/>
  <c r="EJ695" i="61"/>
  <c r="EE695" i="61"/>
  <c r="DY695" i="61"/>
  <c r="DT695" i="61"/>
  <c r="DO695" i="61"/>
  <c r="DI695" i="61"/>
  <c r="DD695" i="61"/>
  <c r="IZ692" i="61"/>
  <c r="IV692" i="61"/>
  <c r="IR692" i="61"/>
  <c r="IN692" i="61"/>
  <c r="EV692" i="61"/>
  <c r="ER692" i="61"/>
  <c r="EN692" i="61"/>
  <c r="EJ692" i="61"/>
  <c r="EF692" i="61"/>
  <c r="EB692" i="61"/>
  <c r="DX692" i="61"/>
  <c r="DT692" i="61"/>
  <c r="DP692" i="61"/>
  <c r="DL692" i="61"/>
  <c r="DH692" i="61"/>
  <c r="DD692" i="61"/>
  <c r="JA692" i="61"/>
  <c r="IU692" i="61"/>
  <c r="IP692" i="61"/>
  <c r="ES692" i="61"/>
  <c r="EM692" i="61"/>
  <c r="EH692" i="61"/>
  <c r="EC692" i="61"/>
  <c r="DW692" i="61"/>
  <c r="DR692" i="61"/>
  <c r="DM692" i="61"/>
  <c r="DG692" i="61"/>
  <c r="IY692" i="61"/>
  <c r="IT692" i="61"/>
  <c r="IO692" i="61"/>
  <c r="EQ692" i="61"/>
  <c r="EL692" i="61"/>
  <c r="EG692" i="61"/>
  <c r="EA692" i="61"/>
  <c r="DV692" i="61"/>
  <c r="DQ692" i="61"/>
  <c r="DK692" i="61"/>
  <c r="DF692" i="61"/>
  <c r="IZ691" i="61"/>
  <c r="IV691" i="61"/>
  <c r="IR691" i="61"/>
  <c r="IN691" i="61"/>
  <c r="EV691" i="61"/>
  <c r="ER691" i="61"/>
  <c r="EN691" i="61"/>
  <c r="EJ691" i="61"/>
  <c r="EF691" i="61"/>
  <c r="EB691" i="61"/>
  <c r="DX691" i="61"/>
  <c r="DT691" i="61"/>
  <c r="DP691" i="61"/>
  <c r="DL691" i="61"/>
  <c r="DH691" i="61"/>
  <c r="DD691" i="61"/>
  <c r="JA691" i="61"/>
  <c r="IU691" i="61"/>
  <c r="IP691" i="61"/>
  <c r="ES691" i="61"/>
  <c r="EM691" i="61"/>
  <c r="EH691" i="61"/>
  <c r="EC691" i="61"/>
  <c r="DW691" i="61"/>
  <c r="DR691" i="61"/>
  <c r="DM691" i="61"/>
  <c r="DG691" i="61"/>
  <c r="IY691" i="61"/>
  <c r="IT691" i="61"/>
  <c r="IO691" i="61"/>
  <c r="EQ691" i="61"/>
  <c r="EL691" i="61"/>
  <c r="EG691" i="61"/>
  <c r="EA691" i="61"/>
  <c r="DV691" i="61"/>
  <c r="DQ691" i="61"/>
  <c r="DK691" i="61"/>
  <c r="DF691" i="61"/>
  <c r="IU690" i="61"/>
  <c r="DW690" i="61"/>
  <c r="IZ688" i="61"/>
  <c r="IV688" i="61"/>
  <c r="IR688" i="61"/>
  <c r="IN688" i="61"/>
  <c r="EV688" i="61"/>
  <c r="ER688" i="61"/>
  <c r="EN688" i="61"/>
  <c r="EJ688" i="61"/>
  <c r="EF688" i="61"/>
  <c r="EB688" i="61"/>
  <c r="DX688" i="61"/>
  <c r="DT688" i="61"/>
  <c r="DP688" i="61"/>
  <c r="DL688" i="61"/>
  <c r="DH688" i="61"/>
  <c r="DD688" i="61"/>
  <c r="IX688" i="61"/>
  <c r="IS688" i="61"/>
  <c r="EU688" i="61"/>
  <c r="EP688" i="61"/>
  <c r="EK688" i="61"/>
  <c r="EE688" i="61"/>
  <c r="DZ688" i="61"/>
  <c r="DU688" i="61"/>
  <c r="DO688" i="61"/>
  <c r="DJ688" i="61"/>
  <c r="DE688" i="61"/>
  <c r="IZ687" i="61"/>
  <c r="IV687" i="61"/>
  <c r="IR687" i="61"/>
  <c r="IN687" i="61"/>
  <c r="EV687" i="61"/>
  <c r="ER687" i="61"/>
  <c r="EN687" i="61"/>
  <c r="EJ687" i="61"/>
  <c r="EF687" i="61"/>
  <c r="EB687" i="61"/>
  <c r="DX687" i="61"/>
  <c r="DT687" i="61"/>
  <c r="DP687" i="61"/>
  <c r="DL687" i="61"/>
  <c r="DH687" i="61"/>
  <c r="DD687" i="61"/>
  <c r="IX687" i="61"/>
  <c r="IS687" i="61"/>
  <c r="EU687" i="61"/>
  <c r="EP687" i="61"/>
  <c r="EK687" i="61"/>
  <c r="EE687" i="61"/>
  <c r="DZ687" i="61"/>
  <c r="DU687" i="61"/>
  <c r="DO687" i="61"/>
  <c r="DJ687" i="61"/>
  <c r="DE687" i="61"/>
  <c r="IZ684" i="61"/>
  <c r="IV684" i="61"/>
  <c r="IR684" i="61"/>
  <c r="IN684" i="61"/>
  <c r="EV684" i="61"/>
  <c r="ER684" i="61"/>
  <c r="EN684" i="61"/>
  <c r="EJ684" i="61"/>
  <c r="EF684" i="61"/>
  <c r="EB684" i="61"/>
  <c r="DX684" i="61"/>
  <c r="DT684" i="61"/>
  <c r="DP684" i="61"/>
  <c r="DL684" i="61"/>
  <c r="DH684" i="61"/>
  <c r="DD684" i="61"/>
  <c r="IZ683" i="61"/>
  <c r="IV683" i="61"/>
  <c r="IR683" i="61"/>
  <c r="IN683" i="61"/>
  <c r="EV683" i="61"/>
  <c r="ER683" i="61"/>
  <c r="EN683" i="61"/>
  <c r="EJ683" i="61"/>
  <c r="EF683" i="61"/>
  <c r="EB683" i="61"/>
  <c r="DX683" i="61"/>
  <c r="DT683" i="61"/>
  <c r="DP683" i="61"/>
  <c r="DL683" i="61"/>
  <c r="DH683" i="61"/>
  <c r="DD683" i="61"/>
  <c r="IY680" i="61"/>
  <c r="IU680" i="61"/>
  <c r="IQ680" i="61"/>
  <c r="EU680" i="61"/>
  <c r="EQ680" i="61"/>
  <c r="EM680" i="61"/>
  <c r="EI680" i="61"/>
  <c r="EE680" i="61"/>
  <c r="EA680" i="61"/>
  <c r="DW680" i="61"/>
  <c r="DS680" i="61"/>
  <c r="DO680" i="61"/>
  <c r="DK680" i="61"/>
  <c r="DG680" i="61"/>
  <c r="IZ679" i="61"/>
  <c r="IV679" i="61"/>
  <c r="IR679" i="61"/>
  <c r="IN679" i="61"/>
  <c r="EV679" i="61"/>
  <c r="ER679" i="61"/>
  <c r="EN679" i="61"/>
  <c r="EJ679" i="61"/>
  <c r="EF679" i="61"/>
  <c r="EB679" i="61"/>
  <c r="DX679" i="61"/>
  <c r="DT679" i="61"/>
  <c r="DP679" i="61"/>
  <c r="DL679" i="61"/>
  <c r="DH679" i="61"/>
  <c r="DD679" i="61"/>
  <c r="JB676" i="61"/>
  <c r="IX676" i="61"/>
  <c r="IT676" i="61"/>
  <c r="IP676" i="61"/>
  <c r="ET676" i="61"/>
  <c r="EP676" i="61"/>
  <c r="EL676" i="61"/>
  <c r="EH676" i="61"/>
  <c r="ED676" i="61"/>
  <c r="DZ676" i="61"/>
  <c r="DV676" i="61"/>
  <c r="DR676" i="61"/>
  <c r="DN676" i="61"/>
  <c r="DJ676" i="61"/>
  <c r="DF676" i="61"/>
  <c r="IY675" i="61"/>
  <c r="IU675" i="61"/>
  <c r="IQ675" i="61"/>
  <c r="EU675" i="61"/>
  <c r="EQ675" i="61"/>
  <c r="EM675" i="61"/>
  <c r="EI675" i="61"/>
  <c r="EE675" i="61"/>
  <c r="EA675" i="61"/>
  <c r="DW675" i="61"/>
  <c r="DS675" i="61"/>
  <c r="DO675" i="61"/>
  <c r="DK675" i="61"/>
  <c r="DG675" i="61"/>
  <c r="IN673" i="61"/>
  <c r="EO673" i="61"/>
  <c r="DI673" i="61"/>
  <c r="IZ672" i="61"/>
  <c r="IV672" i="61"/>
  <c r="IR672" i="61"/>
  <c r="IN672" i="61"/>
  <c r="EV672" i="61"/>
  <c r="ER672" i="61"/>
  <c r="EN672" i="61"/>
  <c r="EJ672" i="61"/>
  <c r="EF672" i="61"/>
  <c r="EB672" i="61"/>
  <c r="DX672" i="61"/>
  <c r="DT672" i="61"/>
  <c r="DP672" i="61"/>
  <c r="DL672" i="61"/>
  <c r="DH672" i="61"/>
  <c r="DD672" i="61"/>
  <c r="DE672" i="61"/>
  <c r="DJ672" i="61"/>
  <c r="DO672" i="61"/>
  <c r="DU672" i="61"/>
  <c r="DZ672" i="61"/>
  <c r="EE672" i="61"/>
  <c r="EK672" i="61"/>
  <c r="EP672" i="61"/>
  <c r="EU672" i="61"/>
  <c r="IS672" i="61"/>
  <c r="IX672" i="61"/>
  <c r="JC672" i="61"/>
  <c r="JI672" i="61"/>
  <c r="DY673" i="61"/>
  <c r="JD673" i="61"/>
  <c r="EJ674" i="61"/>
  <c r="JF674" i="61"/>
  <c r="JL674" i="61"/>
  <c r="DH675" i="61"/>
  <c r="DM675" i="61"/>
  <c r="DR675" i="61"/>
  <c r="DX675" i="61"/>
  <c r="EC675" i="61"/>
  <c r="EH675" i="61"/>
  <c r="EN675" i="61"/>
  <c r="ES675" i="61"/>
  <c r="IP675" i="61"/>
  <c r="IV675" i="61"/>
  <c r="JA675" i="61"/>
  <c r="DG676" i="61"/>
  <c r="DL676" i="61"/>
  <c r="DQ676" i="61"/>
  <c r="DW676" i="61"/>
  <c r="EB676" i="61"/>
  <c r="EG676" i="61"/>
  <c r="EM676" i="61"/>
  <c r="ER676" i="61"/>
  <c r="IO676" i="61"/>
  <c r="IU676" i="61"/>
  <c r="IZ676" i="61"/>
  <c r="JE676" i="61"/>
  <c r="JK676" i="61"/>
  <c r="JH677" i="61"/>
  <c r="DX678" i="61"/>
  <c r="JE678" i="61"/>
  <c r="JJ678" i="61"/>
  <c r="DF679" i="61"/>
  <c r="DK679" i="61"/>
  <c r="DQ679" i="61"/>
  <c r="DV679" i="61"/>
  <c r="EA679" i="61"/>
  <c r="EG679" i="61"/>
  <c r="EL679" i="61"/>
  <c r="EQ679" i="61"/>
  <c r="IO679" i="61"/>
  <c r="IT679" i="61"/>
  <c r="IY679" i="61"/>
  <c r="DE680" i="61"/>
  <c r="DJ680" i="61"/>
  <c r="DP680" i="61"/>
  <c r="DU680" i="61"/>
  <c r="DZ680" i="61"/>
  <c r="EF680" i="61"/>
  <c r="EK680" i="61"/>
  <c r="EP680" i="61"/>
  <c r="EV680" i="61"/>
  <c r="IN680" i="61"/>
  <c r="IS680" i="61"/>
  <c r="IX680" i="61"/>
  <c r="JD680" i="61"/>
  <c r="JI680" i="61"/>
  <c r="DL681" i="61"/>
  <c r="JC682" i="61"/>
  <c r="JI682" i="61"/>
  <c r="DE683" i="61"/>
  <c r="DJ683" i="61"/>
  <c r="DO683" i="61"/>
  <c r="DU683" i="61"/>
  <c r="DZ683" i="61"/>
  <c r="EE683" i="61"/>
  <c r="EK683" i="61"/>
  <c r="EP683" i="61"/>
  <c r="EU683" i="61"/>
  <c r="IS683" i="61"/>
  <c r="IX683" i="61"/>
  <c r="DE684" i="61"/>
  <c r="DJ684" i="61"/>
  <c r="DO684" i="61"/>
  <c r="DU684" i="61"/>
  <c r="DZ684" i="61"/>
  <c r="EE684" i="61"/>
  <c r="EK684" i="61"/>
  <c r="EP684" i="61"/>
  <c r="EU684" i="61"/>
  <c r="IS684" i="61"/>
  <c r="IX684" i="61"/>
  <c r="JC684" i="61"/>
  <c r="JI684" i="61"/>
  <c r="DM685" i="61"/>
  <c r="DZ686" i="61"/>
  <c r="JF686" i="61"/>
  <c r="DF687" i="61"/>
  <c r="DM687" i="61"/>
  <c r="DS687" i="61"/>
  <c r="EA687" i="61"/>
  <c r="EH687" i="61"/>
  <c r="EO687" i="61"/>
  <c r="IQ687" i="61"/>
  <c r="IY687" i="61"/>
  <c r="DG688" i="61"/>
  <c r="DN688" i="61"/>
  <c r="DV688" i="61"/>
  <c r="EC688" i="61"/>
  <c r="EI688" i="61"/>
  <c r="EQ688" i="61"/>
  <c r="IT688" i="61"/>
  <c r="JA688" i="61"/>
  <c r="JG688" i="61"/>
  <c r="JJ690" i="61"/>
  <c r="DN691" i="61"/>
  <c r="DY691" i="61"/>
  <c r="EI691" i="61"/>
  <c r="ET691" i="61"/>
  <c r="IQ691" i="61"/>
  <c r="JB691" i="61"/>
  <c r="DN692" i="61"/>
  <c r="DY692" i="61"/>
  <c r="EI692" i="61"/>
  <c r="ET692" i="61"/>
  <c r="IQ692" i="61"/>
  <c r="JB692" i="61"/>
  <c r="IP693" i="61"/>
  <c r="JH694" i="61"/>
  <c r="DL695" i="61"/>
  <c r="DW695" i="61"/>
  <c r="EG695" i="61"/>
  <c r="ER695" i="61"/>
  <c r="IO695" i="61"/>
  <c r="IZ695" i="61"/>
  <c r="DL696" i="61"/>
  <c r="DW696" i="61"/>
  <c r="EG696" i="61"/>
  <c r="ER696" i="61"/>
  <c r="IO696" i="61"/>
  <c r="IZ696" i="61"/>
  <c r="JK696" i="61"/>
  <c r="DJ699" i="61"/>
  <c r="DX699" i="61"/>
  <c r="EL699" i="61"/>
  <c r="IN699" i="61"/>
  <c r="DD700" i="61"/>
  <c r="DS700" i="61"/>
  <c r="EF700" i="61"/>
  <c r="EU700" i="61"/>
  <c r="IX700" i="61"/>
  <c r="JL700" i="61"/>
  <c r="DO703" i="61"/>
  <c r="ED703" i="61"/>
  <c r="EQ703" i="61"/>
  <c r="DI704" i="61"/>
  <c r="EC704" i="61"/>
  <c r="EU704" i="61"/>
  <c r="JC704" i="61"/>
  <c r="EN707" i="61"/>
  <c r="DI708" i="61"/>
  <c r="EG708" i="61"/>
  <c r="JC708" i="61"/>
  <c r="HZ708" i="61"/>
  <c r="HV708" i="61"/>
  <c r="HR708" i="61"/>
  <c r="HN708" i="61"/>
  <c r="HJ708" i="61"/>
  <c r="HF708" i="61"/>
  <c r="HB708" i="61"/>
  <c r="GX708" i="61"/>
  <c r="GT708" i="61"/>
  <c r="GP708" i="61"/>
  <c r="GL708" i="61"/>
  <c r="GH708" i="61"/>
  <c r="GD708" i="61"/>
  <c r="FZ708" i="61"/>
  <c r="FV708" i="61"/>
  <c r="FR708" i="61"/>
  <c r="FN708" i="61"/>
  <c r="FJ708" i="61"/>
  <c r="FF708" i="61"/>
  <c r="FB708" i="61"/>
  <c r="EX708" i="61"/>
  <c r="IA708" i="61"/>
  <c r="HU708" i="61"/>
  <c r="HP708" i="61"/>
  <c r="HK708" i="61"/>
  <c r="HE708" i="61"/>
  <c r="GZ708" i="61"/>
  <c r="GU708" i="61"/>
  <c r="GO708" i="61"/>
  <c r="GJ708" i="61"/>
  <c r="GE708" i="61"/>
  <c r="FY708" i="61"/>
  <c r="FT708" i="61"/>
  <c r="FO708" i="61"/>
  <c r="FI708" i="61"/>
  <c r="FD708" i="61"/>
  <c r="EY708" i="61"/>
  <c r="HX708" i="61"/>
  <c r="HQ708" i="61"/>
  <c r="HI708" i="61"/>
  <c r="HC708" i="61"/>
  <c r="GV708" i="61"/>
  <c r="GN708" i="61"/>
  <c r="GG708" i="61"/>
  <c r="GA708" i="61"/>
  <c r="FS708" i="61"/>
  <c r="FL708" i="61"/>
  <c r="FE708" i="61"/>
  <c r="EW708" i="61"/>
  <c r="HW708" i="61"/>
  <c r="HM708" i="61"/>
  <c r="HD708" i="61"/>
  <c r="GS708" i="61"/>
  <c r="GK708" i="61"/>
  <c r="GB708" i="61"/>
  <c r="FQ708" i="61"/>
  <c r="FH708" i="61"/>
  <c r="EZ708" i="61"/>
  <c r="HY708" i="61"/>
  <c r="HL708" i="61"/>
  <c r="GY708" i="61"/>
  <c r="GM708" i="61"/>
  <c r="FX708" i="61"/>
  <c r="FM708" i="61"/>
  <c r="FA708" i="61"/>
  <c r="JK708" i="61"/>
  <c r="HT708" i="61"/>
  <c r="HH708" i="61"/>
  <c r="GW708" i="61"/>
  <c r="GI708" i="61"/>
  <c r="FW708" i="61"/>
  <c r="FK708" i="61"/>
  <c r="IC707" i="61"/>
  <c r="HY707" i="61"/>
  <c r="HU707" i="61"/>
  <c r="HQ707" i="61"/>
  <c r="HM707" i="61"/>
  <c r="HI707" i="61"/>
  <c r="HE707" i="61"/>
  <c r="HA707" i="61"/>
  <c r="GW707" i="61"/>
  <c r="GS707" i="61"/>
  <c r="GO707" i="61"/>
  <c r="GK707" i="61"/>
  <c r="GG707" i="61"/>
  <c r="GC707" i="61"/>
  <c r="FY707" i="61"/>
  <c r="FU707" i="61"/>
  <c r="FQ707" i="61"/>
  <c r="FM707" i="61"/>
  <c r="FI707" i="61"/>
  <c r="FE707" i="61"/>
  <c r="FA707" i="61"/>
  <c r="EW707" i="61"/>
  <c r="IA707" i="61"/>
  <c r="HV707" i="61"/>
  <c r="HP707" i="61"/>
  <c r="HK707" i="61"/>
  <c r="HF707" i="61"/>
  <c r="GZ707" i="61"/>
  <c r="GU707" i="61"/>
  <c r="GP707" i="61"/>
  <c r="GJ707" i="61"/>
  <c r="GE707" i="61"/>
  <c r="FZ707" i="61"/>
  <c r="FT707" i="61"/>
  <c r="FO707" i="61"/>
  <c r="FJ707" i="61"/>
  <c r="FD707" i="61"/>
  <c r="EY707" i="61"/>
  <c r="HW707" i="61"/>
  <c r="HO707" i="61"/>
  <c r="HH707" i="61"/>
  <c r="HB707" i="61"/>
  <c r="GT707" i="61"/>
  <c r="GM707" i="61"/>
  <c r="GF707" i="61"/>
  <c r="FX707" i="61"/>
  <c r="FR707" i="61"/>
  <c r="FK707" i="61"/>
  <c r="FC707" i="61"/>
  <c r="HX707" i="61"/>
  <c r="HN707" i="61"/>
  <c r="HD707" i="61"/>
  <c r="GV707" i="61"/>
  <c r="GL707" i="61"/>
  <c r="GB707" i="61"/>
  <c r="FS707" i="61"/>
  <c r="FH707" i="61"/>
  <c r="EZ707" i="61"/>
  <c r="IB707" i="61"/>
  <c r="HR707" i="61"/>
  <c r="HC707" i="61"/>
  <c r="GQ707" i="61"/>
  <c r="GD707" i="61"/>
  <c r="FP707" i="61"/>
  <c r="FF707" i="61"/>
  <c r="HZ707" i="61"/>
  <c r="HL707" i="61"/>
  <c r="GY707" i="61"/>
  <c r="GN707" i="61"/>
  <c r="GA707" i="61"/>
  <c r="FN707" i="61"/>
  <c r="FB707" i="61"/>
  <c r="JO706" i="61"/>
  <c r="JD706" i="61"/>
  <c r="IB706" i="61"/>
  <c r="HT706" i="61"/>
  <c r="HM706" i="61"/>
  <c r="HG706" i="61"/>
  <c r="GY706" i="61"/>
  <c r="GR706" i="61"/>
  <c r="GK706" i="61"/>
  <c r="GC706" i="61"/>
  <c r="FW706" i="61"/>
  <c r="FP706" i="61"/>
  <c r="FH706" i="61"/>
  <c r="FA706" i="61"/>
  <c r="JC706" i="61"/>
  <c r="HX706" i="61"/>
  <c r="HO706" i="61"/>
  <c r="HD706" i="61"/>
  <c r="GV706" i="61"/>
  <c r="GM706" i="61"/>
  <c r="GB706" i="61"/>
  <c r="FS706" i="61"/>
  <c r="FK706" i="61"/>
  <c r="EZ706" i="61"/>
  <c r="JL706" i="61"/>
  <c r="IC706" i="61"/>
  <c r="HQ706" i="61"/>
  <c r="HC706" i="61"/>
  <c r="GQ706" i="61"/>
  <c r="GF706" i="61"/>
  <c r="FQ706" i="61"/>
  <c r="FE706" i="61"/>
  <c r="JK706" i="61"/>
  <c r="HW706" i="61"/>
  <c r="HH706" i="61"/>
  <c r="GN706" i="61"/>
  <c r="FX706" i="61"/>
  <c r="FG706" i="61"/>
  <c r="JG706" i="61"/>
  <c r="HS706" i="61"/>
  <c r="HA706" i="61"/>
  <c r="GI706" i="61"/>
  <c r="FU706" i="61"/>
  <c r="FC706" i="61"/>
  <c r="JN704" i="61"/>
  <c r="JJ704" i="61"/>
  <c r="JF704" i="61"/>
  <c r="HZ704" i="61"/>
  <c r="HV704" i="61"/>
  <c r="HR704" i="61"/>
  <c r="HN704" i="61"/>
  <c r="HJ704" i="61"/>
  <c r="HF704" i="61"/>
  <c r="HB704" i="61"/>
  <c r="GX704" i="61"/>
  <c r="GT704" i="61"/>
  <c r="GP704" i="61"/>
  <c r="GL704" i="61"/>
  <c r="GH704" i="61"/>
  <c r="GD704" i="61"/>
  <c r="FZ704" i="61"/>
  <c r="FV704" i="61"/>
  <c r="FR704" i="61"/>
  <c r="FN704" i="61"/>
  <c r="FJ704" i="61"/>
  <c r="FF704" i="61"/>
  <c r="FB704" i="61"/>
  <c r="EX704" i="61"/>
  <c r="JO704" i="61"/>
  <c r="JI704" i="61"/>
  <c r="JD704" i="61"/>
  <c r="IC704" i="61"/>
  <c r="HX704" i="61"/>
  <c r="HS704" i="61"/>
  <c r="HM704" i="61"/>
  <c r="HH704" i="61"/>
  <c r="HC704" i="61"/>
  <c r="GW704" i="61"/>
  <c r="GR704" i="61"/>
  <c r="GM704" i="61"/>
  <c r="GG704" i="61"/>
  <c r="GB704" i="61"/>
  <c r="FW704" i="61"/>
  <c r="FQ704" i="61"/>
  <c r="FL704" i="61"/>
  <c r="FG704" i="61"/>
  <c r="FA704" i="61"/>
  <c r="JM704" i="61"/>
  <c r="JG704" i="61"/>
  <c r="HW704" i="61"/>
  <c r="HP704" i="61"/>
  <c r="HI704" i="61"/>
  <c r="HA704" i="61"/>
  <c r="GU704" i="61"/>
  <c r="GN704" i="61"/>
  <c r="GF704" i="61"/>
  <c r="FY704" i="61"/>
  <c r="FS704" i="61"/>
  <c r="FK704" i="61"/>
  <c r="FD704" i="61"/>
  <c r="EW704" i="61"/>
  <c r="JK704" i="61"/>
  <c r="HY704" i="61"/>
  <c r="HO704" i="61"/>
  <c r="HE704" i="61"/>
  <c r="GV704" i="61"/>
  <c r="GK704" i="61"/>
  <c r="GC704" i="61"/>
  <c r="FT704" i="61"/>
  <c r="FI704" i="61"/>
  <c r="EZ704" i="61"/>
  <c r="JQ704" i="61"/>
  <c r="JH704" i="61"/>
  <c r="HU704" i="61"/>
  <c r="HL704" i="61"/>
  <c r="HD704" i="61"/>
  <c r="GS704" i="61"/>
  <c r="GJ704" i="61"/>
  <c r="GA704" i="61"/>
  <c r="FP704" i="61"/>
  <c r="FH704" i="61"/>
  <c r="EY704" i="61"/>
  <c r="HZ703" i="61"/>
  <c r="HV703" i="61"/>
  <c r="HR703" i="61"/>
  <c r="HN703" i="61"/>
  <c r="HJ703" i="61"/>
  <c r="HF703" i="61"/>
  <c r="HB703" i="61"/>
  <c r="GX703" i="61"/>
  <c r="GT703" i="61"/>
  <c r="GP703" i="61"/>
  <c r="GL703" i="61"/>
  <c r="GH703" i="61"/>
  <c r="GD703" i="61"/>
  <c r="IC703" i="61"/>
  <c r="HX703" i="61"/>
  <c r="HS703" i="61"/>
  <c r="HM703" i="61"/>
  <c r="HH703" i="61"/>
  <c r="HC703" i="61"/>
  <c r="GW703" i="61"/>
  <c r="GR703" i="61"/>
  <c r="GM703" i="61"/>
  <c r="GG703" i="61"/>
  <c r="GB703" i="61"/>
  <c r="FX703" i="61"/>
  <c r="FT703" i="61"/>
  <c r="FP703" i="61"/>
  <c r="FL703" i="61"/>
  <c r="FH703" i="61"/>
  <c r="FD703" i="61"/>
  <c r="EZ703" i="61"/>
  <c r="IB703" i="61"/>
  <c r="HU703" i="61"/>
  <c r="HO703" i="61"/>
  <c r="HG703" i="61"/>
  <c r="GZ703" i="61"/>
  <c r="GS703" i="61"/>
  <c r="GK703" i="61"/>
  <c r="GE703" i="61"/>
  <c r="FY703" i="61"/>
  <c r="FS703" i="61"/>
  <c r="FN703" i="61"/>
  <c r="FI703" i="61"/>
  <c r="FC703" i="61"/>
  <c r="EX703" i="61"/>
  <c r="IA703" i="61"/>
  <c r="HQ703" i="61"/>
  <c r="HI703" i="61"/>
  <c r="GY703" i="61"/>
  <c r="GO703" i="61"/>
  <c r="GF703" i="61"/>
  <c r="FW703" i="61"/>
  <c r="FQ703" i="61"/>
  <c r="FJ703" i="61"/>
  <c r="FB703" i="61"/>
  <c r="HY703" i="61"/>
  <c r="HP703" i="61"/>
  <c r="HE703" i="61"/>
  <c r="GV703" i="61"/>
  <c r="GN703" i="61"/>
  <c r="GC703" i="61"/>
  <c r="FV703" i="61"/>
  <c r="FO703" i="61"/>
  <c r="FG703" i="61"/>
  <c r="FA703" i="61"/>
  <c r="JP702" i="61"/>
  <c r="JL702" i="61"/>
  <c r="JH702" i="61"/>
  <c r="JD702" i="61"/>
  <c r="IA702" i="61"/>
  <c r="HW702" i="61"/>
  <c r="HS702" i="61"/>
  <c r="HO702" i="61"/>
  <c r="HK702" i="61"/>
  <c r="HG702" i="61"/>
  <c r="HC702" i="61"/>
  <c r="GY702" i="61"/>
  <c r="GU702" i="61"/>
  <c r="GQ702" i="61"/>
  <c r="GM702" i="61"/>
  <c r="GI702" i="61"/>
  <c r="GE702" i="61"/>
  <c r="GA702" i="61"/>
  <c r="FW702" i="61"/>
  <c r="FS702" i="61"/>
  <c r="FO702" i="61"/>
  <c r="FK702" i="61"/>
  <c r="FG702" i="61"/>
  <c r="FC702" i="61"/>
  <c r="EY702" i="61"/>
  <c r="JQ702" i="61"/>
  <c r="JK702" i="61"/>
  <c r="JF702" i="61"/>
  <c r="IB702" i="61"/>
  <c r="HV702" i="61"/>
  <c r="HQ702" i="61"/>
  <c r="HL702" i="61"/>
  <c r="HF702" i="61"/>
  <c r="HA702" i="61"/>
  <c r="GV702" i="61"/>
  <c r="GP702" i="61"/>
  <c r="GK702" i="61"/>
  <c r="GF702" i="61"/>
  <c r="FZ702" i="61"/>
  <c r="FU702" i="61"/>
  <c r="FP702" i="61"/>
  <c r="FJ702" i="61"/>
  <c r="FE702" i="61"/>
  <c r="EZ702" i="61"/>
  <c r="JM702" i="61"/>
  <c r="JE702" i="61"/>
  <c r="HY702" i="61"/>
  <c r="HR702" i="61"/>
  <c r="HJ702" i="61"/>
  <c r="HD702" i="61"/>
  <c r="GW702" i="61"/>
  <c r="GO702" i="61"/>
  <c r="GH702" i="61"/>
  <c r="GB702" i="61"/>
  <c r="FT702" i="61"/>
  <c r="FM702" i="61"/>
  <c r="FF702" i="61"/>
  <c r="EX702" i="61"/>
  <c r="JJ702" i="61"/>
  <c r="JC702" i="61"/>
  <c r="HX702" i="61"/>
  <c r="HP702" i="61"/>
  <c r="HI702" i="61"/>
  <c r="HB702" i="61"/>
  <c r="GT702" i="61"/>
  <c r="GN702" i="61"/>
  <c r="GG702" i="61"/>
  <c r="FY702" i="61"/>
  <c r="FR702" i="61"/>
  <c r="FL702" i="61"/>
  <c r="FD702" i="61"/>
  <c r="EW702" i="61"/>
  <c r="JQ700" i="61"/>
  <c r="JM700" i="61"/>
  <c r="JI700" i="61"/>
  <c r="JE700" i="61"/>
  <c r="IC700" i="61"/>
  <c r="HY700" i="61"/>
  <c r="HU700" i="61"/>
  <c r="HQ700" i="61"/>
  <c r="HM700" i="61"/>
  <c r="HI700" i="61"/>
  <c r="HE700" i="61"/>
  <c r="HA700" i="61"/>
  <c r="GW700" i="61"/>
  <c r="GS700" i="61"/>
  <c r="GO700" i="61"/>
  <c r="GK700" i="61"/>
  <c r="GG700" i="61"/>
  <c r="GC700" i="61"/>
  <c r="FY700" i="61"/>
  <c r="FU700" i="61"/>
  <c r="FQ700" i="61"/>
  <c r="FM700" i="61"/>
  <c r="FI700" i="61"/>
  <c r="FE700" i="61"/>
  <c r="FA700" i="61"/>
  <c r="EW700" i="61"/>
  <c r="JP700" i="61"/>
  <c r="JK700" i="61"/>
  <c r="JF700" i="61"/>
  <c r="HZ700" i="61"/>
  <c r="HT700" i="61"/>
  <c r="HO700" i="61"/>
  <c r="HJ700" i="61"/>
  <c r="HD700" i="61"/>
  <c r="GY700" i="61"/>
  <c r="GT700" i="61"/>
  <c r="GN700" i="61"/>
  <c r="GI700" i="61"/>
  <c r="GD700" i="61"/>
  <c r="FX700" i="61"/>
  <c r="FS700" i="61"/>
  <c r="FN700" i="61"/>
  <c r="FH700" i="61"/>
  <c r="FC700" i="61"/>
  <c r="EX700" i="61"/>
  <c r="JJ700" i="61"/>
  <c r="JC700" i="61"/>
  <c r="IA700" i="61"/>
  <c r="HS700" i="61"/>
  <c r="HL700" i="61"/>
  <c r="HF700" i="61"/>
  <c r="GX700" i="61"/>
  <c r="GQ700" i="61"/>
  <c r="GJ700" i="61"/>
  <c r="GB700" i="61"/>
  <c r="FV700" i="61"/>
  <c r="FO700" i="61"/>
  <c r="FG700" i="61"/>
  <c r="EZ700" i="61"/>
  <c r="JO700" i="61"/>
  <c r="JH700" i="61"/>
  <c r="HX700" i="61"/>
  <c r="HR700" i="61"/>
  <c r="HK700" i="61"/>
  <c r="HC700" i="61"/>
  <c r="GV700" i="61"/>
  <c r="GP700" i="61"/>
  <c r="GH700" i="61"/>
  <c r="GA700" i="61"/>
  <c r="FT700" i="61"/>
  <c r="FL700" i="61"/>
  <c r="FF700" i="61"/>
  <c r="EY700" i="61"/>
  <c r="IC699" i="61"/>
  <c r="HY699" i="61"/>
  <c r="HU699" i="61"/>
  <c r="HQ699" i="61"/>
  <c r="HM699" i="61"/>
  <c r="HI699" i="61"/>
  <c r="HE699" i="61"/>
  <c r="HA699" i="61"/>
  <c r="GW699" i="61"/>
  <c r="GS699" i="61"/>
  <c r="GO699" i="61"/>
  <c r="GK699" i="61"/>
  <c r="GG699" i="61"/>
  <c r="GC699" i="61"/>
  <c r="FY699" i="61"/>
  <c r="FU699" i="61"/>
  <c r="FQ699" i="61"/>
  <c r="FM699" i="61"/>
  <c r="FI699" i="61"/>
  <c r="FE699" i="61"/>
  <c r="FA699" i="61"/>
  <c r="EW699" i="61"/>
  <c r="HZ699" i="61"/>
  <c r="HT699" i="61"/>
  <c r="HO699" i="61"/>
  <c r="HJ699" i="61"/>
  <c r="HD699" i="61"/>
  <c r="GY699" i="61"/>
  <c r="GT699" i="61"/>
  <c r="GN699" i="61"/>
  <c r="GI699" i="61"/>
  <c r="GD699" i="61"/>
  <c r="FX699" i="61"/>
  <c r="FS699" i="61"/>
  <c r="FN699" i="61"/>
  <c r="FH699" i="61"/>
  <c r="FC699" i="61"/>
  <c r="EX699" i="61"/>
  <c r="HX699" i="61"/>
  <c r="HR699" i="61"/>
  <c r="HK699" i="61"/>
  <c r="HC699" i="61"/>
  <c r="GV699" i="61"/>
  <c r="GP699" i="61"/>
  <c r="GH699" i="61"/>
  <c r="GA699" i="61"/>
  <c r="FT699" i="61"/>
  <c r="FL699" i="61"/>
  <c r="FF699" i="61"/>
  <c r="EY699" i="61"/>
  <c r="HW699" i="61"/>
  <c r="HP699" i="61"/>
  <c r="HH699" i="61"/>
  <c r="HB699" i="61"/>
  <c r="GU699" i="61"/>
  <c r="GM699" i="61"/>
  <c r="GF699" i="61"/>
  <c r="FZ699" i="61"/>
  <c r="FR699" i="61"/>
  <c r="FK699" i="61"/>
  <c r="FD699" i="61"/>
  <c r="JQ698" i="61"/>
  <c r="JM698" i="61"/>
  <c r="JI698" i="61"/>
  <c r="JE698" i="61"/>
  <c r="IB698" i="61"/>
  <c r="HX698" i="61"/>
  <c r="HT698" i="61"/>
  <c r="HP698" i="61"/>
  <c r="HL698" i="61"/>
  <c r="HH698" i="61"/>
  <c r="HD698" i="61"/>
  <c r="GZ698" i="61"/>
  <c r="GV698" i="61"/>
  <c r="GR698" i="61"/>
  <c r="GN698" i="61"/>
  <c r="GJ698" i="61"/>
  <c r="GF698" i="61"/>
  <c r="GB698" i="61"/>
  <c r="FX698" i="61"/>
  <c r="FT698" i="61"/>
  <c r="FP698" i="61"/>
  <c r="JP698" i="61"/>
  <c r="JK698" i="61"/>
  <c r="JF698" i="61"/>
  <c r="IA698" i="61"/>
  <c r="HV698" i="61"/>
  <c r="HQ698" i="61"/>
  <c r="HK698" i="61"/>
  <c r="HF698" i="61"/>
  <c r="HA698" i="61"/>
  <c r="GU698" i="61"/>
  <c r="GP698" i="61"/>
  <c r="GK698" i="61"/>
  <c r="GE698" i="61"/>
  <c r="FZ698" i="61"/>
  <c r="FU698" i="61"/>
  <c r="FO698" i="61"/>
  <c r="FK698" i="61"/>
  <c r="FG698" i="61"/>
  <c r="FC698" i="61"/>
  <c r="EY698" i="61"/>
  <c r="JO698" i="61"/>
  <c r="JH698" i="61"/>
  <c r="IC698" i="61"/>
  <c r="HU698" i="61"/>
  <c r="HN698" i="61"/>
  <c r="HG698" i="61"/>
  <c r="GY698" i="61"/>
  <c r="GS698" i="61"/>
  <c r="GL698" i="61"/>
  <c r="GD698" i="61"/>
  <c r="FW698" i="61"/>
  <c r="FQ698" i="61"/>
  <c r="FJ698" i="61"/>
  <c r="FE698" i="61"/>
  <c r="EZ698" i="61"/>
  <c r="JN698" i="61"/>
  <c r="JG698" i="61"/>
  <c r="HZ698" i="61"/>
  <c r="HS698" i="61"/>
  <c r="HM698" i="61"/>
  <c r="HE698" i="61"/>
  <c r="GX698" i="61"/>
  <c r="GQ698" i="61"/>
  <c r="GI698" i="61"/>
  <c r="GC698" i="61"/>
  <c r="FV698" i="61"/>
  <c r="FN698" i="61"/>
  <c r="FI698" i="61"/>
  <c r="FD698" i="61"/>
  <c r="EX698" i="61"/>
  <c r="JN696" i="61"/>
  <c r="JJ696" i="61"/>
  <c r="JF696" i="61"/>
  <c r="HZ696" i="61"/>
  <c r="HV696" i="61"/>
  <c r="HR696" i="61"/>
  <c r="HN696" i="61"/>
  <c r="HJ696" i="61"/>
  <c r="HF696" i="61"/>
  <c r="HB696" i="61"/>
  <c r="GX696" i="61"/>
  <c r="GT696" i="61"/>
  <c r="GP696" i="61"/>
  <c r="GL696" i="61"/>
  <c r="GH696" i="61"/>
  <c r="GD696" i="61"/>
  <c r="FZ696" i="61"/>
  <c r="FV696" i="61"/>
  <c r="FR696" i="61"/>
  <c r="FN696" i="61"/>
  <c r="FJ696" i="61"/>
  <c r="FF696" i="61"/>
  <c r="FB696" i="61"/>
  <c r="EX696" i="61"/>
  <c r="JO696" i="61"/>
  <c r="JI696" i="61"/>
  <c r="JD696" i="61"/>
  <c r="IC696" i="61"/>
  <c r="HX696" i="61"/>
  <c r="HS696" i="61"/>
  <c r="HM696" i="61"/>
  <c r="HH696" i="61"/>
  <c r="HC696" i="61"/>
  <c r="GW696" i="61"/>
  <c r="GR696" i="61"/>
  <c r="GM696" i="61"/>
  <c r="GG696" i="61"/>
  <c r="GB696" i="61"/>
  <c r="FW696" i="61"/>
  <c r="FQ696" i="61"/>
  <c r="FL696" i="61"/>
  <c r="FG696" i="61"/>
  <c r="FA696" i="61"/>
  <c r="JM696" i="61"/>
  <c r="JH696" i="61"/>
  <c r="JC696" i="61"/>
  <c r="IB696" i="61"/>
  <c r="HW696" i="61"/>
  <c r="HQ696" i="61"/>
  <c r="HL696" i="61"/>
  <c r="HG696" i="61"/>
  <c r="HA696" i="61"/>
  <c r="GV696" i="61"/>
  <c r="GQ696" i="61"/>
  <c r="GK696" i="61"/>
  <c r="GF696" i="61"/>
  <c r="GA696" i="61"/>
  <c r="FU696" i="61"/>
  <c r="FP696" i="61"/>
  <c r="FK696" i="61"/>
  <c r="FE696" i="61"/>
  <c r="EZ696" i="61"/>
  <c r="HZ695" i="61"/>
  <c r="HV695" i="61"/>
  <c r="HR695" i="61"/>
  <c r="HN695" i="61"/>
  <c r="HJ695" i="61"/>
  <c r="HF695" i="61"/>
  <c r="HB695" i="61"/>
  <c r="GX695" i="61"/>
  <c r="GT695" i="61"/>
  <c r="GP695" i="61"/>
  <c r="GL695" i="61"/>
  <c r="GH695" i="61"/>
  <c r="GD695" i="61"/>
  <c r="FZ695" i="61"/>
  <c r="FV695" i="61"/>
  <c r="FR695" i="61"/>
  <c r="FN695" i="61"/>
  <c r="FJ695" i="61"/>
  <c r="FF695" i="61"/>
  <c r="FB695" i="61"/>
  <c r="EX695" i="61"/>
  <c r="IC695" i="61"/>
  <c r="HX695" i="61"/>
  <c r="HS695" i="61"/>
  <c r="HM695" i="61"/>
  <c r="HH695" i="61"/>
  <c r="HC695" i="61"/>
  <c r="GW695" i="61"/>
  <c r="GR695" i="61"/>
  <c r="GM695" i="61"/>
  <c r="GG695" i="61"/>
  <c r="GB695" i="61"/>
  <c r="FW695" i="61"/>
  <c r="FQ695" i="61"/>
  <c r="FL695" i="61"/>
  <c r="FG695" i="61"/>
  <c r="FA695" i="61"/>
  <c r="IB695" i="61"/>
  <c r="HW695" i="61"/>
  <c r="HQ695" i="61"/>
  <c r="HL695" i="61"/>
  <c r="HG695" i="61"/>
  <c r="HA695" i="61"/>
  <c r="GV695" i="61"/>
  <c r="GQ695" i="61"/>
  <c r="GK695" i="61"/>
  <c r="GF695" i="61"/>
  <c r="GA695" i="61"/>
  <c r="FU695" i="61"/>
  <c r="FP695" i="61"/>
  <c r="FK695" i="61"/>
  <c r="FE695" i="61"/>
  <c r="EZ695" i="61"/>
  <c r="JO694" i="61"/>
  <c r="JK694" i="61"/>
  <c r="JG694" i="61"/>
  <c r="JC694" i="61"/>
  <c r="IA694" i="61"/>
  <c r="HW694" i="61"/>
  <c r="HS694" i="61"/>
  <c r="HO694" i="61"/>
  <c r="HK694" i="61"/>
  <c r="HG694" i="61"/>
  <c r="HC694" i="61"/>
  <c r="GY694" i="61"/>
  <c r="GU694" i="61"/>
  <c r="GQ694" i="61"/>
  <c r="GM694" i="61"/>
  <c r="GI694" i="61"/>
  <c r="GE694" i="61"/>
  <c r="GA694" i="61"/>
  <c r="FW694" i="61"/>
  <c r="FS694" i="61"/>
  <c r="FO694" i="61"/>
  <c r="FK694" i="61"/>
  <c r="FG694" i="61"/>
  <c r="FC694" i="61"/>
  <c r="EY694" i="61"/>
  <c r="JQ694" i="61"/>
  <c r="JL694" i="61"/>
  <c r="JF694" i="61"/>
  <c r="IC694" i="61"/>
  <c r="HX694" i="61"/>
  <c r="HR694" i="61"/>
  <c r="HM694" i="61"/>
  <c r="HH694" i="61"/>
  <c r="HB694" i="61"/>
  <c r="GW694" i="61"/>
  <c r="GR694" i="61"/>
  <c r="GL694" i="61"/>
  <c r="GG694" i="61"/>
  <c r="GB694" i="61"/>
  <c r="FV694" i="61"/>
  <c r="FQ694" i="61"/>
  <c r="FL694" i="61"/>
  <c r="FF694" i="61"/>
  <c r="FA694" i="61"/>
  <c r="JP694" i="61"/>
  <c r="JJ694" i="61"/>
  <c r="JE694" i="61"/>
  <c r="IB694" i="61"/>
  <c r="HV694" i="61"/>
  <c r="HQ694" i="61"/>
  <c r="HL694" i="61"/>
  <c r="HF694" i="61"/>
  <c r="HA694" i="61"/>
  <c r="GV694" i="61"/>
  <c r="GP694" i="61"/>
  <c r="GK694" i="61"/>
  <c r="GF694" i="61"/>
  <c r="FZ694" i="61"/>
  <c r="FU694" i="61"/>
  <c r="FP694" i="61"/>
  <c r="FJ694" i="61"/>
  <c r="FE694" i="61"/>
  <c r="EZ694" i="61"/>
  <c r="JP692" i="61"/>
  <c r="JL692" i="61"/>
  <c r="JH692" i="61"/>
  <c r="JD692" i="61"/>
  <c r="IB692" i="61"/>
  <c r="HX692" i="61"/>
  <c r="HT692" i="61"/>
  <c r="HP692" i="61"/>
  <c r="HL692" i="61"/>
  <c r="HH692" i="61"/>
  <c r="HD692" i="61"/>
  <c r="GZ692" i="61"/>
  <c r="GV692" i="61"/>
  <c r="GR692" i="61"/>
  <c r="GN692" i="61"/>
  <c r="GJ692" i="61"/>
  <c r="GF692" i="61"/>
  <c r="GB692" i="61"/>
  <c r="FX692" i="61"/>
  <c r="FT692" i="61"/>
  <c r="FP692" i="61"/>
  <c r="FL692" i="61"/>
  <c r="FH692" i="61"/>
  <c r="FD692" i="61"/>
  <c r="EZ692" i="61"/>
  <c r="JQ692" i="61"/>
  <c r="JK692" i="61"/>
  <c r="JF692" i="61"/>
  <c r="HZ692" i="61"/>
  <c r="HU692" i="61"/>
  <c r="HO692" i="61"/>
  <c r="HJ692" i="61"/>
  <c r="HE692" i="61"/>
  <c r="GY692" i="61"/>
  <c r="GT692" i="61"/>
  <c r="GO692" i="61"/>
  <c r="GI692" i="61"/>
  <c r="GD692" i="61"/>
  <c r="FY692" i="61"/>
  <c r="FS692" i="61"/>
  <c r="FN692" i="61"/>
  <c r="FI692" i="61"/>
  <c r="FC692" i="61"/>
  <c r="EX692" i="61"/>
  <c r="JO692" i="61"/>
  <c r="JJ692" i="61"/>
  <c r="JE692" i="61"/>
  <c r="HY692" i="61"/>
  <c r="HS692" i="61"/>
  <c r="HN692" i="61"/>
  <c r="HI692" i="61"/>
  <c r="HC692" i="61"/>
  <c r="GX692" i="61"/>
  <c r="GS692" i="61"/>
  <c r="GM692" i="61"/>
  <c r="GH692" i="61"/>
  <c r="GC692" i="61"/>
  <c r="FW692" i="61"/>
  <c r="FR692" i="61"/>
  <c r="FM692" i="61"/>
  <c r="FG692" i="61"/>
  <c r="FB692" i="61"/>
  <c r="EW692" i="61"/>
  <c r="IB691" i="61"/>
  <c r="HX691" i="61"/>
  <c r="HT691" i="61"/>
  <c r="HP691" i="61"/>
  <c r="HL691" i="61"/>
  <c r="HH691" i="61"/>
  <c r="HD691" i="61"/>
  <c r="GZ691" i="61"/>
  <c r="GV691" i="61"/>
  <c r="GR691" i="61"/>
  <c r="GN691" i="61"/>
  <c r="GJ691" i="61"/>
  <c r="GF691" i="61"/>
  <c r="GB691" i="61"/>
  <c r="FX691" i="61"/>
  <c r="FT691" i="61"/>
  <c r="FP691" i="61"/>
  <c r="FL691" i="61"/>
  <c r="FH691" i="61"/>
  <c r="FD691" i="61"/>
  <c r="EZ691" i="61"/>
  <c r="HZ691" i="61"/>
  <c r="HU691" i="61"/>
  <c r="HO691" i="61"/>
  <c r="HJ691" i="61"/>
  <c r="HE691" i="61"/>
  <c r="GY691" i="61"/>
  <c r="GT691" i="61"/>
  <c r="GO691" i="61"/>
  <c r="GI691" i="61"/>
  <c r="GD691" i="61"/>
  <c r="FY691" i="61"/>
  <c r="FS691" i="61"/>
  <c r="FN691" i="61"/>
  <c r="FI691" i="61"/>
  <c r="FC691" i="61"/>
  <c r="EX691" i="61"/>
  <c r="HY691" i="61"/>
  <c r="HS691" i="61"/>
  <c r="HN691" i="61"/>
  <c r="HI691" i="61"/>
  <c r="HC691" i="61"/>
  <c r="GX691" i="61"/>
  <c r="GS691" i="61"/>
  <c r="GM691" i="61"/>
  <c r="GH691" i="61"/>
  <c r="GC691" i="61"/>
  <c r="FW691" i="61"/>
  <c r="FR691" i="61"/>
  <c r="FM691" i="61"/>
  <c r="FG691" i="61"/>
  <c r="FB691" i="61"/>
  <c r="EW691" i="61"/>
  <c r="JQ690" i="61"/>
  <c r="JM690" i="61"/>
  <c r="JI690" i="61"/>
  <c r="JE690" i="61"/>
  <c r="IC690" i="61"/>
  <c r="HY690" i="61"/>
  <c r="HU690" i="61"/>
  <c r="HQ690" i="61"/>
  <c r="HM690" i="61"/>
  <c r="HI690" i="61"/>
  <c r="HE690" i="61"/>
  <c r="HA690" i="61"/>
  <c r="GW690" i="61"/>
  <c r="GS690" i="61"/>
  <c r="GO690" i="61"/>
  <c r="GK690" i="61"/>
  <c r="GG690" i="61"/>
  <c r="GC690" i="61"/>
  <c r="FY690" i="61"/>
  <c r="FU690" i="61"/>
  <c r="FQ690" i="61"/>
  <c r="FM690" i="61"/>
  <c r="FI690" i="61"/>
  <c r="FE690" i="61"/>
  <c r="FA690" i="61"/>
  <c r="EW690" i="61"/>
  <c r="JL690" i="61"/>
  <c r="JG690" i="61"/>
  <c r="HX690" i="61"/>
  <c r="HS690" i="61"/>
  <c r="HN690" i="61"/>
  <c r="HH690" i="61"/>
  <c r="HC690" i="61"/>
  <c r="GX690" i="61"/>
  <c r="GR690" i="61"/>
  <c r="GM690" i="61"/>
  <c r="GH690" i="61"/>
  <c r="GB690" i="61"/>
  <c r="FW690" i="61"/>
  <c r="FR690" i="61"/>
  <c r="FL690" i="61"/>
  <c r="FG690" i="61"/>
  <c r="FB690" i="61"/>
  <c r="JP690" i="61"/>
  <c r="JK690" i="61"/>
  <c r="JF690" i="61"/>
  <c r="IB690" i="61"/>
  <c r="HW690" i="61"/>
  <c r="HR690" i="61"/>
  <c r="HL690" i="61"/>
  <c r="JP688" i="61"/>
  <c r="JL688" i="61"/>
  <c r="JH688" i="61"/>
  <c r="JD688" i="61"/>
  <c r="IB688" i="61"/>
  <c r="HX688" i="61"/>
  <c r="HT688" i="61"/>
  <c r="HP688" i="61"/>
  <c r="HL688" i="61"/>
  <c r="HH688" i="61"/>
  <c r="HD688" i="61"/>
  <c r="GZ688" i="61"/>
  <c r="GV688" i="61"/>
  <c r="GR688" i="61"/>
  <c r="GN688" i="61"/>
  <c r="GJ688" i="61"/>
  <c r="GF688" i="61"/>
  <c r="GB688" i="61"/>
  <c r="FX688" i="61"/>
  <c r="FT688" i="61"/>
  <c r="FP688" i="61"/>
  <c r="FL688" i="61"/>
  <c r="FH688" i="61"/>
  <c r="FD688" i="61"/>
  <c r="EZ688" i="61"/>
  <c r="JN688" i="61"/>
  <c r="JI688" i="61"/>
  <c r="JC688" i="61"/>
  <c r="IC688" i="61"/>
  <c r="HW688" i="61"/>
  <c r="HR688" i="61"/>
  <c r="HM688" i="61"/>
  <c r="HG688" i="61"/>
  <c r="HB688" i="61"/>
  <c r="GW688" i="61"/>
  <c r="GQ688" i="61"/>
  <c r="GL688" i="61"/>
  <c r="GG688" i="61"/>
  <c r="GA688" i="61"/>
  <c r="FV688" i="61"/>
  <c r="FQ688" i="61"/>
  <c r="FK688" i="61"/>
  <c r="FF688" i="61"/>
  <c r="FA688" i="61"/>
  <c r="IB687" i="61"/>
  <c r="HX687" i="61"/>
  <c r="HT687" i="61"/>
  <c r="HP687" i="61"/>
  <c r="HL687" i="61"/>
  <c r="HH687" i="61"/>
  <c r="HD687" i="61"/>
  <c r="GZ687" i="61"/>
  <c r="GV687" i="61"/>
  <c r="GR687" i="61"/>
  <c r="GN687" i="61"/>
  <c r="GJ687" i="61"/>
  <c r="GF687" i="61"/>
  <c r="GB687" i="61"/>
  <c r="FX687" i="61"/>
  <c r="FT687" i="61"/>
  <c r="FP687" i="61"/>
  <c r="FL687" i="61"/>
  <c r="FH687" i="61"/>
  <c r="FD687" i="61"/>
  <c r="EZ687" i="61"/>
  <c r="IC687" i="61"/>
  <c r="HW687" i="61"/>
  <c r="HR687" i="61"/>
  <c r="HM687" i="61"/>
  <c r="HG687" i="61"/>
  <c r="HB687" i="61"/>
  <c r="GW687" i="61"/>
  <c r="GQ687" i="61"/>
  <c r="GL687" i="61"/>
  <c r="GG687" i="61"/>
  <c r="GA687" i="61"/>
  <c r="FV687" i="61"/>
  <c r="FQ687" i="61"/>
  <c r="FK687" i="61"/>
  <c r="FF687" i="61"/>
  <c r="FA687" i="61"/>
  <c r="JO686" i="61"/>
  <c r="JK686" i="61"/>
  <c r="JG686" i="61"/>
  <c r="JC686" i="61"/>
  <c r="IA686" i="61"/>
  <c r="HW686" i="61"/>
  <c r="HS686" i="61"/>
  <c r="HO686" i="61"/>
  <c r="HK686" i="61"/>
  <c r="HG686" i="61"/>
  <c r="HC686" i="61"/>
  <c r="GY686" i="61"/>
  <c r="GU686" i="61"/>
  <c r="GQ686" i="61"/>
  <c r="GM686" i="61"/>
  <c r="GI686" i="61"/>
  <c r="GE686" i="61"/>
  <c r="GA686" i="61"/>
  <c r="FW686" i="61"/>
  <c r="FS686" i="61"/>
  <c r="FO686" i="61"/>
  <c r="FK686" i="61"/>
  <c r="FG686" i="61"/>
  <c r="FC686" i="61"/>
  <c r="EY686" i="61"/>
  <c r="JP684" i="61"/>
  <c r="JL684" i="61"/>
  <c r="JH684" i="61"/>
  <c r="JD684" i="61"/>
  <c r="IB684" i="61"/>
  <c r="HX684" i="61"/>
  <c r="HT684" i="61"/>
  <c r="HP684" i="61"/>
  <c r="HL684" i="61"/>
  <c r="HH684" i="61"/>
  <c r="HD684" i="61"/>
  <c r="GZ684" i="61"/>
  <c r="GV684" i="61"/>
  <c r="GR684" i="61"/>
  <c r="GN684" i="61"/>
  <c r="GJ684" i="61"/>
  <c r="GF684" i="61"/>
  <c r="GB684" i="61"/>
  <c r="FX684" i="61"/>
  <c r="FT684" i="61"/>
  <c r="FP684" i="61"/>
  <c r="FL684" i="61"/>
  <c r="FH684" i="61"/>
  <c r="FD684" i="61"/>
  <c r="EZ684" i="61"/>
  <c r="IB683" i="61"/>
  <c r="HX683" i="61"/>
  <c r="HT683" i="61"/>
  <c r="HP683" i="61"/>
  <c r="HL683" i="61"/>
  <c r="HH683" i="61"/>
  <c r="HD683" i="61"/>
  <c r="GZ683" i="61"/>
  <c r="GV683" i="61"/>
  <c r="GR683" i="61"/>
  <c r="GN683" i="61"/>
  <c r="GJ683" i="61"/>
  <c r="GF683" i="61"/>
  <c r="GB683" i="61"/>
  <c r="FX683" i="61"/>
  <c r="FT683" i="61"/>
  <c r="FP683" i="61"/>
  <c r="FL683" i="61"/>
  <c r="FH683" i="61"/>
  <c r="FD683" i="61"/>
  <c r="EZ683" i="61"/>
  <c r="JP682" i="61"/>
  <c r="JL682" i="61"/>
  <c r="JH682" i="61"/>
  <c r="JD682" i="61"/>
  <c r="IB682" i="61"/>
  <c r="HX682" i="61"/>
  <c r="HT682" i="61"/>
  <c r="HP682" i="61"/>
  <c r="HL682" i="61"/>
  <c r="HH682" i="61"/>
  <c r="HD682" i="61"/>
  <c r="GZ682" i="61"/>
  <c r="GV682" i="61"/>
  <c r="GR682" i="61"/>
  <c r="GN682" i="61"/>
  <c r="GJ682" i="61"/>
  <c r="GF682" i="61"/>
  <c r="GB682" i="61"/>
  <c r="FX682" i="61"/>
  <c r="FT682" i="61"/>
  <c r="FP682" i="61"/>
  <c r="FL682" i="61"/>
  <c r="FH682" i="61"/>
  <c r="FD682" i="61"/>
  <c r="EZ682" i="61"/>
  <c r="JO680" i="61"/>
  <c r="JK680" i="61"/>
  <c r="JG680" i="61"/>
  <c r="JC680" i="61"/>
  <c r="IA680" i="61"/>
  <c r="HW680" i="61"/>
  <c r="HS680" i="61"/>
  <c r="HO680" i="61"/>
  <c r="HK680" i="61"/>
  <c r="HG680" i="61"/>
  <c r="HC680" i="61"/>
  <c r="GY680" i="61"/>
  <c r="GU680" i="61"/>
  <c r="GQ680" i="61"/>
  <c r="GM680" i="61"/>
  <c r="GI680" i="61"/>
  <c r="GE680" i="61"/>
  <c r="GA680" i="61"/>
  <c r="FW680" i="61"/>
  <c r="FS680" i="61"/>
  <c r="FO680" i="61"/>
  <c r="FK680" i="61"/>
  <c r="FG680" i="61"/>
  <c r="FC680" i="61"/>
  <c r="EY680" i="61"/>
  <c r="IB679" i="61"/>
  <c r="HX679" i="61"/>
  <c r="HT679" i="61"/>
  <c r="HP679" i="61"/>
  <c r="HL679" i="61"/>
  <c r="HH679" i="61"/>
  <c r="HD679" i="61"/>
  <c r="GZ679" i="61"/>
  <c r="GV679" i="61"/>
  <c r="GR679" i="61"/>
  <c r="GN679" i="61"/>
  <c r="GJ679" i="61"/>
  <c r="GF679" i="61"/>
  <c r="GB679" i="61"/>
  <c r="FX679" i="61"/>
  <c r="FT679" i="61"/>
  <c r="FP679" i="61"/>
  <c r="FL679" i="61"/>
  <c r="FH679" i="61"/>
  <c r="FD679" i="61"/>
  <c r="EZ679" i="61"/>
  <c r="JP678" i="61"/>
  <c r="JL678" i="61"/>
  <c r="JH678" i="61"/>
  <c r="JD678" i="61"/>
  <c r="IC678" i="61"/>
  <c r="HY678" i="61"/>
  <c r="HU678" i="61"/>
  <c r="HQ678" i="61"/>
  <c r="HM678" i="61"/>
  <c r="HI678" i="61"/>
  <c r="HE678" i="61"/>
  <c r="HA678" i="61"/>
  <c r="GW678" i="61"/>
  <c r="GS678" i="61"/>
  <c r="GO678" i="61"/>
  <c r="GK678" i="61"/>
  <c r="GG678" i="61"/>
  <c r="GC678" i="61"/>
  <c r="FY678" i="61"/>
  <c r="FU678" i="61"/>
  <c r="FQ678" i="61"/>
  <c r="FM678" i="61"/>
  <c r="FI678" i="61"/>
  <c r="FE678" i="61"/>
  <c r="FA678" i="61"/>
  <c r="EW678" i="61"/>
  <c r="IB677" i="61"/>
  <c r="FP677" i="61"/>
  <c r="JN676" i="61"/>
  <c r="JJ676" i="61"/>
  <c r="JF676" i="61"/>
  <c r="HZ676" i="61"/>
  <c r="HV676" i="61"/>
  <c r="HR676" i="61"/>
  <c r="HN676" i="61"/>
  <c r="HJ676" i="61"/>
  <c r="HF676" i="61"/>
  <c r="HB676" i="61"/>
  <c r="GX676" i="61"/>
  <c r="GT676" i="61"/>
  <c r="GP676" i="61"/>
  <c r="GL676" i="61"/>
  <c r="GH676" i="61"/>
  <c r="GD676" i="61"/>
  <c r="FZ676" i="61"/>
  <c r="FV676" i="61"/>
  <c r="FR676" i="61"/>
  <c r="FN676" i="61"/>
  <c r="FJ676" i="61"/>
  <c r="FF676" i="61"/>
  <c r="FB676" i="61"/>
  <c r="EX676" i="61"/>
  <c r="JD675" i="61"/>
  <c r="IA675" i="61"/>
  <c r="HW675" i="61"/>
  <c r="HS675" i="61"/>
  <c r="HO675" i="61"/>
  <c r="HK675" i="61"/>
  <c r="HG675" i="61"/>
  <c r="HC675" i="61"/>
  <c r="GY675" i="61"/>
  <c r="GU675" i="61"/>
  <c r="GQ675" i="61"/>
  <c r="GM675" i="61"/>
  <c r="GI675" i="61"/>
  <c r="GE675" i="61"/>
  <c r="GA675" i="61"/>
  <c r="FW675" i="61"/>
  <c r="FS675" i="61"/>
  <c r="FO675" i="61"/>
  <c r="FK675" i="61"/>
  <c r="FG675" i="61"/>
  <c r="FC675" i="61"/>
  <c r="EY675" i="61"/>
  <c r="JO674" i="61"/>
  <c r="JK674" i="61"/>
  <c r="JG674" i="61"/>
  <c r="JC674" i="61"/>
  <c r="IA674" i="61"/>
  <c r="HW674" i="61"/>
  <c r="HS674" i="61"/>
  <c r="HO674" i="61"/>
  <c r="HK674" i="61"/>
  <c r="HG674" i="61"/>
  <c r="HC674" i="61"/>
  <c r="GY674" i="61"/>
  <c r="GU674" i="61"/>
  <c r="GQ674" i="61"/>
  <c r="GM674" i="61"/>
  <c r="GI674" i="61"/>
  <c r="GE674" i="61"/>
  <c r="GA674" i="61"/>
  <c r="FW674" i="61"/>
  <c r="FS674" i="61"/>
  <c r="FO674" i="61"/>
  <c r="FK674" i="61"/>
  <c r="FG674" i="61"/>
  <c r="FC674" i="61"/>
  <c r="EY674" i="61"/>
  <c r="JP672" i="61"/>
  <c r="JL672" i="61"/>
  <c r="JH672" i="61"/>
  <c r="JD672" i="61"/>
  <c r="IB672" i="61"/>
  <c r="HX672" i="61"/>
  <c r="HT672" i="61"/>
  <c r="HP672" i="61"/>
  <c r="HL672" i="61"/>
  <c r="HH672" i="61"/>
  <c r="HD672" i="61"/>
  <c r="GZ672" i="61"/>
  <c r="GV672" i="61"/>
  <c r="GR672" i="61"/>
  <c r="GN672" i="61"/>
  <c r="GJ672" i="61"/>
  <c r="GF672" i="61"/>
  <c r="GB672" i="61"/>
  <c r="FX672" i="61"/>
  <c r="FT672" i="61"/>
  <c r="FP672" i="61"/>
  <c r="FL672" i="61"/>
  <c r="FH672" i="61"/>
  <c r="FD672" i="61"/>
  <c r="EZ672" i="61"/>
  <c r="DF672" i="61"/>
  <c r="DK672" i="61"/>
  <c r="DQ672" i="61"/>
  <c r="DV672" i="61"/>
  <c r="EA672" i="61"/>
  <c r="EG672" i="61"/>
  <c r="EL672" i="61"/>
  <c r="EQ672" i="61"/>
  <c r="EW672" i="61"/>
  <c r="FB672" i="61"/>
  <c r="FG672" i="61"/>
  <c r="FM672" i="61"/>
  <c r="FR672" i="61"/>
  <c r="FW672" i="61"/>
  <c r="GC672" i="61"/>
  <c r="GH672" i="61"/>
  <c r="GM672" i="61"/>
  <c r="GS672" i="61"/>
  <c r="GX672" i="61"/>
  <c r="HC672" i="61"/>
  <c r="HI672" i="61"/>
  <c r="HN672" i="61"/>
  <c r="HS672" i="61"/>
  <c r="HY672" i="61"/>
  <c r="IO672" i="61"/>
  <c r="IT672" i="61"/>
  <c r="IY672" i="61"/>
  <c r="JE672" i="61"/>
  <c r="JJ672" i="61"/>
  <c r="JO672" i="61"/>
  <c r="EG673" i="61"/>
  <c r="GR673" i="61"/>
  <c r="EW674" i="61"/>
  <c r="FB674" i="61"/>
  <c r="FH674" i="61"/>
  <c r="FM674" i="61"/>
  <c r="FR674" i="61"/>
  <c r="FX674" i="61"/>
  <c r="GC674" i="61"/>
  <c r="GH674" i="61"/>
  <c r="GN674" i="61"/>
  <c r="GS674" i="61"/>
  <c r="GX674" i="61"/>
  <c r="HD674" i="61"/>
  <c r="HI674" i="61"/>
  <c r="HN674" i="61"/>
  <c r="HT674" i="61"/>
  <c r="HY674" i="61"/>
  <c r="IR674" i="61"/>
  <c r="JH674" i="61"/>
  <c r="JM674" i="61"/>
  <c r="DD675" i="61"/>
  <c r="DI675" i="61"/>
  <c r="DN675" i="61"/>
  <c r="DT675" i="61"/>
  <c r="DY675" i="61"/>
  <c r="ED675" i="61"/>
  <c r="EJ675" i="61"/>
  <c r="EO675" i="61"/>
  <c r="ET675" i="61"/>
  <c r="EZ675" i="61"/>
  <c r="FE675" i="61"/>
  <c r="FJ675" i="61"/>
  <c r="FP675" i="61"/>
  <c r="FU675" i="61"/>
  <c r="FZ675" i="61"/>
  <c r="GF675" i="61"/>
  <c r="GK675" i="61"/>
  <c r="GP675" i="61"/>
  <c r="GV675" i="61"/>
  <c r="HA675" i="61"/>
  <c r="HF675" i="61"/>
  <c r="HL675" i="61"/>
  <c r="HQ675" i="61"/>
  <c r="HV675" i="61"/>
  <c r="IB675" i="61"/>
  <c r="IR675" i="61"/>
  <c r="IW675" i="61"/>
  <c r="JB675" i="61"/>
  <c r="DH676" i="61"/>
  <c r="DM676" i="61"/>
  <c r="DS676" i="61"/>
  <c r="DX676" i="61"/>
  <c r="EC676" i="61"/>
  <c r="EI676" i="61"/>
  <c r="EN676" i="61"/>
  <c r="ES676" i="61"/>
  <c r="EY676" i="61"/>
  <c r="FD676" i="61"/>
  <c r="FI676" i="61"/>
  <c r="FO676" i="61"/>
  <c r="FT676" i="61"/>
  <c r="FY676" i="61"/>
  <c r="GE676" i="61"/>
  <c r="GJ676" i="61"/>
  <c r="GO676" i="61"/>
  <c r="GU676" i="61"/>
  <c r="GZ676" i="61"/>
  <c r="HE676" i="61"/>
  <c r="HK676" i="61"/>
  <c r="HP676" i="61"/>
  <c r="HU676" i="61"/>
  <c r="IA676" i="61"/>
  <c r="IQ676" i="61"/>
  <c r="IV676" i="61"/>
  <c r="JA676" i="61"/>
  <c r="JG676" i="61"/>
  <c r="JL676" i="61"/>
  <c r="JQ676" i="61"/>
  <c r="DT677" i="61"/>
  <c r="GV677" i="61"/>
  <c r="EN678" i="61"/>
  <c r="FB678" i="61"/>
  <c r="FG678" i="61"/>
  <c r="FL678" i="61"/>
  <c r="FR678" i="61"/>
  <c r="FW678" i="61"/>
  <c r="GB678" i="61"/>
  <c r="GH678" i="61"/>
  <c r="GM678" i="61"/>
  <c r="GR678" i="61"/>
  <c r="GX678" i="61"/>
  <c r="HC678" i="61"/>
  <c r="HH678" i="61"/>
  <c r="HN678" i="61"/>
  <c r="HS678" i="61"/>
  <c r="HX678" i="61"/>
  <c r="JF678" i="61"/>
  <c r="JK678" i="61"/>
  <c r="JQ678" i="61"/>
  <c r="DG679" i="61"/>
  <c r="DM679" i="61"/>
  <c r="DR679" i="61"/>
  <c r="DW679" i="61"/>
  <c r="EC679" i="61"/>
  <c r="EH679" i="61"/>
  <c r="EM679" i="61"/>
  <c r="ES679" i="61"/>
  <c r="EX679" i="61"/>
  <c r="FC679" i="61"/>
  <c r="FI679" i="61"/>
  <c r="FN679" i="61"/>
  <c r="FS679" i="61"/>
  <c r="FY679" i="61"/>
  <c r="GD679" i="61"/>
  <c r="GI679" i="61"/>
  <c r="GO679" i="61"/>
  <c r="GT679" i="61"/>
  <c r="GY679" i="61"/>
  <c r="HE679" i="61"/>
  <c r="HJ679" i="61"/>
  <c r="HO679" i="61"/>
  <c r="HU679" i="61"/>
  <c r="HZ679" i="61"/>
  <c r="IP679" i="61"/>
  <c r="IU679" i="61"/>
  <c r="JA679" i="61"/>
  <c r="DF680" i="61"/>
  <c r="DL680" i="61"/>
  <c r="DQ680" i="61"/>
  <c r="DV680" i="61"/>
  <c r="EB680" i="61"/>
  <c r="EG680" i="61"/>
  <c r="EL680" i="61"/>
  <c r="ER680" i="61"/>
  <c r="EW680" i="61"/>
  <c r="FB680" i="61"/>
  <c r="FH680" i="61"/>
  <c r="FM680" i="61"/>
  <c r="FR680" i="61"/>
  <c r="FX680" i="61"/>
  <c r="GC680" i="61"/>
  <c r="GH680" i="61"/>
  <c r="GN680" i="61"/>
  <c r="GS680" i="61"/>
  <c r="GX680" i="61"/>
  <c r="HD680" i="61"/>
  <c r="HI680" i="61"/>
  <c r="HN680" i="61"/>
  <c r="HT680" i="61"/>
  <c r="HY680" i="61"/>
  <c r="IO680" i="61"/>
  <c r="IT680" i="61"/>
  <c r="IZ680" i="61"/>
  <c r="JE680" i="61"/>
  <c r="JJ680" i="61"/>
  <c r="JP680" i="61"/>
  <c r="EY682" i="61"/>
  <c r="FE682" i="61"/>
  <c r="FJ682" i="61"/>
  <c r="FO682" i="61"/>
  <c r="FU682" i="61"/>
  <c r="FZ682" i="61"/>
  <c r="GE682" i="61"/>
  <c r="GK682" i="61"/>
  <c r="GP682" i="61"/>
  <c r="GU682" i="61"/>
  <c r="HA682" i="61"/>
  <c r="HF682" i="61"/>
  <c r="HK682" i="61"/>
  <c r="HQ682" i="61"/>
  <c r="HV682" i="61"/>
  <c r="IA682" i="61"/>
  <c r="JE682" i="61"/>
  <c r="JJ682" i="61"/>
  <c r="JO682" i="61"/>
  <c r="DF683" i="61"/>
  <c r="DK683" i="61"/>
  <c r="DQ683" i="61"/>
  <c r="DV683" i="61"/>
  <c r="EA683" i="61"/>
  <c r="EG683" i="61"/>
  <c r="EL683" i="61"/>
  <c r="EQ683" i="61"/>
  <c r="EW683" i="61"/>
  <c r="FB683" i="61"/>
  <c r="FG683" i="61"/>
  <c r="FM683" i="61"/>
  <c r="FR683" i="61"/>
  <c r="FW683" i="61"/>
  <c r="GC683" i="61"/>
  <c r="GH683" i="61"/>
  <c r="GM683" i="61"/>
  <c r="GS683" i="61"/>
  <c r="GX683" i="61"/>
  <c r="HC683" i="61"/>
  <c r="HI683" i="61"/>
  <c r="HN683" i="61"/>
  <c r="HS683" i="61"/>
  <c r="HY683" i="61"/>
  <c r="IO683" i="61"/>
  <c r="IT683" i="61"/>
  <c r="IY683" i="61"/>
  <c r="DF684" i="61"/>
  <c r="DK684" i="61"/>
  <c r="DQ684" i="61"/>
  <c r="DV684" i="61"/>
  <c r="EA684" i="61"/>
  <c r="EG684" i="61"/>
  <c r="EL684" i="61"/>
  <c r="EQ684" i="61"/>
  <c r="EW684" i="61"/>
  <c r="FB684" i="61"/>
  <c r="FG684" i="61"/>
  <c r="FM684" i="61"/>
  <c r="FR684" i="61"/>
  <c r="FW684" i="61"/>
  <c r="GC684" i="61"/>
  <c r="GH684" i="61"/>
  <c r="GM684" i="61"/>
  <c r="GS684" i="61"/>
  <c r="GX684" i="61"/>
  <c r="HC684" i="61"/>
  <c r="HI684" i="61"/>
  <c r="HN684" i="61"/>
  <c r="HS684" i="61"/>
  <c r="HY684" i="61"/>
  <c r="IO684" i="61"/>
  <c r="IT684" i="61"/>
  <c r="IY684" i="61"/>
  <c r="JE684" i="61"/>
  <c r="JJ684" i="61"/>
  <c r="JO684" i="61"/>
  <c r="FY685" i="61"/>
  <c r="EW686" i="61"/>
  <c r="FB686" i="61"/>
  <c r="FH686" i="61"/>
  <c r="FM686" i="61"/>
  <c r="FR686" i="61"/>
  <c r="FX686" i="61"/>
  <c r="GC686" i="61"/>
  <c r="GH686" i="61"/>
  <c r="GN686" i="61"/>
  <c r="GS686" i="61"/>
  <c r="GX686" i="61"/>
  <c r="HD686" i="61"/>
  <c r="HI686" i="61"/>
  <c r="HN686" i="61"/>
  <c r="HT686" i="61"/>
  <c r="HY686" i="61"/>
  <c r="JH686" i="61"/>
  <c r="JM686" i="61"/>
  <c r="DG687" i="61"/>
  <c r="DN687" i="61"/>
  <c r="DV687" i="61"/>
  <c r="EC687" i="61"/>
  <c r="EI687" i="61"/>
  <c r="EQ687" i="61"/>
  <c r="EX687" i="61"/>
  <c r="FE687" i="61"/>
  <c r="FM687" i="61"/>
  <c r="FS687" i="61"/>
  <c r="FZ687" i="61"/>
  <c r="GH687" i="61"/>
  <c r="GO687" i="61"/>
  <c r="GU687" i="61"/>
  <c r="HC687" i="61"/>
  <c r="HJ687" i="61"/>
  <c r="HQ687" i="61"/>
  <c r="HY687" i="61"/>
  <c r="IT687" i="61"/>
  <c r="JA687" i="61"/>
  <c r="DI688" i="61"/>
  <c r="DQ688" i="61"/>
  <c r="DW688" i="61"/>
  <c r="ED688" i="61"/>
  <c r="EL688" i="61"/>
  <c r="ES688" i="61"/>
  <c r="EY688" i="61"/>
  <c r="FG688" i="61"/>
  <c r="FN688" i="61"/>
  <c r="FU688" i="61"/>
  <c r="GC688" i="61"/>
  <c r="GI688" i="61"/>
  <c r="GP688" i="61"/>
  <c r="GX688" i="61"/>
  <c r="HE688" i="61"/>
  <c r="HK688" i="61"/>
  <c r="HS688" i="61"/>
  <c r="HZ688" i="61"/>
  <c r="IO688" i="61"/>
  <c r="IU688" i="61"/>
  <c r="JB688" i="61"/>
  <c r="JJ688" i="61"/>
  <c r="JQ688" i="61"/>
  <c r="GX689" i="61"/>
  <c r="EX690" i="61"/>
  <c r="FD690" i="61"/>
  <c r="FK690" i="61"/>
  <c r="FS690" i="61"/>
  <c r="FZ690" i="61"/>
  <c r="GF690" i="61"/>
  <c r="GN690" i="61"/>
  <c r="GU690" i="61"/>
  <c r="HB690" i="61"/>
  <c r="HJ690" i="61"/>
  <c r="HT690" i="61"/>
  <c r="JC690" i="61"/>
  <c r="JN690" i="61"/>
  <c r="DE691" i="61"/>
  <c r="DO691" i="61"/>
  <c r="DZ691" i="61"/>
  <c r="EK691" i="61"/>
  <c r="EU691" i="61"/>
  <c r="FF691" i="61"/>
  <c r="FQ691" i="61"/>
  <c r="GA691" i="61"/>
  <c r="GL691" i="61"/>
  <c r="GW691" i="61"/>
  <c r="HG691" i="61"/>
  <c r="HR691" i="61"/>
  <c r="IC691" i="61"/>
  <c r="IS691" i="61"/>
  <c r="DE692" i="61"/>
  <c r="DO692" i="61"/>
  <c r="DZ692" i="61"/>
  <c r="EK692" i="61"/>
  <c r="EU692" i="61"/>
  <c r="FF692" i="61"/>
  <c r="FQ692" i="61"/>
  <c r="GA692" i="61"/>
  <c r="GL692" i="61"/>
  <c r="GW692" i="61"/>
  <c r="HG692" i="61"/>
  <c r="HR692" i="61"/>
  <c r="IC692" i="61"/>
  <c r="IS692" i="61"/>
  <c r="JC692" i="61"/>
  <c r="JN692" i="61"/>
  <c r="FD694" i="61"/>
  <c r="FN694" i="61"/>
  <c r="FY694" i="61"/>
  <c r="GJ694" i="61"/>
  <c r="GT694" i="61"/>
  <c r="HE694" i="61"/>
  <c r="HP694" i="61"/>
  <c r="HZ694" i="61"/>
  <c r="JI694" i="61"/>
  <c r="DM695" i="61"/>
  <c r="DX695" i="61"/>
  <c r="EI695" i="61"/>
  <c r="ES695" i="61"/>
  <c r="FD695" i="61"/>
  <c r="FO695" i="61"/>
  <c r="FY695" i="61"/>
  <c r="GJ695" i="61"/>
  <c r="GU695" i="61"/>
  <c r="HE695" i="61"/>
  <c r="HP695" i="61"/>
  <c r="IA695" i="61"/>
  <c r="IQ695" i="61"/>
  <c r="JA695" i="61"/>
  <c r="DM696" i="61"/>
  <c r="DX696" i="61"/>
  <c r="EI696" i="61"/>
  <c r="ES696" i="61"/>
  <c r="FD696" i="61"/>
  <c r="FO696" i="61"/>
  <c r="FY696" i="61"/>
  <c r="GJ696" i="61"/>
  <c r="GU696" i="61"/>
  <c r="HE696" i="61"/>
  <c r="HP696" i="61"/>
  <c r="IA696" i="61"/>
  <c r="IQ696" i="61"/>
  <c r="JA696" i="61"/>
  <c r="JL696" i="61"/>
  <c r="EW698" i="61"/>
  <c r="FH698" i="61"/>
  <c r="FS698" i="61"/>
  <c r="GH698" i="61"/>
  <c r="GW698" i="61"/>
  <c r="HJ698" i="61"/>
  <c r="HY698" i="61"/>
  <c r="JL698" i="61"/>
  <c r="DK699" i="61"/>
  <c r="DZ699" i="61"/>
  <c r="EN699" i="61"/>
  <c r="FB699" i="61"/>
  <c r="FP699" i="61"/>
  <c r="GE699" i="61"/>
  <c r="GR699" i="61"/>
  <c r="HG699" i="61"/>
  <c r="HV699" i="61"/>
  <c r="IQ699" i="61"/>
  <c r="DF700" i="61"/>
  <c r="DT700" i="61"/>
  <c r="EI700" i="61"/>
  <c r="EV700" i="61"/>
  <c r="FK700" i="61"/>
  <c r="FZ700" i="61"/>
  <c r="GM700" i="61"/>
  <c r="HB700" i="61"/>
  <c r="HP700" i="61"/>
  <c r="IY700" i="61"/>
  <c r="JN700" i="61"/>
  <c r="FB702" i="61"/>
  <c r="FQ702" i="61"/>
  <c r="GD702" i="61"/>
  <c r="GS702" i="61"/>
  <c r="HH702" i="61"/>
  <c r="HU702" i="61"/>
  <c r="JI702" i="61"/>
  <c r="DF703" i="61"/>
  <c r="DU703" i="61"/>
  <c r="EI703" i="61"/>
  <c r="EW703" i="61"/>
  <c r="FK703" i="61"/>
  <c r="FZ703" i="61"/>
  <c r="GQ703" i="61"/>
  <c r="HK703" i="61"/>
  <c r="IO703" i="61"/>
  <c r="DQ704" i="61"/>
  <c r="EJ704" i="61"/>
  <c r="FC704" i="61"/>
  <c r="FU704" i="61"/>
  <c r="GO704" i="61"/>
  <c r="HG704" i="61"/>
  <c r="IA704" i="61"/>
  <c r="JE704" i="61"/>
  <c r="EW706" i="61"/>
  <c r="GG706" i="61"/>
  <c r="HL706" i="61"/>
  <c r="EX707" i="61"/>
  <c r="FW707" i="61"/>
  <c r="GX707" i="61"/>
  <c r="HT707" i="61"/>
  <c r="DQ708" i="61"/>
  <c r="ER708" i="61"/>
  <c r="FP708" i="61"/>
  <c r="GQ708" i="61"/>
  <c r="HO708" i="61"/>
  <c r="JD708" i="61"/>
  <c r="DG672" i="61"/>
  <c r="DM672" i="61"/>
  <c r="DR672" i="61"/>
  <c r="DW672" i="61"/>
  <c r="EC672" i="61"/>
  <c r="EH672" i="61"/>
  <c r="EM672" i="61"/>
  <c r="ES672" i="61"/>
  <c r="EX672" i="61"/>
  <c r="FC672" i="61"/>
  <c r="FI672" i="61"/>
  <c r="FN672" i="61"/>
  <c r="FS672" i="61"/>
  <c r="FY672" i="61"/>
  <c r="GD672" i="61"/>
  <c r="GI672" i="61"/>
  <c r="GO672" i="61"/>
  <c r="GT672" i="61"/>
  <c r="GY672" i="61"/>
  <c r="HE672" i="61"/>
  <c r="HJ672" i="61"/>
  <c r="HO672" i="61"/>
  <c r="HU672" i="61"/>
  <c r="HZ672" i="61"/>
  <c r="IP672" i="61"/>
  <c r="IU672" i="61"/>
  <c r="JA672" i="61"/>
  <c r="JF672" i="61"/>
  <c r="JK672" i="61"/>
  <c r="JQ672" i="61"/>
  <c r="EW673" i="61"/>
  <c r="HH673" i="61"/>
  <c r="EX674" i="61"/>
  <c r="FD674" i="61"/>
  <c r="FI674" i="61"/>
  <c r="FN674" i="61"/>
  <c r="FT674" i="61"/>
  <c r="FY674" i="61"/>
  <c r="GD674" i="61"/>
  <c r="GJ674" i="61"/>
  <c r="GO674" i="61"/>
  <c r="GT674" i="61"/>
  <c r="GZ674" i="61"/>
  <c r="HE674" i="61"/>
  <c r="HJ674" i="61"/>
  <c r="HP674" i="61"/>
  <c r="HU674" i="61"/>
  <c r="HZ674" i="61"/>
  <c r="JD674" i="61"/>
  <c r="JI674" i="61"/>
  <c r="JN674" i="61"/>
  <c r="DE675" i="61"/>
  <c r="DJ675" i="61"/>
  <c r="DP675" i="61"/>
  <c r="DU675" i="61"/>
  <c r="DZ675" i="61"/>
  <c r="EF675" i="61"/>
  <c r="EK675" i="61"/>
  <c r="EP675" i="61"/>
  <c r="EV675" i="61"/>
  <c r="FA675" i="61"/>
  <c r="FF675" i="61"/>
  <c r="FL675" i="61"/>
  <c r="FQ675" i="61"/>
  <c r="FV675" i="61"/>
  <c r="GB675" i="61"/>
  <c r="GG675" i="61"/>
  <c r="GL675" i="61"/>
  <c r="GR675" i="61"/>
  <c r="GW675" i="61"/>
  <c r="HB675" i="61"/>
  <c r="HH675" i="61"/>
  <c r="HM675" i="61"/>
  <c r="HR675" i="61"/>
  <c r="HX675" i="61"/>
  <c r="IC675" i="61"/>
  <c r="IN675" i="61"/>
  <c r="IS675" i="61"/>
  <c r="IX675" i="61"/>
  <c r="DD676" i="61"/>
  <c r="DI676" i="61"/>
  <c r="DO676" i="61"/>
  <c r="DT676" i="61"/>
  <c r="DY676" i="61"/>
  <c r="EE676" i="61"/>
  <c r="EJ676" i="61"/>
  <c r="EO676" i="61"/>
  <c r="EU676" i="61"/>
  <c r="EZ676" i="61"/>
  <c r="FE676" i="61"/>
  <c r="FK676" i="61"/>
  <c r="FP676" i="61"/>
  <c r="FU676" i="61"/>
  <c r="GA676" i="61"/>
  <c r="GF676" i="61"/>
  <c r="GK676" i="61"/>
  <c r="GQ676" i="61"/>
  <c r="GV676" i="61"/>
  <c r="HA676" i="61"/>
  <c r="HG676" i="61"/>
  <c r="HL676" i="61"/>
  <c r="HQ676" i="61"/>
  <c r="HW676" i="61"/>
  <c r="IB676" i="61"/>
  <c r="IR676" i="61"/>
  <c r="IW676" i="61"/>
  <c r="JC676" i="61"/>
  <c r="JH676" i="61"/>
  <c r="JM676" i="61"/>
  <c r="EJ677" i="61"/>
  <c r="HL677" i="61"/>
  <c r="EX678" i="61"/>
  <c r="FC678" i="61"/>
  <c r="FH678" i="61"/>
  <c r="FN678" i="61"/>
  <c r="FS678" i="61"/>
  <c r="FX678" i="61"/>
  <c r="GD678" i="61"/>
  <c r="GI678" i="61"/>
  <c r="GN678" i="61"/>
  <c r="GT678" i="61"/>
  <c r="GY678" i="61"/>
  <c r="HD678" i="61"/>
  <c r="HJ678" i="61"/>
  <c r="HO678" i="61"/>
  <c r="HT678" i="61"/>
  <c r="HZ678" i="61"/>
  <c r="JG678" i="61"/>
  <c r="JM678" i="61"/>
  <c r="DI679" i="61"/>
  <c r="DN679" i="61"/>
  <c r="DS679" i="61"/>
  <c r="DY679" i="61"/>
  <c r="ED679" i="61"/>
  <c r="EI679" i="61"/>
  <c r="EO679" i="61"/>
  <c r="ET679" i="61"/>
  <c r="EY679" i="61"/>
  <c r="FE679" i="61"/>
  <c r="FJ679" i="61"/>
  <c r="FO679" i="61"/>
  <c r="FU679" i="61"/>
  <c r="FZ679" i="61"/>
  <c r="GE679" i="61"/>
  <c r="GK679" i="61"/>
  <c r="GP679" i="61"/>
  <c r="GU679" i="61"/>
  <c r="HA679" i="61"/>
  <c r="HF679" i="61"/>
  <c r="HK679" i="61"/>
  <c r="HQ679" i="61"/>
  <c r="HV679" i="61"/>
  <c r="IA679" i="61"/>
  <c r="IQ679" i="61"/>
  <c r="IW679" i="61"/>
  <c r="JB679" i="61"/>
  <c r="DH680" i="61"/>
  <c r="DM680" i="61"/>
  <c r="DR680" i="61"/>
  <c r="DX680" i="61"/>
  <c r="EC680" i="61"/>
  <c r="EH680" i="61"/>
  <c r="EN680" i="61"/>
  <c r="ES680" i="61"/>
  <c r="EX680" i="61"/>
  <c r="FD680" i="61"/>
  <c r="FI680" i="61"/>
  <c r="FN680" i="61"/>
  <c r="FT680" i="61"/>
  <c r="FY680" i="61"/>
  <c r="GD680" i="61"/>
  <c r="GJ680" i="61"/>
  <c r="GO680" i="61"/>
  <c r="GT680" i="61"/>
  <c r="GZ680" i="61"/>
  <c r="HE680" i="61"/>
  <c r="HJ680" i="61"/>
  <c r="HP680" i="61"/>
  <c r="HU680" i="61"/>
  <c r="HZ680" i="61"/>
  <c r="IP680" i="61"/>
  <c r="IV680" i="61"/>
  <c r="JA680" i="61"/>
  <c r="JF680" i="61"/>
  <c r="JL680" i="61"/>
  <c r="JQ680" i="61"/>
  <c r="FX681" i="61"/>
  <c r="DL682" i="61"/>
  <c r="FA682" i="61"/>
  <c r="FF682" i="61"/>
  <c r="FK682" i="61"/>
  <c r="FQ682" i="61"/>
  <c r="FV682" i="61"/>
  <c r="GA682" i="61"/>
  <c r="GG682" i="61"/>
  <c r="GL682" i="61"/>
  <c r="GQ682" i="61"/>
  <c r="GW682" i="61"/>
  <c r="HB682" i="61"/>
  <c r="HG682" i="61"/>
  <c r="HM682" i="61"/>
  <c r="HR682" i="61"/>
  <c r="HW682" i="61"/>
  <c r="IC682" i="61"/>
  <c r="JF682" i="61"/>
  <c r="JK682" i="61"/>
  <c r="JQ682" i="61"/>
  <c r="DG683" i="61"/>
  <c r="DM683" i="61"/>
  <c r="DR683" i="61"/>
  <c r="DW683" i="61"/>
  <c r="EC683" i="61"/>
  <c r="EH683" i="61"/>
  <c r="EM683" i="61"/>
  <c r="ES683" i="61"/>
  <c r="EX683" i="61"/>
  <c r="FC683" i="61"/>
  <c r="FI683" i="61"/>
  <c r="FN683" i="61"/>
  <c r="FS683" i="61"/>
  <c r="FY683" i="61"/>
  <c r="GD683" i="61"/>
  <c r="GI683" i="61"/>
  <c r="GO683" i="61"/>
  <c r="GT683" i="61"/>
  <c r="GY683" i="61"/>
  <c r="HE683" i="61"/>
  <c r="HJ683" i="61"/>
  <c r="HO683" i="61"/>
  <c r="HU683" i="61"/>
  <c r="HZ683" i="61"/>
  <c r="IP683" i="61"/>
  <c r="IU683" i="61"/>
  <c r="JA683" i="61"/>
  <c r="DG684" i="61"/>
  <c r="DM684" i="61"/>
  <c r="DR684" i="61"/>
  <c r="DW684" i="61"/>
  <c r="EC684" i="61"/>
  <c r="EH684" i="61"/>
  <c r="EM684" i="61"/>
  <c r="ES684" i="61"/>
  <c r="EX684" i="61"/>
  <c r="FC684" i="61"/>
  <c r="FI684" i="61"/>
  <c r="FN684" i="61"/>
  <c r="FS684" i="61"/>
  <c r="FY684" i="61"/>
  <c r="GD684" i="61"/>
  <c r="GI684" i="61"/>
  <c r="GO684" i="61"/>
  <c r="GT684" i="61"/>
  <c r="GY684" i="61"/>
  <c r="HE684" i="61"/>
  <c r="HJ684" i="61"/>
  <c r="HO684" i="61"/>
  <c r="HU684" i="61"/>
  <c r="HZ684" i="61"/>
  <c r="IP684" i="61"/>
  <c r="IU684" i="61"/>
  <c r="JA684" i="61"/>
  <c r="JF684" i="61"/>
  <c r="JK684" i="61"/>
  <c r="JQ684" i="61"/>
  <c r="HE685" i="61"/>
  <c r="EX686" i="61"/>
  <c r="FD686" i="61"/>
  <c r="FI686" i="61"/>
  <c r="FN686" i="61"/>
  <c r="FT686" i="61"/>
  <c r="FY686" i="61"/>
  <c r="GD686" i="61"/>
  <c r="GJ686" i="61"/>
  <c r="GO686" i="61"/>
  <c r="GT686" i="61"/>
  <c r="GZ686" i="61"/>
  <c r="HE686" i="61"/>
  <c r="HJ686" i="61"/>
  <c r="HP686" i="61"/>
  <c r="HU686" i="61"/>
  <c r="HZ686" i="61"/>
  <c r="JD686" i="61"/>
  <c r="JI686" i="61"/>
  <c r="JN686" i="61"/>
  <c r="DI687" i="61"/>
  <c r="DQ687" i="61"/>
  <c r="DW687" i="61"/>
  <c r="ED687" i="61"/>
  <c r="EL687" i="61"/>
  <c r="ES687" i="61"/>
  <c r="EY687" i="61"/>
  <c r="FG687" i="61"/>
  <c r="FN687" i="61"/>
  <c r="FU687" i="61"/>
  <c r="GC687" i="61"/>
  <c r="GI687" i="61"/>
  <c r="GP687" i="61"/>
  <c r="GX687" i="61"/>
  <c r="HE687" i="61"/>
  <c r="HK687" i="61"/>
  <c r="HS687" i="61"/>
  <c r="HZ687" i="61"/>
  <c r="IO687" i="61"/>
  <c r="IU687" i="61"/>
  <c r="JB687" i="61"/>
  <c r="DK688" i="61"/>
  <c r="DR688" i="61"/>
  <c r="DY688" i="61"/>
  <c r="EG688" i="61"/>
  <c r="EM688" i="61"/>
  <c r="ET688" i="61"/>
  <c r="FB688" i="61"/>
  <c r="FI688" i="61"/>
  <c r="FO688" i="61"/>
  <c r="FW688" i="61"/>
  <c r="GD688" i="61"/>
  <c r="GK688" i="61"/>
  <c r="GS688" i="61"/>
  <c r="GY688" i="61"/>
  <c r="HF688" i="61"/>
  <c r="HN688" i="61"/>
  <c r="HU688" i="61"/>
  <c r="IA688" i="61"/>
  <c r="IP688" i="61"/>
  <c r="IW688" i="61"/>
  <c r="JE688" i="61"/>
  <c r="JK688" i="61"/>
  <c r="EY690" i="61"/>
  <c r="FF690" i="61"/>
  <c r="FN690" i="61"/>
  <c r="FT690" i="61"/>
  <c r="GA690" i="61"/>
  <c r="GI690" i="61"/>
  <c r="GP690" i="61"/>
  <c r="GV690" i="61"/>
  <c r="HD690" i="61"/>
  <c r="HK690" i="61"/>
  <c r="HV690" i="61"/>
  <c r="JD690" i="61"/>
  <c r="JO690" i="61"/>
  <c r="DI691" i="61"/>
  <c r="DS691" i="61"/>
  <c r="ED691" i="61"/>
  <c r="EO691" i="61"/>
  <c r="EY691" i="61"/>
  <c r="FJ691" i="61"/>
  <c r="FU691" i="61"/>
  <c r="GE691" i="61"/>
  <c r="GP691" i="61"/>
  <c r="HA691" i="61"/>
  <c r="HK691" i="61"/>
  <c r="HV691" i="61"/>
  <c r="IW691" i="61"/>
  <c r="DI692" i="61"/>
  <c r="DS692" i="61"/>
  <c r="ED692" i="61"/>
  <c r="EO692" i="61"/>
  <c r="EY692" i="61"/>
  <c r="FJ692" i="61"/>
  <c r="FU692" i="61"/>
  <c r="GE692" i="61"/>
  <c r="GP692" i="61"/>
  <c r="HA692" i="61"/>
  <c r="HK692" i="61"/>
  <c r="HV692" i="61"/>
  <c r="IW692" i="61"/>
  <c r="JG692" i="61"/>
  <c r="EW694" i="61"/>
  <c r="FH694" i="61"/>
  <c r="FR694" i="61"/>
  <c r="GC694" i="61"/>
  <c r="GN694" i="61"/>
  <c r="GX694" i="61"/>
  <c r="HI694" i="61"/>
  <c r="HT694" i="61"/>
  <c r="JM694" i="61"/>
  <c r="DG695" i="61"/>
  <c r="DQ695" i="61"/>
  <c r="EB695" i="61"/>
  <c r="EM695" i="61"/>
  <c r="EW695" i="61"/>
  <c r="FH695" i="61"/>
  <c r="FS695" i="61"/>
  <c r="GC695" i="61"/>
  <c r="GN695" i="61"/>
  <c r="GY695" i="61"/>
  <c r="HI695" i="61"/>
  <c r="HT695" i="61"/>
  <c r="IU695" i="61"/>
  <c r="DG696" i="61"/>
  <c r="DQ696" i="61"/>
  <c r="EB696" i="61"/>
  <c r="EM696" i="61"/>
  <c r="EW696" i="61"/>
  <c r="FH696" i="61"/>
  <c r="FS696" i="61"/>
  <c r="GC696" i="61"/>
  <c r="GN696" i="61"/>
  <c r="GY696" i="61"/>
  <c r="HI696" i="61"/>
  <c r="HT696" i="61"/>
  <c r="IU696" i="61"/>
  <c r="JE696" i="61"/>
  <c r="JP696" i="61"/>
  <c r="FA698" i="61"/>
  <c r="FL698" i="61"/>
  <c r="FY698" i="61"/>
  <c r="GM698" i="61"/>
  <c r="HB698" i="61"/>
  <c r="HO698" i="61"/>
  <c r="JC698" i="61"/>
  <c r="DP699" i="61"/>
  <c r="EE699" i="61"/>
  <c r="ET699" i="61"/>
  <c r="FG699" i="61"/>
  <c r="FV699" i="61"/>
  <c r="GJ699" i="61"/>
  <c r="GX699" i="61"/>
  <c r="HL699" i="61"/>
  <c r="IA699" i="61"/>
  <c r="IV699" i="61"/>
  <c r="DK700" i="61"/>
  <c r="DZ700" i="61"/>
  <c r="EN700" i="61"/>
  <c r="FB700" i="61"/>
  <c r="FP700" i="61"/>
  <c r="GE700" i="61"/>
  <c r="GR700" i="61"/>
  <c r="HG700" i="61"/>
  <c r="HV700" i="61"/>
  <c r="IQ700" i="61"/>
  <c r="JD700" i="61"/>
  <c r="FH702" i="61"/>
  <c r="FV702" i="61"/>
  <c r="GJ702" i="61"/>
  <c r="GX702" i="61"/>
  <c r="HM702" i="61"/>
  <c r="HZ702" i="61"/>
  <c r="JN702" i="61"/>
  <c r="DI703" i="61"/>
  <c r="DV703" i="61"/>
  <c r="EK703" i="61"/>
  <c r="EY703" i="61"/>
  <c r="FM703" i="61"/>
  <c r="GA703" i="61"/>
  <c r="GU703" i="61"/>
  <c r="HL703" i="61"/>
  <c r="IV703" i="61"/>
  <c r="DS704" i="61"/>
  <c r="EM704" i="61"/>
  <c r="FE704" i="61"/>
  <c r="FX704" i="61"/>
  <c r="GQ704" i="61"/>
  <c r="HK704" i="61"/>
  <c r="IB704" i="61"/>
  <c r="IU704" i="61"/>
  <c r="JL704" i="61"/>
  <c r="FL706" i="61"/>
  <c r="GS706" i="61"/>
  <c r="HY706" i="61"/>
  <c r="FG707" i="61"/>
  <c r="GH707" i="61"/>
  <c r="HG707" i="61"/>
  <c r="IQ707" i="61"/>
  <c r="DT708" i="61"/>
  <c r="EU708" i="61"/>
  <c r="FU708" i="61"/>
  <c r="GR708" i="61"/>
  <c r="HS708" i="61"/>
  <c r="IN708" i="61"/>
  <c r="IL708" i="61"/>
  <c r="IH708" i="61"/>
  <c r="ID708" i="61"/>
  <c r="DB708" i="61"/>
  <c r="CX708" i="61"/>
  <c r="CT708" i="61"/>
  <c r="CP708" i="61"/>
  <c r="CL708" i="61"/>
  <c r="CH708" i="61"/>
  <c r="CD708" i="61"/>
  <c r="BZ708" i="61"/>
  <c r="BV708" i="61"/>
  <c r="BR708" i="61"/>
  <c r="BN708" i="61"/>
  <c r="BJ708" i="61"/>
  <c r="BF708" i="61"/>
  <c r="BB708" i="61"/>
  <c r="AX708" i="61"/>
  <c r="AT708" i="61"/>
  <c r="AP708" i="61"/>
  <c r="AL708" i="61"/>
  <c r="AH708" i="61"/>
  <c r="AD708" i="61"/>
  <c r="Z708" i="61"/>
  <c r="IK708" i="61"/>
  <c r="IF708" i="61"/>
  <c r="DC708" i="61"/>
  <c r="CW708" i="61"/>
  <c r="CR708" i="61"/>
  <c r="CM708" i="61"/>
  <c r="CG708" i="61"/>
  <c r="CB708" i="61"/>
  <c r="BW708" i="61"/>
  <c r="BQ708" i="61"/>
  <c r="BL708" i="61"/>
  <c r="BG708" i="61"/>
  <c r="BA708" i="61"/>
  <c r="AV708" i="61"/>
  <c r="AQ708" i="61"/>
  <c r="AK708" i="61"/>
  <c r="AF708" i="61"/>
  <c r="AA708" i="61"/>
  <c r="IM708" i="61"/>
  <c r="IE708" i="61"/>
  <c r="CZ708" i="61"/>
  <c r="CS708" i="61"/>
  <c r="CK708" i="61"/>
  <c r="CE708" i="61"/>
  <c r="BX708" i="61"/>
  <c r="BP708" i="61"/>
  <c r="BI708" i="61"/>
  <c r="BC708" i="61"/>
  <c r="AU708" i="61"/>
  <c r="AN708" i="61"/>
  <c r="AG708" i="61"/>
  <c r="Y708" i="61"/>
  <c r="IG708" i="61"/>
  <c r="CU708" i="61"/>
  <c r="CJ708" i="61"/>
  <c r="CA708" i="61"/>
  <c r="BS708" i="61"/>
  <c r="BH708" i="61"/>
  <c r="AY708" i="61"/>
  <c r="AO708" i="61"/>
  <c r="AE708" i="61"/>
  <c r="W708" i="61"/>
  <c r="CZ707" i="61"/>
  <c r="CN707" i="61"/>
  <c r="BY707" i="61"/>
  <c r="BU707" i="61"/>
  <c r="BH707" i="61"/>
  <c r="AV707" i="61"/>
  <c r="AF707" i="61"/>
  <c r="II707" i="61"/>
  <c r="CY707" i="61"/>
  <c r="CF707" i="61"/>
  <c r="BV707" i="61"/>
  <c r="BG707" i="61"/>
  <c r="AN707" i="61"/>
  <c r="CU707" i="61"/>
  <c r="BX707" i="61"/>
  <c r="BL707" i="61"/>
  <c r="AJ707" i="61"/>
  <c r="DB706" i="61"/>
  <c r="BW706" i="61"/>
  <c r="CY706" i="61"/>
  <c r="DA706" i="61"/>
  <c r="IL704" i="61"/>
  <c r="IH704" i="61"/>
  <c r="ID704" i="61"/>
  <c r="DB704" i="61"/>
  <c r="CX704" i="61"/>
  <c r="CT704" i="61"/>
  <c r="CP704" i="61"/>
  <c r="CL704" i="61"/>
  <c r="CH704" i="61"/>
  <c r="CD704" i="61"/>
  <c r="BZ704" i="61"/>
  <c r="BV704" i="61"/>
  <c r="BR704" i="61"/>
  <c r="BN704" i="61"/>
  <c r="BJ704" i="61"/>
  <c r="BF704" i="61"/>
  <c r="BB704" i="61"/>
  <c r="AX704" i="61"/>
  <c r="AT704" i="61"/>
  <c r="AP704" i="61"/>
  <c r="AL704" i="61"/>
  <c r="AH704" i="61"/>
  <c r="AD704" i="61"/>
  <c r="Z704" i="61"/>
  <c r="II704" i="61"/>
  <c r="CZ704" i="61"/>
  <c r="CU704" i="61"/>
  <c r="CO704" i="61"/>
  <c r="CJ704" i="61"/>
  <c r="CE704" i="61"/>
  <c r="BY704" i="61"/>
  <c r="BT704" i="61"/>
  <c r="BO704" i="61"/>
  <c r="BI704" i="61"/>
  <c r="BD704" i="61"/>
  <c r="AY704" i="61"/>
  <c r="AS704" i="61"/>
  <c r="AN704" i="61"/>
  <c r="AI704" i="61"/>
  <c r="AC704" i="61"/>
  <c r="X704" i="61"/>
  <c r="IK704" i="61"/>
  <c r="IE704" i="61"/>
  <c r="CY704" i="61"/>
  <c r="CR704" i="61"/>
  <c r="CK704" i="61"/>
  <c r="CC704" i="61"/>
  <c r="BW704" i="61"/>
  <c r="BP704" i="61"/>
  <c r="BH704" i="61"/>
  <c r="BA704" i="61"/>
  <c r="AU704" i="61"/>
  <c r="AM704" i="61"/>
  <c r="AF704" i="61"/>
  <c r="Y704" i="61"/>
  <c r="IL703" i="61"/>
  <c r="IH703" i="61"/>
  <c r="ID703" i="61"/>
  <c r="II703" i="61"/>
  <c r="CZ703" i="61"/>
  <c r="CV703" i="61"/>
  <c r="CR703" i="61"/>
  <c r="CN703" i="61"/>
  <c r="CJ703" i="61"/>
  <c r="CF703" i="61"/>
  <c r="CB703" i="61"/>
  <c r="BX703" i="61"/>
  <c r="BT703" i="61"/>
  <c r="BP703" i="61"/>
  <c r="BL703" i="61"/>
  <c r="BH703" i="61"/>
  <c r="BD703" i="61"/>
  <c r="AZ703" i="61"/>
  <c r="AV703" i="61"/>
  <c r="AR703" i="61"/>
  <c r="AN703" i="61"/>
  <c r="AJ703" i="61"/>
  <c r="AF703" i="61"/>
  <c r="AB703" i="61"/>
  <c r="X703" i="61"/>
  <c r="IJ703" i="61"/>
  <c r="DB703" i="61"/>
  <c r="CW703" i="61"/>
  <c r="CQ703" i="61"/>
  <c r="CL703" i="61"/>
  <c r="CG703" i="61"/>
  <c r="CA703" i="61"/>
  <c r="BV703" i="61"/>
  <c r="BQ703" i="61"/>
  <c r="BK703" i="61"/>
  <c r="BF703" i="61"/>
  <c r="BA703" i="61"/>
  <c r="AU703" i="61"/>
  <c r="AP703" i="61"/>
  <c r="AK703" i="61"/>
  <c r="AE703" i="61"/>
  <c r="Z703" i="61"/>
  <c r="DB702" i="61"/>
  <c r="BY702" i="61"/>
  <c r="BU702" i="61"/>
  <c r="DA702" i="61"/>
  <c r="BW702" i="61"/>
  <c r="IK700" i="61"/>
  <c r="IG700" i="61"/>
  <c r="DA700" i="61"/>
  <c r="CW700" i="61"/>
  <c r="CS700" i="61"/>
  <c r="CO700" i="61"/>
  <c r="CK700" i="61"/>
  <c r="CG700" i="61"/>
  <c r="CC700" i="61"/>
  <c r="BY700" i="61"/>
  <c r="BU700" i="61"/>
  <c r="BQ700" i="61"/>
  <c r="BM700" i="61"/>
  <c r="BI700" i="61"/>
  <c r="BE700" i="61"/>
  <c r="BA700" i="61"/>
  <c r="AW700" i="61"/>
  <c r="AS700" i="61"/>
  <c r="AO700" i="61"/>
  <c r="AK700" i="61"/>
  <c r="AG700" i="61"/>
  <c r="AC700" i="61"/>
  <c r="Y700" i="61"/>
  <c r="IJ700" i="61"/>
  <c r="IE700" i="61"/>
  <c r="DB700" i="61"/>
  <c r="CV700" i="61"/>
  <c r="CQ700" i="61"/>
  <c r="CL700" i="61"/>
  <c r="CF700" i="61"/>
  <c r="CA700" i="61"/>
  <c r="BV700" i="61"/>
  <c r="BP700" i="61"/>
  <c r="BK700" i="61"/>
  <c r="BF700" i="61"/>
  <c r="AZ700" i="61"/>
  <c r="AU700" i="61"/>
  <c r="AP700" i="61"/>
  <c r="AJ700" i="61"/>
  <c r="AE700" i="61"/>
  <c r="Z700" i="61"/>
  <c r="IK699" i="61"/>
  <c r="IG699" i="61"/>
  <c r="DA699" i="61"/>
  <c r="CW699" i="61"/>
  <c r="CS699" i="61"/>
  <c r="CO699" i="61"/>
  <c r="CK699" i="61"/>
  <c r="CG699" i="61"/>
  <c r="CC699" i="61"/>
  <c r="BY699" i="61"/>
  <c r="BU699" i="61"/>
  <c r="BQ699" i="61"/>
  <c r="BM699" i="61"/>
  <c r="BI699" i="61"/>
  <c r="BE699" i="61"/>
  <c r="BA699" i="61"/>
  <c r="AW699" i="61"/>
  <c r="AS699" i="61"/>
  <c r="AO699" i="61"/>
  <c r="AK699" i="61"/>
  <c r="AG699" i="61"/>
  <c r="AC699" i="61"/>
  <c r="Y699" i="61"/>
  <c r="IJ699" i="61"/>
  <c r="IE699" i="61"/>
  <c r="DB699" i="61"/>
  <c r="CV699" i="61"/>
  <c r="CQ699" i="61"/>
  <c r="CL699" i="61"/>
  <c r="CF699" i="61"/>
  <c r="CA699" i="61"/>
  <c r="BV699" i="61"/>
  <c r="BP699" i="61"/>
  <c r="BK699" i="61"/>
  <c r="BF699" i="61"/>
  <c r="AZ699" i="61"/>
  <c r="AU699" i="61"/>
  <c r="AP699" i="61"/>
  <c r="AJ699" i="61"/>
  <c r="AE699" i="61"/>
  <c r="Z699" i="61"/>
  <c r="DB698" i="61"/>
  <c r="BY698" i="61"/>
  <c r="BU698" i="61"/>
  <c r="IL696" i="61"/>
  <c r="IH696" i="61"/>
  <c r="ID696" i="61"/>
  <c r="DB696" i="61"/>
  <c r="CX696" i="61"/>
  <c r="CT696" i="61"/>
  <c r="CP696" i="61"/>
  <c r="CL696" i="61"/>
  <c r="CH696" i="61"/>
  <c r="CD696" i="61"/>
  <c r="BZ696" i="61"/>
  <c r="BV696" i="61"/>
  <c r="BR696" i="61"/>
  <c r="BN696" i="61"/>
  <c r="BJ696" i="61"/>
  <c r="BF696" i="61"/>
  <c r="BB696" i="61"/>
  <c r="AX696" i="61"/>
  <c r="AT696" i="61"/>
  <c r="AP696" i="61"/>
  <c r="AL696" i="61"/>
  <c r="AH696" i="61"/>
  <c r="AD696" i="61"/>
  <c r="Z696" i="61"/>
  <c r="IL695" i="61"/>
  <c r="IH695" i="61"/>
  <c r="ID695" i="61"/>
  <c r="DB695" i="61"/>
  <c r="CX695" i="61"/>
  <c r="CT695" i="61"/>
  <c r="CP695" i="61"/>
  <c r="CL695" i="61"/>
  <c r="CH695" i="61"/>
  <c r="CD695" i="61"/>
  <c r="BZ695" i="61"/>
  <c r="BV695" i="61"/>
  <c r="BR695" i="61"/>
  <c r="BN695" i="61"/>
  <c r="BJ695" i="61"/>
  <c r="BF695" i="61"/>
  <c r="BB695" i="61"/>
  <c r="AX695" i="61"/>
  <c r="AT695" i="61"/>
  <c r="AP695" i="61"/>
  <c r="AL695" i="61"/>
  <c r="AH695" i="61"/>
  <c r="AD695" i="61"/>
  <c r="Z695" i="61"/>
  <c r="DC694" i="61"/>
  <c r="CY694" i="61"/>
  <c r="BV694" i="61"/>
  <c r="IJ692" i="61"/>
  <c r="IF692" i="61"/>
  <c r="CZ692" i="61"/>
  <c r="CV692" i="61"/>
  <c r="CR692" i="61"/>
  <c r="CN692" i="61"/>
  <c r="CJ692" i="61"/>
  <c r="CF692" i="61"/>
  <c r="CB692" i="61"/>
  <c r="BX692" i="61"/>
  <c r="BT692" i="61"/>
  <c r="BP692" i="61"/>
  <c r="BL692" i="61"/>
  <c r="BH692" i="61"/>
  <c r="BD692" i="61"/>
  <c r="AZ692" i="61"/>
  <c r="AV692" i="61"/>
  <c r="AR692" i="61"/>
  <c r="AN692" i="61"/>
  <c r="AJ692" i="61"/>
  <c r="AF692" i="61"/>
  <c r="AB692" i="61"/>
  <c r="X692" i="61"/>
  <c r="IJ691" i="61"/>
  <c r="IF691" i="61"/>
  <c r="CZ691" i="61"/>
  <c r="CV691" i="61"/>
  <c r="CR691" i="61"/>
  <c r="CN691" i="61"/>
  <c r="CJ691" i="61"/>
  <c r="CF691" i="61"/>
  <c r="CB691" i="61"/>
  <c r="BX691" i="61"/>
  <c r="BT691" i="61"/>
  <c r="BP691" i="61"/>
  <c r="BL691" i="61"/>
  <c r="BH691" i="61"/>
  <c r="BD691" i="61"/>
  <c r="AZ691" i="61"/>
  <c r="AV691" i="61"/>
  <c r="AR691" i="61"/>
  <c r="AN691" i="61"/>
  <c r="AJ691" i="61"/>
  <c r="AF691" i="61"/>
  <c r="AB691" i="61"/>
  <c r="X691" i="61"/>
  <c r="DA690" i="61"/>
  <c r="BY690" i="61"/>
  <c r="BU690" i="61"/>
  <c r="IJ688" i="61"/>
  <c r="IF688" i="61"/>
  <c r="CZ688" i="61"/>
  <c r="CV688" i="61"/>
  <c r="CR688" i="61"/>
  <c r="CN688" i="61"/>
  <c r="CJ688" i="61"/>
  <c r="CF688" i="61"/>
  <c r="CB688" i="61"/>
  <c r="BX688" i="61"/>
  <c r="BT688" i="61"/>
  <c r="BP688" i="61"/>
  <c r="BL688" i="61"/>
  <c r="BH688" i="61"/>
  <c r="BD688" i="61"/>
  <c r="AZ688" i="61"/>
  <c r="AV688" i="61"/>
  <c r="AR688" i="61"/>
  <c r="AN688" i="61"/>
  <c r="AJ688" i="61"/>
  <c r="AF688" i="61"/>
  <c r="AB688" i="61"/>
  <c r="X688" i="61"/>
  <c r="IJ687" i="61"/>
  <c r="IF687" i="61"/>
  <c r="CZ687" i="61"/>
  <c r="CV687" i="61"/>
  <c r="CR687" i="61"/>
  <c r="CN687" i="61"/>
  <c r="CJ687" i="61"/>
  <c r="CF687" i="61"/>
  <c r="CB687" i="61"/>
  <c r="BX687" i="61"/>
  <c r="BT687" i="61"/>
  <c r="BP687" i="61"/>
  <c r="X672" i="61"/>
  <c r="AB672" i="61"/>
  <c r="AF672" i="61"/>
  <c r="AJ672" i="61"/>
  <c r="AN672" i="61"/>
  <c r="AR672" i="61"/>
  <c r="AV672" i="61"/>
  <c r="AZ672" i="61"/>
  <c r="BD672" i="61"/>
  <c r="BH672" i="61"/>
  <c r="BL672" i="61"/>
  <c r="BP672" i="61"/>
  <c r="BT672" i="61"/>
  <c r="BX672" i="61"/>
  <c r="CB672" i="61"/>
  <c r="CF672" i="61"/>
  <c r="CJ672" i="61"/>
  <c r="CN672" i="61"/>
  <c r="CR672" i="61"/>
  <c r="CV672" i="61"/>
  <c r="CZ672" i="61"/>
  <c r="IF672" i="61"/>
  <c r="AW673" i="61"/>
  <c r="BU674" i="61"/>
  <c r="BY674" i="61"/>
  <c r="W675" i="61"/>
  <c r="AA675" i="61"/>
  <c r="AE675" i="61"/>
  <c r="AI675" i="61"/>
  <c r="AM675" i="61"/>
  <c r="AQ675" i="61"/>
  <c r="AU675" i="61"/>
  <c r="AY675" i="61"/>
  <c r="BC675" i="61"/>
  <c r="BG675" i="61"/>
  <c r="BK675" i="61"/>
  <c r="BO675" i="61"/>
  <c r="BS675" i="61"/>
  <c r="BW675" i="61"/>
  <c r="CA675" i="61"/>
  <c r="CE675" i="61"/>
  <c r="CI675" i="61"/>
  <c r="CM675" i="61"/>
  <c r="CQ675" i="61"/>
  <c r="CU675" i="61"/>
  <c r="CY675" i="61"/>
  <c r="DC675" i="61"/>
  <c r="IE675" i="61"/>
  <c r="II675" i="61"/>
  <c r="Z676" i="61"/>
  <c r="AD676" i="61"/>
  <c r="AH676" i="61"/>
  <c r="AL676" i="61"/>
  <c r="AP676" i="61"/>
  <c r="AT676" i="61"/>
  <c r="AX676" i="61"/>
  <c r="BB676" i="61"/>
  <c r="BF676" i="61"/>
  <c r="BJ676" i="61"/>
  <c r="BN676" i="61"/>
  <c r="BR676" i="61"/>
  <c r="BV676" i="61"/>
  <c r="BZ676" i="61"/>
  <c r="CD676" i="61"/>
  <c r="CH676" i="61"/>
  <c r="CL676" i="61"/>
  <c r="CP676" i="61"/>
  <c r="CT676" i="61"/>
  <c r="CX676" i="61"/>
  <c r="DB676" i="61"/>
  <c r="ID676" i="61"/>
  <c r="IH676" i="61"/>
  <c r="BL678" i="61"/>
  <c r="BX678" i="61"/>
  <c r="CY678" i="61"/>
  <c r="X679" i="61"/>
  <c r="AB679" i="61"/>
  <c r="AF679" i="61"/>
  <c r="AJ679" i="61"/>
  <c r="AN679" i="61"/>
  <c r="AR679" i="61"/>
  <c r="AV679" i="61"/>
  <c r="AZ679" i="61"/>
  <c r="BD679" i="61"/>
  <c r="BH679" i="61"/>
  <c r="BL679" i="61"/>
  <c r="BP679" i="61"/>
  <c r="BT679" i="61"/>
  <c r="BX679" i="61"/>
  <c r="CB679" i="61"/>
  <c r="CF679" i="61"/>
  <c r="CJ679" i="61"/>
  <c r="CN679" i="61"/>
  <c r="CR679" i="61"/>
  <c r="CV679" i="61"/>
  <c r="CZ679" i="61"/>
  <c r="IF679" i="61"/>
  <c r="W680" i="61"/>
  <c r="AA680" i="61"/>
  <c r="AE680" i="61"/>
  <c r="AI680" i="61"/>
  <c r="AM680" i="61"/>
  <c r="AQ680" i="61"/>
  <c r="AU680" i="61"/>
  <c r="AY680" i="61"/>
  <c r="BC680" i="61"/>
  <c r="BG680" i="61"/>
  <c r="BK680" i="61"/>
  <c r="BO680" i="61"/>
  <c r="BS680" i="61"/>
  <c r="BW680" i="61"/>
  <c r="CA680" i="61"/>
  <c r="CE680" i="61"/>
  <c r="CI680" i="61"/>
  <c r="CM680" i="61"/>
  <c r="CQ680" i="61"/>
  <c r="CU680" i="61"/>
  <c r="CY680" i="61"/>
  <c r="DC680" i="61"/>
  <c r="IE680" i="61"/>
  <c r="II680" i="61"/>
  <c r="BU682" i="61"/>
  <c r="BY682" i="61"/>
  <c r="X683" i="61"/>
  <c r="AB683" i="61"/>
  <c r="AF683" i="61"/>
  <c r="AJ683" i="61"/>
  <c r="AN683" i="61"/>
  <c r="AR683" i="61"/>
  <c r="AV683" i="61"/>
  <c r="AZ683" i="61"/>
  <c r="BD683" i="61"/>
  <c r="BH683" i="61"/>
  <c r="BL683" i="61"/>
  <c r="BP683" i="61"/>
  <c r="BT683" i="61"/>
  <c r="BX683" i="61"/>
  <c r="CB683" i="61"/>
  <c r="CF683" i="61"/>
  <c r="CJ683" i="61"/>
  <c r="CN683" i="61"/>
  <c r="CR683" i="61"/>
  <c r="CV683" i="61"/>
  <c r="CZ683" i="61"/>
  <c r="IF683" i="61"/>
  <c r="X684" i="61"/>
  <c r="AB684" i="61"/>
  <c r="AF684" i="61"/>
  <c r="AJ684" i="61"/>
  <c r="AN684" i="61"/>
  <c r="AR684" i="61"/>
  <c r="AV684" i="61"/>
  <c r="AZ684" i="61"/>
  <c r="BD684" i="61"/>
  <c r="BH684" i="61"/>
  <c r="BL684" i="61"/>
  <c r="BP684" i="61"/>
  <c r="BT684" i="61"/>
  <c r="BX684" i="61"/>
  <c r="CB684" i="61"/>
  <c r="CF684" i="61"/>
  <c r="CJ684" i="61"/>
  <c r="CN684" i="61"/>
  <c r="CR684" i="61"/>
  <c r="CV684" i="61"/>
  <c r="CZ684" i="61"/>
  <c r="IF684" i="61"/>
  <c r="X686" i="61"/>
  <c r="BW686" i="61"/>
  <c r="CY686" i="61"/>
  <c r="Z687" i="61"/>
  <c r="AD687" i="61"/>
  <c r="AH687" i="61"/>
  <c r="AL687" i="61"/>
  <c r="AP687" i="61"/>
  <c r="AT687" i="61"/>
  <c r="AX687" i="61"/>
  <c r="BB687" i="61"/>
  <c r="BF687" i="61"/>
  <c r="BJ687" i="61"/>
  <c r="BN687" i="61"/>
  <c r="BS687" i="61"/>
  <c r="BY687" i="61"/>
  <c r="CD687" i="61"/>
  <c r="CI687" i="61"/>
  <c r="CO687" i="61"/>
  <c r="CT687" i="61"/>
  <c r="CY687" i="61"/>
  <c r="IH687" i="61"/>
  <c r="IM687" i="61"/>
  <c r="W688" i="61"/>
  <c r="AC688" i="61"/>
  <c r="AH688" i="61"/>
  <c r="AM688" i="61"/>
  <c r="AS688" i="61"/>
  <c r="AX688" i="61"/>
  <c r="BC688" i="61"/>
  <c r="BI688" i="61"/>
  <c r="BN688" i="61"/>
  <c r="BS688" i="61"/>
  <c r="BY688" i="61"/>
  <c r="CD688" i="61"/>
  <c r="CI688" i="61"/>
  <c r="CO688" i="61"/>
  <c r="CT688" i="61"/>
  <c r="CY688" i="61"/>
  <c r="IH688" i="61"/>
  <c r="IM688" i="61"/>
  <c r="BV690" i="61"/>
  <c r="CY690" i="61"/>
  <c r="Z691" i="61"/>
  <c r="AE691" i="61"/>
  <c r="AK691" i="61"/>
  <c r="AP691" i="61"/>
  <c r="AU691" i="61"/>
  <c r="BA691" i="61"/>
  <c r="BF691" i="61"/>
  <c r="BK691" i="61"/>
  <c r="BQ691" i="61"/>
  <c r="BV691" i="61"/>
  <c r="CA691" i="61"/>
  <c r="CG691" i="61"/>
  <c r="CL691" i="61"/>
  <c r="CQ691" i="61"/>
  <c r="CW691" i="61"/>
  <c r="DB691" i="61"/>
  <c r="IE691" i="61"/>
  <c r="IK691" i="61"/>
  <c r="Z692" i="61"/>
  <c r="AE692" i="61"/>
  <c r="AK692" i="61"/>
  <c r="AP692" i="61"/>
  <c r="AU692" i="61"/>
  <c r="BA692" i="61"/>
  <c r="BF692" i="61"/>
  <c r="BK692" i="61"/>
  <c r="BQ692" i="61"/>
  <c r="BV692" i="61"/>
  <c r="CA692" i="61"/>
  <c r="CG692" i="61"/>
  <c r="CL692" i="61"/>
  <c r="CQ692" i="61"/>
  <c r="CW692" i="61"/>
  <c r="DB692" i="61"/>
  <c r="IE692" i="61"/>
  <c r="IK692" i="61"/>
  <c r="BY694" i="61"/>
  <c r="X695" i="61"/>
  <c r="AC695" i="61"/>
  <c r="AI695" i="61"/>
  <c r="AN695" i="61"/>
  <c r="AS695" i="61"/>
  <c r="AY695" i="61"/>
  <c r="BD695" i="61"/>
  <c r="BI695" i="61"/>
  <c r="BO695" i="61"/>
  <c r="BT695" i="61"/>
  <c r="BY695" i="61"/>
  <c r="CE695" i="61"/>
  <c r="CJ695" i="61"/>
  <c r="CO695" i="61"/>
  <c r="CU695" i="61"/>
  <c r="CZ695" i="61"/>
  <c r="II695" i="61"/>
  <c r="X696" i="61"/>
  <c r="AC696" i="61"/>
  <c r="AI696" i="61"/>
  <c r="AN696" i="61"/>
  <c r="AS696" i="61"/>
  <c r="AY696" i="61"/>
  <c r="BD696" i="61"/>
  <c r="BI696" i="61"/>
  <c r="BO696" i="61"/>
  <c r="BT696" i="61"/>
  <c r="BY696" i="61"/>
  <c r="CE696" i="61"/>
  <c r="CJ696" i="61"/>
  <c r="CO696" i="61"/>
  <c r="CU696" i="61"/>
  <c r="CZ696" i="61"/>
  <c r="II696" i="61"/>
  <c r="BW698" i="61"/>
  <c r="DA698" i="61"/>
  <c r="AA699" i="61"/>
  <c r="AH699" i="61"/>
  <c r="AN699" i="61"/>
  <c r="AV699" i="61"/>
  <c r="BC699" i="61"/>
  <c r="BJ699" i="61"/>
  <c r="BR699" i="61"/>
  <c r="BX699" i="61"/>
  <c r="CE699" i="61"/>
  <c r="CM699" i="61"/>
  <c r="CT699" i="61"/>
  <c r="CZ699" i="61"/>
  <c r="IF699" i="61"/>
  <c r="IM699" i="61"/>
  <c r="AB700" i="61"/>
  <c r="AI700" i="61"/>
  <c r="AQ700" i="61"/>
  <c r="AX700" i="61"/>
  <c r="BD700" i="61"/>
  <c r="BL700" i="61"/>
  <c r="BS700" i="61"/>
  <c r="BZ700" i="61"/>
  <c r="CH700" i="61"/>
  <c r="CN700" i="61"/>
  <c r="CU700" i="61"/>
  <c r="DC700" i="61"/>
  <c r="IH700" i="61"/>
  <c r="CY702" i="61"/>
  <c r="W703" i="61"/>
  <c r="AD703" i="61"/>
  <c r="AL703" i="61"/>
  <c r="AS703" i="61"/>
  <c r="AY703" i="61"/>
  <c r="BG703" i="61"/>
  <c r="BN703" i="61"/>
  <c r="BU703" i="61"/>
  <c r="CC703" i="61"/>
  <c r="CI703" i="61"/>
  <c r="CP703" i="61"/>
  <c r="CX703" i="61"/>
  <c r="IK703" i="61"/>
  <c r="W704" i="61"/>
  <c r="AG704" i="61"/>
  <c r="AQ704" i="61"/>
  <c r="AZ704" i="61"/>
  <c r="BK704" i="61"/>
  <c r="BS704" i="61"/>
  <c r="CB704" i="61"/>
  <c r="CM704" i="61"/>
  <c r="CV704" i="61"/>
  <c r="IG704" i="61"/>
  <c r="BY706" i="61"/>
  <c r="AQ707" i="61"/>
  <c r="BT707" i="61"/>
  <c r="CQ707" i="61"/>
  <c r="AC708" i="61"/>
  <c r="AR708" i="61"/>
  <c r="BD708" i="61"/>
  <c r="BO708" i="61"/>
  <c r="CC708" i="61"/>
  <c r="CO708" i="61"/>
  <c r="DA708" i="61"/>
  <c r="IJ708" i="61"/>
  <c r="IH706" i="61"/>
  <c r="ID706" i="61"/>
  <c r="IF706" i="61"/>
  <c r="IU706" i="61"/>
  <c r="IJ706" i="61"/>
  <c r="EV706" i="61"/>
  <c r="EO706" i="61"/>
  <c r="EG706" i="61"/>
  <c r="EA706" i="61"/>
  <c r="DU706" i="61"/>
  <c r="DO706" i="61"/>
  <c r="DJ706" i="61"/>
  <c r="DE706" i="61"/>
  <c r="CO706" i="61"/>
  <c r="CI706" i="61"/>
  <c r="CD706" i="61"/>
  <c r="AM706" i="61"/>
  <c r="AH706" i="61"/>
  <c r="AC706" i="61"/>
  <c r="W706" i="61"/>
  <c r="A706" i="61"/>
  <c r="IV706" i="61"/>
  <c r="IM706" i="61"/>
  <c r="IE706" i="61"/>
  <c r="EQ706" i="61"/>
  <c r="EJ706" i="61"/>
  <c r="EB706" i="61"/>
  <c r="DV706" i="61"/>
  <c r="DQ706" i="61"/>
  <c r="DK706" i="61"/>
  <c r="DF706" i="61"/>
  <c r="CP706" i="61"/>
  <c r="CK706" i="61"/>
  <c r="CE706" i="61"/>
  <c r="BZ706" i="61"/>
  <c r="AO706" i="61"/>
  <c r="AI706" i="61"/>
  <c r="AD706" i="61"/>
  <c r="Y706" i="61"/>
  <c r="II706" i="61"/>
  <c r="EM706" i="61"/>
  <c r="DY706" i="61"/>
  <c r="DN706" i="61"/>
  <c r="CM706" i="61"/>
  <c r="CC706" i="61"/>
  <c r="AG706" i="61"/>
  <c r="IN706" i="61"/>
  <c r="ER706" i="61"/>
  <c r="EE706" i="61"/>
  <c r="DR706" i="61"/>
  <c r="DG706" i="61"/>
  <c r="CQ706" i="61"/>
  <c r="CG706" i="61"/>
  <c r="AK706" i="61"/>
  <c r="Z706" i="61"/>
  <c r="IQ706" i="61"/>
  <c r="EF706" i="61"/>
  <c r="DI706" i="61"/>
  <c r="CH706" i="61"/>
  <c r="AL706" i="61"/>
  <c r="IY706" i="61"/>
  <c r="EK706" i="61"/>
  <c r="DM706" i="61"/>
  <c r="CL706" i="61"/>
  <c r="AP706" i="61"/>
  <c r="DW706" i="61"/>
  <c r="CA706" i="61"/>
  <c r="AE706" i="61"/>
  <c r="EU706" i="61"/>
  <c r="CS706" i="61"/>
  <c r="DS706" i="61"/>
  <c r="AA706" i="61"/>
  <c r="JP705" i="61"/>
  <c r="JL705" i="61"/>
  <c r="JH705" i="61"/>
  <c r="JD705" i="61"/>
  <c r="IZ705" i="61"/>
  <c r="IV705" i="61"/>
  <c r="IR705" i="61"/>
  <c r="JM705" i="61"/>
  <c r="JG705" i="61"/>
  <c r="JB705" i="61"/>
  <c r="IW705" i="61"/>
  <c r="IQ705" i="61"/>
  <c r="IM705" i="61"/>
  <c r="II705" i="61"/>
  <c r="IE705" i="61"/>
  <c r="IA705" i="61"/>
  <c r="HW705" i="61"/>
  <c r="HS705" i="61"/>
  <c r="HO705" i="61"/>
  <c r="HK705" i="61"/>
  <c r="HG705" i="61"/>
  <c r="HC705" i="61"/>
  <c r="GY705" i="61"/>
  <c r="GU705" i="61"/>
  <c r="GQ705" i="61"/>
  <c r="GM705" i="61"/>
  <c r="GI705" i="61"/>
  <c r="GE705" i="61"/>
  <c r="GA705" i="61"/>
  <c r="FW705" i="61"/>
  <c r="FS705" i="61"/>
  <c r="FO705" i="61"/>
  <c r="FK705" i="61"/>
  <c r="FG705" i="61"/>
  <c r="FC705" i="61"/>
  <c r="EY705" i="61"/>
  <c r="EU705" i="61"/>
  <c r="EQ705" i="61"/>
  <c r="EM705" i="61"/>
  <c r="EI705" i="61"/>
  <c r="EE705" i="61"/>
  <c r="EA705" i="61"/>
  <c r="DW705" i="61"/>
  <c r="DS705" i="61"/>
  <c r="DO705" i="61"/>
  <c r="DK705" i="61"/>
  <c r="DG705" i="61"/>
  <c r="DC705" i="61"/>
  <c r="CY705" i="61"/>
  <c r="CU705" i="61"/>
  <c r="CQ705" i="61"/>
  <c r="CM705" i="61"/>
  <c r="CI705" i="61"/>
  <c r="CE705" i="61"/>
  <c r="CA705" i="61"/>
  <c r="BW705" i="61"/>
  <c r="BS705" i="61"/>
  <c r="BO705" i="61"/>
  <c r="BK705" i="61"/>
  <c r="BG705" i="61"/>
  <c r="BC705" i="61"/>
  <c r="AY705" i="61"/>
  <c r="AU705" i="61"/>
  <c r="AQ705" i="61"/>
  <c r="AM705" i="61"/>
  <c r="AI705" i="61"/>
  <c r="AE705" i="61"/>
  <c r="AA705" i="61"/>
  <c r="W705" i="61"/>
  <c r="JN705" i="61"/>
  <c r="JI705" i="61"/>
  <c r="JC705" i="61"/>
  <c r="IX705" i="61"/>
  <c r="IS705" i="61"/>
  <c r="IN705" i="61"/>
  <c r="IJ705" i="61"/>
  <c r="IF705" i="61"/>
  <c r="IB705" i="61"/>
  <c r="HX705" i="61"/>
  <c r="HT705" i="61"/>
  <c r="HP705" i="61"/>
  <c r="HL705" i="61"/>
  <c r="HH705" i="61"/>
  <c r="HD705" i="61"/>
  <c r="GZ705" i="61"/>
  <c r="GV705" i="61"/>
  <c r="GR705" i="61"/>
  <c r="GN705" i="61"/>
  <c r="GJ705" i="61"/>
  <c r="GF705" i="61"/>
  <c r="GB705" i="61"/>
  <c r="FX705" i="61"/>
  <c r="FT705" i="61"/>
  <c r="FP705" i="61"/>
  <c r="FL705" i="61"/>
  <c r="FH705" i="61"/>
  <c r="FD705" i="61"/>
  <c r="EZ705" i="61"/>
  <c r="EV705" i="61"/>
  <c r="ER705" i="61"/>
  <c r="EN705" i="61"/>
  <c r="EJ705" i="61"/>
  <c r="EF705" i="61"/>
  <c r="EB705" i="61"/>
  <c r="DX705" i="61"/>
  <c r="DT705" i="61"/>
  <c r="DP705" i="61"/>
  <c r="DL705" i="61"/>
  <c r="DH705" i="61"/>
  <c r="DD705" i="61"/>
  <c r="CZ705" i="61"/>
  <c r="CV705" i="61"/>
  <c r="CR705" i="61"/>
  <c r="CN705" i="61"/>
  <c r="CJ705" i="61"/>
  <c r="CF705" i="61"/>
  <c r="CB705" i="61"/>
  <c r="BX705" i="61"/>
  <c r="BT705" i="61"/>
  <c r="BP705" i="61"/>
  <c r="BL705" i="61"/>
  <c r="BH705" i="61"/>
  <c r="BD705" i="61"/>
  <c r="AZ705" i="61"/>
  <c r="AV705" i="61"/>
  <c r="JO705" i="61"/>
  <c r="JE705" i="61"/>
  <c r="IT705" i="61"/>
  <c r="IK705" i="61"/>
  <c r="IC705" i="61"/>
  <c r="HU705" i="61"/>
  <c r="HM705" i="61"/>
  <c r="HE705" i="61"/>
  <c r="GW705" i="61"/>
  <c r="GO705" i="61"/>
  <c r="GG705" i="61"/>
  <c r="FY705" i="61"/>
  <c r="FQ705" i="61"/>
  <c r="FI705" i="61"/>
  <c r="FA705" i="61"/>
  <c r="ES705" i="61"/>
  <c r="EK705" i="61"/>
  <c r="EC705" i="61"/>
  <c r="DU705" i="61"/>
  <c r="DM705" i="61"/>
  <c r="DE705" i="61"/>
  <c r="CW705" i="61"/>
  <c r="CO705" i="61"/>
  <c r="CG705" i="61"/>
  <c r="BY705" i="61"/>
  <c r="BQ705" i="61"/>
  <c r="BI705" i="61"/>
  <c r="BA705" i="61"/>
  <c r="AS705" i="61"/>
  <c r="AN705" i="61"/>
  <c r="AH705" i="61"/>
  <c r="AC705" i="61"/>
  <c r="X705" i="61"/>
  <c r="JQ705" i="61"/>
  <c r="JF705" i="61"/>
  <c r="IU705" i="61"/>
  <c r="IL705" i="61"/>
  <c r="ID705" i="61"/>
  <c r="HV705" i="61"/>
  <c r="HN705" i="61"/>
  <c r="HF705" i="61"/>
  <c r="GX705" i="61"/>
  <c r="GP705" i="61"/>
  <c r="GH705" i="61"/>
  <c r="FZ705" i="61"/>
  <c r="FR705" i="61"/>
  <c r="FJ705" i="61"/>
  <c r="FB705" i="61"/>
  <c r="ET705" i="61"/>
  <c r="EL705" i="61"/>
  <c r="ED705" i="61"/>
  <c r="DV705" i="61"/>
  <c r="DN705" i="61"/>
  <c r="DF705" i="61"/>
  <c r="CX705" i="61"/>
  <c r="CP705" i="61"/>
  <c r="CH705" i="61"/>
  <c r="BZ705" i="61"/>
  <c r="BR705" i="61"/>
  <c r="BJ705" i="61"/>
  <c r="BB705" i="61"/>
  <c r="AT705" i="61"/>
  <c r="AO705" i="61"/>
  <c r="AJ705" i="61"/>
  <c r="AD705" i="61"/>
  <c r="Y705" i="61"/>
  <c r="IY705" i="61"/>
  <c r="IG705" i="61"/>
  <c r="HQ705" i="61"/>
  <c r="HA705" i="61"/>
  <c r="GK705" i="61"/>
  <c r="FU705" i="61"/>
  <c r="FE705" i="61"/>
  <c r="EO705" i="61"/>
  <c r="DY705" i="61"/>
  <c r="DI705" i="61"/>
  <c r="CS705" i="61"/>
  <c r="CC705" i="61"/>
  <c r="BM705" i="61"/>
  <c r="AW705" i="61"/>
  <c r="AK705" i="61"/>
  <c r="Z705" i="61"/>
  <c r="JA705" i="61"/>
  <c r="IH705" i="61"/>
  <c r="HR705" i="61"/>
  <c r="HB705" i="61"/>
  <c r="GL705" i="61"/>
  <c r="FV705" i="61"/>
  <c r="FF705" i="61"/>
  <c r="EP705" i="61"/>
  <c r="DZ705" i="61"/>
  <c r="DJ705" i="61"/>
  <c r="CT705" i="61"/>
  <c r="CD705" i="61"/>
  <c r="BN705" i="61"/>
  <c r="AX705" i="61"/>
  <c r="AL705" i="61"/>
  <c r="AB705" i="61"/>
  <c r="JK705" i="61"/>
  <c r="HZ705" i="61"/>
  <c r="GT705" i="61"/>
  <c r="FN705" i="61"/>
  <c r="EH705" i="61"/>
  <c r="DB705" i="61"/>
  <c r="BV705" i="61"/>
  <c r="AR705" i="61"/>
  <c r="A705" i="61"/>
  <c r="IO705" i="61"/>
  <c r="HI705" i="61"/>
  <c r="GC705" i="61"/>
  <c r="EW705" i="61"/>
  <c r="DQ705" i="61"/>
  <c r="CK705" i="61"/>
  <c r="BE705" i="61"/>
  <c r="AF705" i="61"/>
  <c r="HY705" i="61"/>
  <c r="FM705" i="61"/>
  <c r="DA705" i="61"/>
  <c r="AP705" i="61"/>
  <c r="IP705" i="61"/>
  <c r="GD705" i="61"/>
  <c r="DR705" i="61"/>
  <c r="BF705" i="61"/>
  <c r="HJ705" i="61"/>
  <c r="CL705" i="61"/>
  <c r="BU705" i="61"/>
  <c r="JJ705" i="61"/>
  <c r="EG705" i="61"/>
  <c r="GS705" i="61"/>
  <c r="K704" i="61"/>
  <c r="L704" i="61" s="1"/>
  <c r="CX702" i="61"/>
  <c r="CT702" i="61"/>
  <c r="BR702" i="61"/>
  <c r="BN702" i="61"/>
  <c r="BJ702" i="61"/>
  <c r="BF702" i="61"/>
  <c r="BB702" i="61"/>
  <c r="AX702" i="61"/>
  <c r="AT702" i="61"/>
  <c r="CU702" i="61"/>
  <c r="BS702" i="61"/>
  <c r="BO702" i="61"/>
  <c r="BK702" i="61"/>
  <c r="BG702" i="61"/>
  <c r="BC702" i="61"/>
  <c r="AY702" i="61"/>
  <c r="AU702" i="61"/>
  <c r="AQ702" i="61"/>
  <c r="CV702" i="61"/>
  <c r="BT702" i="61"/>
  <c r="BL702" i="61"/>
  <c r="BD702" i="61"/>
  <c r="AV702" i="61"/>
  <c r="CW702" i="61"/>
  <c r="BM702" i="61"/>
  <c r="BE702" i="61"/>
  <c r="AW702" i="61"/>
  <c r="BP702" i="61"/>
  <c r="AZ702" i="61"/>
  <c r="BQ702" i="61"/>
  <c r="BA702" i="61"/>
  <c r="BH702" i="61"/>
  <c r="BI702" i="61"/>
  <c r="AR702" i="61"/>
  <c r="AS702" i="61"/>
  <c r="JB702" i="61"/>
  <c r="IX702" i="61"/>
  <c r="IT702" i="61"/>
  <c r="IP702" i="61"/>
  <c r="IL702" i="61"/>
  <c r="IH702" i="61"/>
  <c r="ID702" i="61"/>
  <c r="ET702" i="61"/>
  <c r="EP702" i="61"/>
  <c r="EL702" i="61"/>
  <c r="EH702" i="61"/>
  <c r="ED702" i="61"/>
  <c r="DZ702" i="61"/>
  <c r="DV702" i="61"/>
  <c r="DR702" i="61"/>
  <c r="DN702" i="61"/>
  <c r="DJ702" i="61"/>
  <c r="DF702" i="61"/>
  <c r="CP702" i="61"/>
  <c r="CL702" i="61"/>
  <c r="CH702" i="61"/>
  <c r="CD702" i="61"/>
  <c r="BZ702" i="61"/>
  <c r="AP702" i="61"/>
  <c r="AL702" i="61"/>
  <c r="AH702" i="61"/>
  <c r="AD702" i="61"/>
  <c r="Z702" i="61"/>
  <c r="A702" i="61"/>
  <c r="IY702" i="61"/>
  <c r="IU702" i="61"/>
  <c r="IQ702" i="61"/>
  <c r="IM702" i="61"/>
  <c r="II702" i="61"/>
  <c r="IE702" i="61"/>
  <c r="EU702" i="61"/>
  <c r="EQ702" i="61"/>
  <c r="EM702" i="61"/>
  <c r="EI702" i="61"/>
  <c r="EE702" i="61"/>
  <c r="EA702" i="61"/>
  <c r="DW702" i="61"/>
  <c r="DS702" i="61"/>
  <c r="DO702" i="61"/>
  <c r="DK702" i="61"/>
  <c r="DG702" i="61"/>
  <c r="CQ702" i="61"/>
  <c r="CM702" i="61"/>
  <c r="CI702" i="61"/>
  <c r="CE702" i="61"/>
  <c r="CA702" i="61"/>
  <c r="AM702" i="61"/>
  <c r="AI702" i="61"/>
  <c r="AE702" i="61"/>
  <c r="AA702" i="61"/>
  <c r="W702" i="61"/>
  <c r="IW702" i="61"/>
  <c r="IO702" i="61"/>
  <c r="IG702" i="61"/>
  <c r="ES702" i="61"/>
  <c r="EK702" i="61"/>
  <c r="EC702" i="61"/>
  <c r="DU702" i="61"/>
  <c r="DM702" i="61"/>
  <c r="DE702" i="61"/>
  <c r="CN702" i="61"/>
  <c r="CF702" i="61"/>
  <c r="AN702" i="61"/>
  <c r="AF702" i="61"/>
  <c r="X702" i="61"/>
  <c r="IZ702" i="61"/>
  <c r="IR702" i="61"/>
  <c r="IJ702" i="61"/>
  <c r="EV702" i="61"/>
  <c r="EN702" i="61"/>
  <c r="EF702" i="61"/>
  <c r="DX702" i="61"/>
  <c r="DP702" i="61"/>
  <c r="DH702" i="61"/>
  <c r="CO702" i="61"/>
  <c r="CG702" i="61"/>
  <c r="AO702" i="61"/>
  <c r="AG702" i="61"/>
  <c r="Y702" i="61"/>
  <c r="IN702" i="61"/>
  <c r="ER702" i="61"/>
  <c r="EB702" i="61"/>
  <c r="DL702" i="61"/>
  <c r="CS702" i="61"/>
  <c r="CC702" i="61"/>
  <c r="AJ702" i="61"/>
  <c r="IS702" i="61"/>
  <c r="EG702" i="61"/>
  <c r="DQ702" i="61"/>
  <c r="CJ702" i="61"/>
  <c r="AK702" i="61"/>
  <c r="IV702" i="61"/>
  <c r="EO702" i="61"/>
  <c r="DI702" i="61"/>
  <c r="CK702" i="61"/>
  <c r="AB702" i="61"/>
  <c r="JA702" i="61"/>
  <c r="DT702" i="61"/>
  <c r="CR702" i="61"/>
  <c r="AC702" i="61"/>
  <c r="CB702" i="61"/>
  <c r="IF702" i="61"/>
  <c r="DD702" i="61"/>
  <c r="EJ702" i="61"/>
  <c r="JN701" i="61"/>
  <c r="JJ701" i="61"/>
  <c r="JF701" i="61"/>
  <c r="JB701" i="61"/>
  <c r="IX701" i="61"/>
  <c r="IT701" i="61"/>
  <c r="IP701" i="61"/>
  <c r="IL701" i="61"/>
  <c r="IH701" i="61"/>
  <c r="ID701" i="61"/>
  <c r="HZ701" i="61"/>
  <c r="HV701" i="61"/>
  <c r="HR701" i="61"/>
  <c r="HN701" i="61"/>
  <c r="HJ701" i="61"/>
  <c r="HF701" i="61"/>
  <c r="HB701" i="61"/>
  <c r="GX701" i="61"/>
  <c r="GT701" i="61"/>
  <c r="GP701" i="61"/>
  <c r="GL701" i="61"/>
  <c r="GH701" i="61"/>
  <c r="GD701" i="61"/>
  <c r="FZ701" i="61"/>
  <c r="FV701" i="61"/>
  <c r="FR701" i="61"/>
  <c r="FN701" i="61"/>
  <c r="FJ701" i="61"/>
  <c r="FF701" i="61"/>
  <c r="FB701" i="61"/>
  <c r="EX701" i="61"/>
  <c r="ET701" i="61"/>
  <c r="EP701" i="61"/>
  <c r="EL701" i="61"/>
  <c r="EH701" i="61"/>
  <c r="ED701" i="61"/>
  <c r="DZ701" i="61"/>
  <c r="DV701" i="61"/>
  <c r="DR701" i="61"/>
  <c r="DN701" i="61"/>
  <c r="DJ701" i="61"/>
  <c r="DF701" i="61"/>
  <c r="DB701" i="61"/>
  <c r="CX701" i="61"/>
  <c r="CT701" i="61"/>
  <c r="CP701" i="61"/>
  <c r="CL701" i="61"/>
  <c r="CH701" i="61"/>
  <c r="CD701" i="61"/>
  <c r="BZ701" i="61"/>
  <c r="BV701" i="61"/>
  <c r="BR701" i="61"/>
  <c r="BN701" i="61"/>
  <c r="BJ701" i="61"/>
  <c r="BF701" i="61"/>
  <c r="BB701" i="61"/>
  <c r="AX701" i="61"/>
  <c r="AT701" i="61"/>
  <c r="AP701" i="61"/>
  <c r="AL701" i="61"/>
  <c r="AH701" i="61"/>
  <c r="AD701" i="61"/>
  <c r="Z701" i="61"/>
  <c r="A701" i="61"/>
  <c r="JO701" i="61"/>
  <c r="JK701" i="61"/>
  <c r="JG701" i="61"/>
  <c r="JC701" i="61"/>
  <c r="IY701" i="61"/>
  <c r="IU701" i="61"/>
  <c r="IQ701" i="61"/>
  <c r="IM701" i="61"/>
  <c r="II701" i="61"/>
  <c r="IE701" i="61"/>
  <c r="IA701" i="61"/>
  <c r="HW701" i="61"/>
  <c r="HS701" i="61"/>
  <c r="HO701" i="61"/>
  <c r="HK701" i="61"/>
  <c r="HG701" i="61"/>
  <c r="HC701" i="61"/>
  <c r="GY701" i="61"/>
  <c r="GU701" i="61"/>
  <c r="GQ701" i="61"/>
  <c r="GM701" i="61"/>
  <c r="GI701" i="61"/>
  <c r="GE701" i="61"/>
  <c r="GA701" i="61"/>
  <c r="FW701" i="61"/>
  <c r="FS701" i="61"/>
  <c r="FO701" i="61"/>
  <c r="FK701" i="61"/>
  <c r="FG701" i="61"/>
  <c r="FC701" i="61"/>
  <c r="EY701" i="61"/>
  <c r="EU701" i="61"/>
  <c r="EQ701" i="61"/>
  <c r="EM701" i="61"/>
  <c r="EI701" i="61"/>
  <c r="EE701" i="61"/>
  <c r="EA701" i="61"/>
  <c r="DW701" i="61"/>
  <c r="DS701" i="61"/>
  <c r="DO701" i="61"/>
  <c r="DK701" i="61"/>
  <c r="DG701" i="61"/>
  <c r="DC701" i="61"/>
  <c r="CY701" i="61"/>
  <c r="CU701" i="61"/>
  <c r="CQ701" i="61"/>
  <c r="CM701" i="61"/>
  <c r="CI701" i="61"/>
  <c r="CE701" i="61"/>
  <c r="CA701" i="61"/>
  <c r="BW701" i="61"/>
  <c r="BS701" i="61"/>
  <c r="BO701" i="61"/>
  <c r="BK701" i="61"/>
  <c r="BG701" i="61"/>
  <c r="BC701" i="61"/>
  <c r="AY701" i="61"/>
  <c r="AU701" i="61"/>
  <c r="AQ701" i="61"/>
  <c r="AM701" i="61"/>
  <c r="AI701" i="61"/>
  <c r="AE701" i="61"/>
  <c r="AA701" i="61"/>
  <c r="W701" i="61"/>
  <c r="JQ701" i="61"/>
  <c r="JI701" i="61"/>
  <c r="JA701" i="61"/>
  <c r="IS701" i="61"/>
  <c r="IK701" i="61"/>
  <c r="IC701" i="61"/>
  <c r="HU701" i="61"/>
  <c r="HM701" i="61"/>
  <c r="HE701" i="61"/>
  <c r="GW701" i="61"/>
  <c r="GO701" i="61"/>
  <c r="GG701" i="61"/>
  <c r="FY701" i="61"/>
  <c r="FQ701" i="61"/>
  <c r="FI701" i="61"/>
  <c r="FA701" i="61"/>
  <c r="ES701" i="61"/>
  <c r="EK701" i="61"/>
  <c r="EC701" i="61"/>
  <c r="DU701" i="61"/>
  <c r="DM701" i="61"/>
  <c r="DE701" i="61"/>
  <c r="CW701" i="61"/>
  <c r="CO701" i="61"/>
  <c r="CG701" i="61"/>
  <c r="BY701" i="61"/>
  <c r="BQ701" i="61"/>
  <c r="BI701" i="61"/>
  <c r="BA701" i="61"/>
  <c r="AS701" i="61"/>
  <c r="AK701" i="61"/>
  <c r="AC701" i="61"/>
  <c r="JL701" i="61"/>
  <c r="JD701" i="61"/>
  <c r="IV701" i="61"/>
  <c r="IN701" i="61"/>
  <c r="IF701" i="61"/>
  <c r="HX701" i="61"/>
  <c r="HP701" i="61"/>
  <c r="HH701" i="61"/>
  <c r="GZ701" i="61"/>
  <c r="GR701" i="61"/>
  <c r="GJ701" i="61"/>
  <c r="GB701" i="61"/>
  <c r="FT701" i="61"/>
  <c r="FL701" i="61"/>
  <c r="FD701" i="61"/>
  <c r="EV701" i="61"/>
  <c r="EN701" i="61"/>
  <c r="EF701" i="61"/>
  <c r="DX701" i="61"/>
  <c r="DP701" i="61"/>
  <c r="DH701" i="61"/>
  <c r="CZ701" i="61"/>
  <c r="CR701" i="61"/>
  <c r="CJ701" i="61"/>
  <c r="CB701" i="61"/>
  <c r="BT701" i="61"/>
  <c r="BL701" i="61"/>
  <c r="BD701" i="61"/>
  <c r="AV701" i="61"/>
  <c r="AN701" i="61"/>
  <c r="AF701" i="61"/>
  <c r="X701" i="61"/>
  <c r="JH701" i="61"/>
  <c r="IR701" i="61"/>
  <c r="IB701" i="61"/>
  <c r="HL701" i="61"/>
  <c r="GV701" i="61"/>
  <c r="GF701" i="61"/>
  <c r="FP701" i="61"/>
  <c r="EZ701" i="61"/>
  <c r="EJ701" i="61"/>
  <c r="DT701" i="61"/>
  <c r="DD701" i="61"/>
  <c r="CN701" i="61"/>
  <c r="BX701" i="61"/>
  <c r="BH701" i="61"/>
  <c r="AR701" i="61"/>
  <c r="AB701" i="61"/>
  <c r="JM701" i="61"/>
  <c r="IW701" i="61"/>
  <c r="IG701" i="61"/>
  <c r="HQ701" i="61"/>
  <c r="HA701" i="61"/>
  <c r="GK701" i="61"/>
  <c r="FU701" i="61"/>
  <c r="FE701" i="61"/>
  <c r="EO701" i="61"/>
  <c r="DY701" i="61"/>
  <c r="DI701" i="61"/>
  <c r="CS701" i="61"/>
  <c r="CC701" i="61"/>
  <c r="BM701" i="61"/>
  <c r="AW701" i="61"/>
  <c r="AG701" i="61"/>
  <c r="JP701" i="61"/>
  <c r="IJ701" i="61"/>
  <c r="HD701" i="61"/>
  <c r="FX701" i="61"/>
  <c r="ER701" i="61"/>
  <c r="DL701" i="61"/>
  <c r="CF701" i="61"/>
  <c r="AZ701" i="61"/>
  <c r="IO701" i="61"/>
  <c r="HI701" i="61"/>
  <c r="GC701" i="61"/>
  <c r="EW701" i="61"/>
  <c r="DQ701" i="61"/>
  <c r="CK701" i="61"/>
  <c r="BE701" i="61"/>
  <c r="Y701" i="61"/>
  <c r="JE701" i="61"/>
  <c r="GS701" i="61"/>
  <c r="EG701" i="61"/>
  <c r="BU701" i="61"/>
  <c r="IZ701" i="61"/>
  <c r="EB701" i="61"/>
  <c r="HT701" i="61"/>
  <c r="FH701" i="61"/>
  <c r="CV701" i="61"/>
  <c r="AJ701" i="61"/>
  <c r="GN701" i="61"/>
  <c r="BP701" i="61"/>
  <c r="K700" i="61"/>
  <c r="L700" i="61" s="1"/>
  <c r="CV698" i="61"/>
  <c r="BT698" i="61"/>
  <c r="BP698" i="61"/>
  <c r="BL698" i="61"/>
  <c r="BH698" i="61"/>
  <c r="BD698" i="61"/>
  <c r="AZ698" i="61"/>
  <c r="AV698" i="61"/>
  <c r="AR698" i="61"/>
  <c r="CW698" i="61"/>
  <c r="BQ698" i="61"/>
  <c r="BM698" i="61"/>
  <c r="BI698" i="61"/>
  <c r="BE698" i="61"/>
  <c r="BA698" i="61"/>
  <c r="AW698" i="61"/>
  <c r="AS698" i="61"/>
  <c r="CX698" i="61"/>
  <c r="BO698" i="61"/>
  <c r="BG698" i="61"/>
  <c r="AY698" i="61"/>
  <c r="AQ698" i="61"/>
  <c r="BR698" i="61"/>
  <c r="BJ698" i="61"/>
  <c r="BB698" i="61"/>
  <c r="AT698" i="61"/>
  <c r="CT698" i="61"/>
  <c r="BK698" i="61"/>
  <c r="AU698" i="61"/>
  <c r="CU698" i="61"/>
  <c r="BN698" i="61"/>
  <c r="AX698" i="61"/>
  <c r="BC698" i="61"/>
  <c r="BS698" i="61"/>
  <c r="JB698" i="61"/>
  <c r="IX698" i="61"/>
  <c r="IT698" i="61"/>
  <c r="IP698" i="61"/>
  <c r="IL698" i="61"/>
  <c r="IH698" i="61"/>
  <c r="ID698" i="61"/>
  <c r="ET698" i="61"/>
  <c r="IY698" i="61"/>
  <c r="IS698" i="61"/>
  <c r="IN698" i="61"/>
  <c r="II698" i="61"/>
  <c r="ER698" i="61"/>
  <c r="EN698" i="61"/>
  <c r="EJ698" i="61"/>
  <c r="EF698" i="61"/>
  <c r="EB698" i="61"/>
  <c r="DX698" i="61"/>
  <c r="DT698" i="61"/>
  <c r="DP698" i="61"/>
  <c r="DL698" i="61"/>
  <c r="DH698" i="61"/>
  <c r="DD698" i="61"/>
  <c r="CR698" i="61"/>
  <c r="CN698" i="61"/>
  <c r="CJ698" i="61"/>
  <c r="CF698" i="61"/>
  <c r="CB698" i="61"/>
  <c r="AN698" i="61"/>
  <c r="AJ698" i="61"/>
  <c r="AF698" i="61"/>
  <c r="AB698" i="61"/>
  <c r="X698" i="61"/>
  <c r="IZ698" i="61"/>
  <c r="IU698" i="61"/>
  <c r="IO698" i="61"/>
  <c r="IJ698" i="61"/>
  <c r="IE698" i="61"/>
  <c r="ES698" i="61"/>
  <c r="EO698" i="61"/>
  <c r="EK698" i="61"/>
  <c r="EG698" i="61"/>
  <c r="EC698" i="61"/>
  <c r="DY698" i="61"/>
  <c r="DU698" i="61"/>
  <c r="DQ698" i="61"/>
  <c r="DM698" i="61"/>
  <c r="DI698" i="61"/>
  <c r="DE698" i="61"/>
  <c r="CS698" i="61"/>
  <c r="CO698" i="61"/>
  <c r="CK698" i="61"/>
  <c r="CG698" i="61"/>
  <c r="CC698" i="61"/>
  <c r="AO698" i="61"/>
  <c r="AK698" i="61"/>
  <c r="AG698" i="61"/>
  <c r="AC698" i="61"/>
  <c r="Y698" i="61"/>
  <c r="IW698" i="61"/>
  <c r="IM698" i="61"/>
  <c r="EP698" i="61"/>
  <c r="EH698" i="61"/>
  <c r="DZ698" i="61"/>
  <c r="DR698" i="61"/>
  <c r="DJ698" i="61"/>
  <c r="CP698" i="61"/>
  <c r="CH698" i="61"/>
  <c r="BZ698" i="61"/>
  <c r="AI698" i="61"/>
  <c r="AA698" i="61"/>
  <c r="JA698" i="61"/>
  <c r="IQ698" i="61"/>
  <c r="IF698" i="61"/>
  <c r="EQ698" i="61"/>
  <c r="EI698" i="61"/>
  <c r="EA698" i="61"/>
  <c r="DS698" i="61"/>
  <c r="DK698" i="61"/>
  <c r="CQ698" i="61"/>
  <c r="CI698" i="61"/>
  <c r="CA698" i="61"/>
  <c r="AL698" i="61"/>
  <c r="AD698" i="61"/>
  <c r="IG698" i="61"/>
  <c r="EM698" i="61"/>
  <c r="DW698" i="61"/>
  <c r="DG698" i="61"/>
  <c r="CD698" i="61"/>
  <c r="AE698" i="61"/>
  <c r="IK698" i="61"/>
  <c r="EU698" i="61"/>
  <c r="ED698" i="61"/>
  <c r="DN698" i="61"/>
  <c r="CE698" i="61"/>
  <c r="AH698" i="61"/>
  <c r="IV698" i="61"/>
  <c r="EL698" i="61"/>
  <c r="DF698" i="61"/>
  <c r="AP698" i="61"/>
  <c r="IR698" i="61"/>
  <c r="EE698" i="61"/>
  <c r="AM698" i="61"/>
  <c r="EV698" i="61"/>
  <c r="DO698" i="61"/>
  <c r="CL698" i="61"/>
  <c r="W698" i="61"/>
  <c r="A698" i="61"/>
  <c r="JP697" i="61"/>
  <c r="JL697" i="61"/>
  <c r="JH697" i="61"/>
  <c r="JD697" i="61"/>
  <c r="IZ697" i="61"/>
  <c r="IV697" i="61"/>
  <c r="IR697" i="61"/>
  <c r="IN697" i="61"/>
  <c r="IJ697" i="61"/>
  <c r="IF697" i="61"/>
  <c r="IB697" i="61"/>
  <c r="HX697" i="61"/>
  <c r="HT697" i="61"/>
  <c r="HP697" i="61"/>
  <c r="HL697" i="61"/>
  <c r="HH697" i="61"/>
  <c r="HD697" i="61"/>
  <c r="GZ697" i="61"/>
  <c r="GV697" i="61"/>
  <c r="GR697" i="61"/>
  <c r="GN697" i="61"/>
  <c r="GJ697" i="61"/>
  <c r="GF697" i="61"/>
  <c r="GB697" i="61"/>
  <c r="FX697" i="61"/>
  <c r="FT697" i="61"/>
  <c r="FP697" i="61"/>
  <c r="FL697" i="61"/>
  <c r="FH697" i="61"/>
  <c r="FD697" i="61"/>
  <c r="EZ697" i="61"/>
  <c r="EV697" i="61"/>
  <c r="ER697" i="61"/>
  <c r="EN697" i="61"/>
  <c r="EJ697" i="61"/>
  <c r="EF697" i="61"/>
  <c r="EB697" i="61"/>
  <c r="DX697" i="61"/>
  <c r="DT697" i="61"/>
  <c r="DP697" i="61"/>
  <c r="DL697" i="61"/>
  <c r="DH697" i="61"/>
  <c r="DD697" i="61"/>
  <c r="CZ697" i="61"/>
  <c r="CV697" i="61"/>
  <c r="CR697" i="61"/>
  <c r="CN697" i="61"/>
  <c r="CJ697" i="61"/>
  <c r="CF697" i="61"/>
  <c r="CB697" i="61"/>
  <c r="BX697" i="61"/>
  <c r="BT697" i="61"/>
  <c r="BP697" i="61"/>
  <c r="BL697" i="61"/>
  <c r="BH697" i="61"/>
  <c r="BD697" i="61"/>
  <c r="AZ697" i="61"/>
  <c r="AV697" i="61"/>
  <c r="AR697" i="61"/>
  <c r="AN697" i="61"/>
  <c r="AJ697" i="61"/>
  <c r="AF697" i="61"/>
  <c r="AB697" i="61"/>
  <c r="X697" i="61"/>
  <c r="JQ697" i="61"/>
  <c r="JM697" i="61"/>
  <c r="JI697" i="61"/>
  <c r="JE697" i="61"/>
  <c r="JA697" i="61"/>
  <c r="IW697" i="61"/>
  <c r="IS697" i="61"/>
  <c r="IO697" i="61"/>
  <c r="IK697" i="61"/>
  <c r="IG697" i="61"/>
  <c r="IC697" i="61"/>
  <c r="HY697" i="61"/>
  <c r="HU697" i="61"/>
  <c r="HQ697" i="61"/>
  <c r="HM697" i="61"/>
  <c r="HI697" i="61"/>
  <c r="HE697" i="61"/>
  <c r="HA697" i="61"/>
  <c r="GW697" i="61"/>
  <c r="GS697" i="61"/>
  <c r="GO697" i="61"/>
  <c r="GK697" i="61"/>
  <c r="GG697" i="61"/>
  <c r="GC697" i="61"/>
  <c r="FY697" i="61"/>
  <c r="FU697" i="61"/>
  <c r="FQ697" i="61"/>
  <c r="FM697" i="61"/>
  <c r="FI697" i="61"/>
  <c r="FE697" i="61"/>
  <c r="FA697" i="61"/>
  <c r="EW697" i="61"/>
  <c r="ES697" i="61"/>
  <c r="EO697" i="61"/>
  <c r="EK697" i="61"/>
  <c r="EG697" i="61"/>
  <c r="EC697" i="61"/>
  <c r="DY697" i="61"/>
  <c r="DU697" i="61"/>
  <c r="DQ697" i="61"/>
  <c r="DM697" i="61"/>
  <c r="DI697" i="61"/>
  <c r="DE697" i="61"/>
  <c r="DA697" i="61"/>
  <c r="CW697" i="61"/>
  <c r="CS697" i="61"/>
  <c r="CO697" i="61"/>
  <c r="CK697" i="61"/>
  <c r="CG697" i="61"/>
  <c r="CC697" i="61"/>
  <c r="BY697" i="61"/>
  <c r="BU697" i="61"/>
  <c r="BQ697" i="61"/>
  <c r="BM697" i="61"/>
  <c r="BI697" i="61"/>
  <c r="BE697" i="61"/>
  <c r="BA697" i="61"/>
  <c r="AW697" i="61"/>
  <c r="AS697" i="61"/>
  <c r="JN697" i="61"/>
  <c r="JF697" i="61"/>
  <c r="IX697" i="61"/>
  <c r="IP697" i="61"/>
  <c r="IH697" i="61"/>
  <c r="HZ697" i="61"/>
  <c r="HR697" i="61"/>
  <c r="HJ697" i="61"/>
  <c r="HB697" i="61"/>
  <c r="GT697" i="61"/>
  <c r="GL697" i="61"/>
  <c r="GD697" i="61"/>
  <c r="FV697" i="61"/>
  <c r="FN697" i="61"/>
  <c r="FF697" i="61"/>
  <c r="EX697" i="61"/>
  <c r="EP697" i="61"/>
  <c r="EH697" i="61"/>
  <c r="DZ697" i="61"/>
  <c r="DR697" i="61"/>
  <c r="DJ697" i="61"/>
  <c r="DB697" i="61"/>
  <c r="CT697" i="61"/>
  <c r="CL697" i="61"/>
  <c r="CD697" i="61"/>
  <c r="BV697" i="61"/>
  <c r="BN697" i="61"/>
  <c r="BF697" i="61"/>
  <c r="AX697" i="61"/>
  <c r="AP697" i="61"/>
  <c r="AK697" i="61"/>
  <c r="AE697" i="61"/>
  <c r="Z697" i="61"/>
  <c r="JO697" i="61"/>
  <c r="JG697" i="61"/>
  <c r="IY697" i="61"/>
  <c r="IQ697" i="61"/>
  <c r="II697" i="61"/>
  <c r="IA697" i="61"/>
  <c r="HS697" i="61"/>
  <c r="HK697" i="61"/>
  <c r="HC697" i="61"/>
  <c r="GU697" i="61"/>
  <c r="GM697" i="61"/>
  <c r="GE697" i="61"/>
  <c r="FW697" i="61"/>
  <c r="FO697" i="61"/>
  <c r="FG697" i="61"/>
  <c r="EY697" i="61"/>
  <c r="EQ697" i="61"/>
  <c r="EI697" i="61"/>
  <c r="EA697" i="61"/>
  <c r="DS697" i="61"/>
  <c r="DK697" i="61"/>
  <c r="DC697" i="61"/>
  <c r="CU697" i="61"/>
  <c r="CM697" i="61"/>
  <c r="CE697" i="61"/>
  <c r="BW697" i="61"/>
  <c r="BO697" i="61"/>
  <c r="BG697" i="61"/>
  <c r="AY697" i="61"/>
  <c r="AQ697" i="61"/>
  <c r="AL697" i="61"/>
  <c r="AG697" i="61"/>
  <c r="AA697" i="61"/>
  <c r="JJ697" i="61"/>
  <c r="IT697" i="61"/>
  <c r="ID697" i="61"/>
  <c r="HN697" i="61"/>
  <c r="GX697" i="61"/>
  <c r="GH697" i="61"/>
  <c r="FR697" i="61"/>
  <c r="FB697" i="61"/>
  <c r="EL697" i="61"/>
  <c r="DV697" i="61"/>
  <c r="DF697" i="61"/>
  <c r="CP697" i="61"/>
  <c r="BZ697" i="61"/>
  <c r="BJ697" i="61"/>
  <c r="AT697" i="61"/>
  <c r="AH697" i="61"/>
  <c r="W697" i="61"/>
  <c r="JK697" i="61"/>
  <c r="IU697" i="61"/>
  <c r="IE697" i="61"/>
  <c r="HO697" i="61"/>
  <c r="GY697" i="61"/>
  <c r="GI697" i="61"/>
  <c r="FS697" i="61"/>
  <c r="FC697" i="61"/>
  <c r="EM697" i="61"/>
  <c r="DW697" i="61"/>
  <c r="DG697" i="61"/>
  <c r="CQ697" i="61"/>
  <c r="CA697" i="61"/>
  <c r="BK697" i="61"/>
  <c r="AU697" i="61"/>
  <c r="AI697" i="61"/>
  <c r="Y697" i="61"/>
  <c r="A697" i="61"/>
  <c r="JC697" i="61"/>
  <c r="HW697" i="61"/>
  <c r="GQ697" i="61"/>
  <c r="FK697" i="61"/>
  <c r="EE697" i="61"/>
  <c r="CY697" i="61"/>
  <c r="BS697" i="61"/>
  <c r="AO697" i="61"/>
  <c r="HV697" i="61"/>
  <c r="FJ697" i="61"/>
  <c r="CX697" i="61"/>
  <c r="AM697" i="61"/>
  <c r="IL697" i="61"/>
  <c r="HF697" i="61"/>
  <c r="FZ697" i="61"/>
  <c r="ET697" i="61"/>
  <c r="DN697" i="61"/>
  <c r="CH697" i="61"/>
  <c r="BB697" i="61"/>
  <c r="AC697" i="61"/>
  <c r="JB697" i="61"/>
  <c r="GP697" i="61"/>
  <c r="ED697" i="61"/>
  <c r="BR697" i="61"/>
  <c r="K696" i="61"/>
  <c r="L696" i="61" s="1"/>
  <c r="JP695" i="61"/>
  <c r="JL695" i="61"/>
  <c r="JH695" i="61"/>
  <c r="JD695" i="61"/>
  <c r="L695" i="61"/>
  <c r="JQ695" i="61"/>
  <c r="JM695" i="61"/>
  <c r="JI695" i="61"/>
  <c r="JE695" i="61"/>
  <c r="JK695" i="61"/>
  <c r="JC695" i="61"/>
  <c r="A695" i="61"/>
  <c r="JN695" i="61"/>
  <c r="JF695" i="61"/>
  <c r="JG695" i="61"/>
  <c r="JJ695" i="61"/>
  <c r="IZ694" i="61"/>
  <c r="IV694" i="61"/>
  <c r="IR694" i="61"/>
  <c r="IN694" i="61"/>
  <c r="IJ694" i="61"/>
  <c r="IF694" i="61"/>
  <c r="EV694" i="61"/>
  <c r="ER694" i="61"/>
  <c r="EN694" i="61"/>
  <c r="EJ694" i="61"/>
  <c r="EF694" i="61"/>
  <c r="EB694" i="61"/>
  <c r="DX694" i="61"/>
  <c r="DT694" i="61"/>
  <c r="DP694" i="61"/>
  <c r="DL694" i="61"/>
  <c r="DH694" i="61"/>
  <c r="DD694" i="61"/>
  <c r="CR694" i="61"/>
  <c r="CN694" i="61"/>
  <c r="CJ694" i="61"/>
  <c r="CF694" i="61"/>
  <c r="CB694" i="61"/>
  <c r="AN694" i="61"/>
  <c r="AJ694" i="61"/>
  <c r="AF694" i="61"/>
  <c r="AB694" i="61"/>
  <c r="X694" i="61"/>
  <c r="JA694" i="61"/>
  <c r="IW694" i="61"/>
  <c r="IS694" i="61"/>
  <c r="IO694" i="61"/>
  <c r="IK694" i="61"/>
  <c r="IG694" i="61"/>
  <c r="ES694" i="61"/>
  <c r="EO694" i="61"/>
  <c r="EK694" i="61"/>
  <c r="EG694" i="61"/>
  <c r="EC694" i="61"/>
  <c r="DY694" i="61"/>
  <c r="DU694" i="61"/>
  <c r="DQ694" i="61"/>
  <c r="DM694" i="61"/>
  <c r="DI694" i="61"/>
  <c r="DE694" i="61"/>
  <c r="CS694" i="61"/>
  <c r="CO694" i="61"/>
  <c r="CK694" i="61"/>
  <c r="CG694" i="61"/>
  <c r="CC694" i="61"/>
  <c r="AO694" i="61"/>
  <c r="AK694" i="61"/>
  <c r="AG694" i="61"/>
  <c r="AC694" i="61"/>
  <c r="Y694" i="61"/>
  <c r="JB694" i="61"/>
  <c r="IT694" i="61"/>
  <c r="IL694" i="61"/>
  <c r="ID694" i="61"/>
  <c r="EQ694" i="61"/>
  <c r="EI694" i="61"/>
  <c r="EA694" i="61"/>
  <c r="DS694" i="61"/>
  <c r="DK694" i="61"/>
  <c r="CQ694" i="61"/>
  <c r="CI694" i="61"/>
  <c r="CA694" i="61"/>
  <c r="AL694" i="61"/>
  <c r="AD694" i="61"/>
  <c r="IU694" i="61"/>
  <c r="IM694" i="61"/>
  <c r="IE694" i="61"/>
  <c r="ET694" i="61"/>
  <c r="EL694" i="61"/>
  <c r="ED694" i="61"/>
  <c r="DV694" i="61"/>
  <c r="DN694" i="61"/>
  <c r="DF694" i="61"/>
  <c r="CL694" i="61"/>
  <c r="CD694" i="61"/>
  <c r="AM694" i="61"/>
  <c r="AE694" i="61"/>
  <c r="W694" i="61"/>
  <c r="A694" i="61"/>
  <c r="IQ694" i="61"/>
  <c r="EH694" i="61"/>
  <c r="DR694" i="61"/>
  <c r="CM694" i="61"/>
  <c r="AP694" i="61"/>
  <c r="Z694" i="61"/>
  <c r="IP694" i="61"/>
  <c r="EE694" i="61"/>
  <c r="IX694" i="61"/>
  <c r="IH694" i="61"/>
  <c r="EM694" i="61"/>
  <c r="DW694" i="61"/>
  <c r="DG694" i="61"/>
  <c r="CP694" i="61"/>
  <c r="BZ694" i="61"/>
  <c r="AA694" i="61"/>
  <c r="EU694" i="61"/>
  <c r="DO694" i="61"/>
  <c r="CH694" i="61"/>
  <c r="AI694" i="61"/>
  <c r="JP693" i="61"/>
  <c r="JL693" i="61"/>
  <c r="JH693" i="61"/>
  <c r="JD693" i="61"/>
  <c r="IZ693" i="61"/>
  <c r="IV693" i="61"/>
  <c r="IR693" i="61"/>
  <c r="IN693" i="61"/>
  <c r="IJ693" i="61"/>
  <c r="IF693" i="61"/>
  <c r="IB693" i="61"/>
  <c r="HX693" i="61"/>
  <c r="HT693" i="61"/>
  <c r="HP693" i="61"/>
  <c r="HL693" i="61"/>
  <c r="HH693" i="61"/>
  <c r="HD693" i="61"/>
  <c r="GZ693" i="61"/>
  <c r="GV693" i="61"/>
  <c r="GR693" i="61"/>
  <c r="GN693" i="61"/>
  <c r="GJ693" i="61"/>
  <c r="GF693" i="61"/>
  <c r="GB693" i="61"/>
  <c r="FX693" i="61"/>
  <c r="FT693" i="61"/>
  <c r="FP693" i="61"/>
  <c r="FL693" i="61"/>
  <c r="FH693" i="61"/>
  <c r="FD693" i="61"/>
  <c r="EZ693" i="61"/>
  <c r="EV693" i="61"/>
  <c r="ER693" i="61"/>
  <c r="EN693" i="61"/>
  <c r="EJ693" i="61"/>
  <c r="EF693" i="61"/>
  <c r="EB693" i="61"/>
  <c r="DX693" i="61"/>
  <c r="DT693" i="61"/>
  <c r="DP693" i="61"/>
  <c r="DL693" i="61"/>
  <c r="DH693" i="61"/>
  <c r="DD693" i="61"/>
  <c r="CZ693" i="61"/>
  <c r="CV693" i="61"/>
  <c r="CR693" i="61"/>
  <c r="CN693" i="61"/>
  <c r="CJ693" i="61"/>
  <c r="CF693" i="61"/>
  <c r="CB693" i="61"/>
  <c r="BX693" i="61"/>
  <c r="BT693" i="61"/>
  <c r="BP693" i="61"/>
  <c r="BL693" i="61"/>
  <c r="BH693" i="61"/>
  <c r="BD693" i="61"/>
  <c r="AZ693" i="61"/>
  <c r="AV693" i="61"/>
  <c r="AR693" i="61"/>
  <c r="AN693" i="61"/>
  <c r="AJ693" i="61"/>
  <c r="AF693" i="61"/>
  <c r="AB693" i="61"/>
  <c r="X693" i="61"/>
  <c r="JQ693" i="61"/>
  <c r="JM693" i="61"/>
  <c r="JI693" i="61"/>
  <c r="JE693" i="61"/>
  <c r="JA693" i="61"/>
  <c r="IW693" i="61"/>
  <c r="IS693" i="61"/>
  <c r="IO693" i="61"/>
  <c r="IK693" i="61"/>
  <c r="IG693" i="61"/>
  <c r="IC693" i="61"/>
  <c r="HY693" i="61"/>
  <c r="HU693" i="61"/>
  <c r="HQ693" i="61"/>
  <c r="HM693" i="61"/>
  <c r="HI693" i="61"/>
  <c r="HE693" i="61"/>
  <c r="HA693" i="61"/>
  <c r="GW693" i="61"/>
  <c r="GS693" i="61"/>
  <c r="GO693" i="61"/>
  <c r="GK693" i="61"/>
  <c r="GG693" i="61"/>
  <c r="GC693" i="61"/>
  <c r="FY693" i="61"/>
  <c r="FU693" i="61"/>
  <c r="FQ693" i="61"/>
  <c r="FM693" i="61"/>
  <c r="FI693" i="61"/>
  <c r="FE693" i="61"/>
  <c r="FA693" i="61"/>
  <c r="EW693" i="61"/>
  <c r="ES693" i="61"/>
  <c r="EO693" i="61"/>
  <c r="EK693" i="61"/>
  <c r="EG693" i="61"/>
  <c r="EC693" i="61"/>
  <c r="DY693" i="61"/>
  <c r="DU693" i="61"/>
  <c r="DQ693" i="61"/>
  <c r="DM693" i="61"/>
  <c r="DI693" i="61"/>
  <c r="DE693" i="61"/>
  <c r="DA693" i="61"/>
  <c r="CW693" i="61"/>
  <c r="CS693" i="61"/>
  <c r="CO693" i="61"/>
  <c r="CK693" i="61"/>
  <c r="CG693" i="61"/>
  <c r="CC693" i="61"/>
  <c r="BY693" i="61"/>
  <c r="BU693" i="61"/>
  <c r="BQ693" i="61"/>
  <c r="BM693" i="61"/>
  <c r="BI693" i="61"/>
  <c r="BE693" i="61"/>
  <c r="BA693" i="61"/>
  <c r="AW693" i="61"/>
  <c r="AS693" i="61"/>
  <c r="AO693" i="61"/>
  <c r="AK693" i="61"/>
  <c r="AG693" i="61"/>
  <c r="AC693" i="61"/>
  <c r="Y693" i="61"/>
  <c r="JO693" i="61"/>
  <c r="JG693" i="61"/>
  <c r="IY693" i="61"/>
  <c r="IQ693" i="61"/>
  <c r="II693" i="61"/>
  <c r="IA693" i="61"/>
  <c r="HS693" i="61"/>
  <c r="HK693" i="61"/>
  <c r="HC693" i="61"/>
  <c r="GU693" i="61"/>
  <c r="GM693" i="61"/>
  <c r="GE693" i="61"/>
  <c r="FW693" i="61"/>
  <c r="FO693" i="61"/>
  <c r="FG693" i="61"/>
  <c r="EY693" i="61"/>
  <c r="EQ693" i="61"/>
  <c r="EI693" i="61"/>
  <c r="EA693" i="61"/>
  <c r="DS693" i="61"/>
  <c r="DK693" i="61"/>
  <c r="DC693" i="61"/>
  <c r="CU693" i="61"/>
  <c r="CM693" i="61"/>
  <c r="CE693" i="61"/>
  <c r="BW693" i="61"/>
  <c r="BO693" i="61"/>
  <c r="BG693" i="61"/>
  <c r="AY693" i="61"/>
  <c r="AQ693" i="61"/>
  <c r="AI693" i="61"/>
  <c r="AA693" i="61"/>
  <c r="JJ693" i="61"/>
  <c r="JB693" i="61"/>
  <c r="IT693" i="61"/>
  <c r="IL693" i="61"/>
  <c r="ID693" i="61"/>
  <c r="HV693" i="61"/>
  <c r="HN693" i="61"/>
  <c r="HF693" i="61"/>
  <c r="GX693" i="61"/>
  <c r="GP693" i="61"/>
  <c r="GH693" i="61"/>
  <c r="FZ693" i="61"/>
  <c r="FR693" i="61"/>
  <c r="FJ693" i="61"/>
  <c r="FB693" i="61"/>
  <c r="ET693" i="61"/>
  <c r="EL693" i="61"/>
  <c r="ED693" i="61"/>
  <c r="DV693" i="61"/>
  <c r="DN693" i="61"/>
  <c r="DF693" i="61"/>
  <c r="CX693" i="61"/>
  <c r="CP693" i="61"/>
  <c r="CH693" i="61"/>
  <c r="BZ693" i="61"/>
  <c r="BR693" i="61"/>
  <c r="BJ693" i="61"/>
  <c r="BB693" i="61"/>
  <c r="AT693" i="61"/>
  <c r="AL693" i="61"/>
  <c r="AD693" i="61"/>
  <c r="JN693" i="61"/>
  <c r="IX693" i="61"/>
  <c r="IH693" i="61"/>
  <c r="HR693" i="61"/>
  <c r="HB693" i="61"/>
  <c r="GL693" i="61"/>
  <c r="FV693" i="61"/>
  <c r="FF693" i="61"/>
  <c r="EP693" i="61"/>
  <c r="DZ693" i="61"/>
  <c r="DJ693" i="61"/>
  <c r="CT693" i="61"/>
  <c r="CD693" i="61"/>
  <c r="BN693" i="61"/>
  <c r="AX693" i="61"/>
  <c r="AH693" i="61"/>
  <c r="JK693" i="61"/>
  <c r="IE693" i="61"/>
  <c r="EM693" i="61"/>
  <c r="DG693" i="61"/>
  <c r="CA693" i="61"/>
  <c r="AU693" i="61"/>
  <c r="JC693" i="61"/>
  <c r="IM693" i="61"/>
  <c r="HW693" i="61"/>
  <c r="HG693" i="61"/>
  <c r="GQ693" i="61"/>
  <c r="GA693" i="61"/>
  <c r="FK693" i="61"/>
  <c r="EU693" i="61"/>
  <c r="EE693" i="61"/>
  <c r="DO693" i="61"/>
  <c r="CY693" i="61"/>
  <c r="CI693" i="61"/>
  <c r="BS693" i="61"/>
  <c r="BC693" i="61"/>
  <c r="AM693" i="61"/>
  <c r="W693" i="61"/>
  <c r="IU693" i="61"/>
  <c r="HO693" i="61"/>
  <c r="GY693" i="61"/>
  <c r="GI693" i="61"/>
  <c r="FS693" i="61"/>
  <c r="FC693" i="61"/>
  <c r="DW693" i="61"/>
  <c r="CQ693" i="61"/>
  <c r="BK693" i="61"/>
  <c r="AE693" i="61"/>
  <c r="K692" i="61"/>
  <c r="L692" i="61" s="1"/>
  <c r="CV690" i="61"/>
  <c r="BT690" i="61"/>
  <c r="BP690" i="61"/>
  <c r="BL690" i="61"/>
  <c r="BH690" i="61"/>
  <c r="BD690" i="61"/>
  <c r="AZ690" i="61"/>
  <c r="AV690" i="61"/>
  <c r="AR690" i="61"/>
  <c r="CW690" i="61"/>
  <c r="BQ690" i="61"/>
  <c r="BM690" i="61"/>
  <c r="BI690" i="61"/>
  <c r="BE690" i="61"/>
  <c r="BA690" i="61"/>
  <c r="AW690" i="61"/>
  <c r="AS690" i="61"/>
  <c r="CX690" i="61"/>
  <c r="BO690" i="61"/>
  <c r="BG690" i="61"/>
  <c r="AY690" i="61"/>
  <c r="AQ690" i="61"/>
  <c r="BR690" i="61"/>
  <c r="BJ690" i="61"/>
  <c r="BB690" i="61"/>
  <c r="AT690" i="61"/>
  <c r="BS690" i="61"/>
  <c r="BC690" i="61"/>
  <c r="AX690" i="61"/>
  <c r="BF690" i="61"/>
  <c r="CU690" i="61"/>
  <c r="BN690" i="61"/>
  <c r="JP687" i="61"/>
  <c r="JL687" i="61"/>
  <c r="JH687" i="61"/>
  <c r="JD687" i="61"/>
  <c r="L687" i="61"/>
  <c r="JQ687" i="61"/>
  <c r="JM687" i="61"/>
  <c r="JI687" i="61"/>
  <c r="JE687" i="61"/>
  <c r="JO687" i="61"/>
  <c r="JG687" i="61"/>
  <c r="JJ687" i="61"/>
  <c r="JC687" i="61"/>
  <c r="A687" i="61"/>
  <c r="JF687" i="61"/>
  <c r="JN687" i="61"/>
  <c r="IZ686" i="61"/>
  <c r="IV686" i="61"/>
  <c r="IR686" i="61"/>
  <c r="IN686" i="61"/>
  <c r="IJ686" i="61"/>
  <c r="IF686" i="61"/>
  <c r="EV686" i="61"/>
  <c r="ER686" i="61"/>
  <c r="EN686" i="61"/>
  <c r="EJ686" i="61"/>
  <c r="EF686" i="61"/>
  <c r="EB686" i="61"/>
  <c r="DX686" i="61"/>
  <c r="DT686" i="61"/>
  <c r="DP686" i="61"/>
  <c r="DL686" i="61"/>
  <c r="DH686" i="61"/>
  <c r="DD686" i="61"/>
  <c r="CR686" i="61"/>
  <c r="CN686" i="61"/>
  <c r="CJ686" i="61"/>
  <c r="CF686" i="61"/>
  <c r="CB686" i="61"/>
  <c r="IY686" i="61"/>
  <c r="IT686" i="61"/>
  <c r="IO686" i="61"/>
  <c r="II686" i="61"/>
  <c r="ID686" i="61"/>
  <c r="ES686" i="61"/>
  <c r="EM686" i="61"/>
  <c r="EH686" i="61"/>
  <c r="EC686" i="61"/>
  <c r="DW686" i="61"/>
  <c r="DR686" i="61"/>
  <c r="DM686" i="61"/>
  <c r="DG686" i="61"/>
  <c r="CS686" i="61"/>
  <c r="CM686" i="61"/>
  <c r="CH686" i="61"/>
  <c r="CC686" i="61"/>
  <c r="AP686" i="61"/>
  <c r="AL686" i="61"/>
  <c r="AH686" i="61"/>
  <c r="AD686" i="61"/>
  <c r="Z686" i="61"/>
  <c r="A686" i="61"/>
  <c r="JA686" i="61"/>
  <c r="IU686" i="61"/>
  <c r="IP686" i="61"/>
  <c r="IK686" i="61"/>
  <c r="IE686" i="61"/>
  <c r="ET686" i="61"/>
  <c r="EO686" i="61"/>
  <c r="EI686" i="61"/>
  <c r="ED686" i="61"/>
  <c r="DY686" i="61"/>
  <c r="DS686" i="61"/>
  <c r="DN686" i="61"/>
  <c r="DI686" i="61"/>
  <c r="CO686" i="61"/>
  <c r="CI686" i="61"/>
  <c r="CD686" i="61"/>
  <c r="AM686" i="61"/>
  <c r="AI686" i="61"/>
  <c r="AE686" i="61"/>
  <c r="AA686" i="61"/>
  <c r="W686" i="61"/>
  <c r="JB686" i="61"/>
  <c r="IQ686" i="61"/>
  <c r="IG686" i="61"/>
  <c r="EP686" i="61"/>
  <c r="EE686" i="61"/>
  <c r="DU686" i="61"/>
  <c r="DJ686" i="61"/>
  <c r="CL686" i="61"/>
  <c r="CA686" i="61"/>
  <c r="AJ686" i="61"/>
  <c r="AB686" i="61"/>
  <c r="IM686" i="61"/>
  <c r="DQ686" i="61"/>
  <c r="AO686" i="61"/>
  <c r="Y686" i="61"/>
  <c r="IS686" i="61"/>
  <c r="IH686" i="61"/>
  <c r="EQ686" i="61"/>
  <c r="EG686" i="61"/>
  <c r="DV686" i="61"/>
  <c r="DK686" i="61"/>
  <c r="CP686" i="61"/>
  <c r="CE686" i="61"/>
  <c r="AK686" i="61"/>
  <c r="AC686" i="61"/>
  <c r="IX686" i="61"/>
  <c r="EL686" i="61"/>
  <c r="EA686" i="61"/>
  <c r="DF686" i="61"/>
  <c r="CK686" i="61"/>
  <c r="BZ686" i="61"/>
  <c r="AG686" i="61"/>
  <c r="JN685" i="61"/>
  <c r="JJ685" i="61"/>
  <c r="JF685" i="61"/>
  <c r="JB685" i="61"/>
  <c r="IX685" i="61"/>
  <c r="IT685" i="61"/>
  <c r="IP685" i="61"/>
  <c r="IL685" i="61"/>
  <c r="IH685" i="61"/>
  <c r="ID685" i="61"/>
  <c r="HZ685" i="61"/>
  <c r="HV685" i="61"/>
  <c r="HR685" i="61"/>
  <c r="HN685" i="61"/>
  <c r="HJ685" i="61"/>
  <c r="HF685" i="61"/>
  <c r="HB685" i="61"/>
  <c r="GX685" i="61"/>
  <c r="GT685" i="61"/>
  <c r="GP685" i="61"/>
  <c r="GL685" i="61"/>
  <c r="GH685" i="61"/>
  <c r="GD685" i="61"/>
  <c r="FZ685" i="61"/>
  <c r="FV685" i="61"/>
  <c r="FR685" i="61"/>
  <c r="FN685" i="61"/>
  <c r="FJ685" i="61"/>
  <c r="FF685" i="61"/>
  <c r="FB685" i="61"/>
  <c r="EX685" i="61"/>
  <c r="ET685" i="61"/>
  <c r="EP685" i="61"/>
  <c r="EL685" i="61"/>
  <c r="EH685" i="61"/>
  <c r="ED685" i="61"/>
  <c r="DZ685" i="61"/>
  <c r="DV685" i="61"/>
  <c r="DR685" i="61"/>
  <c r="DN685" i="61"/>
  <c r="DJ685" i="61"/>
  <c r="DF685" i="61"/>
  <c r="DB685" i="61"/>
  <c r="CX685" i="61"/>
  <c r="CT685" i="61"/>
  <c r="CP685" i="61"/>
  <c r="CL685" i="61"/>
  <c r="CH685" i="61"/>
  <c r="CD685" i="61"/>
  <c r="BZ685" i="61"/>
  <c r="BV685" i="61"/>
  <c r="BR685" i="61"/>
  <c r="BN685" i="61"/>
  <c r="BJ685" i="61"/>
  <c r="BF685" i="61"/>
  <c r="BB685" i="61"/>
  <c r="AX685" i="61"/>
  <c r="AT685" i="61"/>
  <c r="AP685" i="61"/>
  <c r="AL685" i="61"/>
  <c r="AH685" i="61"/>
  <c r="AD685" i="61"/>
  <c r="Z685" i="61"/>
  <c r="A685" i="61"/>
  <c r="JO685" i="61"/>
  <c r="JK685" i="61"/>
  <c r="JG685" i="61"/>
  <c r="JC685" i="61"/>
  <c r="IY685" i="61"/>
  <c r="IU685" i="61"/>
  <c r="IQ685" i="61"/>
  <c r="IM685" i="61"/>
  <c r="II685" i="61"/>
  <c r="IE685" i="61"/>
  <c r="IA685" i="61"/>
  <c r="HW685" i="61"/>
  <c r="HS685" i="61"/>
  <c r="HO685" i="61"/>
  <c r="HK685" i="61"/>
  <c r="HG685" i="61"/>
  <c r="HC685" i="61"/>
  <c r="GY685" i="61"/>
  <c r="GU685" i="61"/>
  <c r="GQ685" i="61"/>
  <c r="GM685" i="61"/>
  <c r="GI685" i="61"/>
  <c r="GE685" i="61"/>
  <c r="GA685" i="61"/>
  <c r="FW685" i="61"/>
  <c r="FS685" i="61"/>
  <c r="FO685" i="61"/>
  <c r="FK685" i="61"/>
  <c r="FG685" i="61"/>
  <c r="FC685" i="61"/>
  <c r="EY685" i="61"/>
  <c r="EU685" i="61"/>
  <c r="EQ685" i="61"/>
  <c r="EM685" i="61"/>
  <c r="EI685" i="61"/>
  <c r="EE685" i="61"/>
  <c r="EA685" i="61"/>
  <c r="DW685" i="61"/>
  <c r="DS685" i="61"/>
  <c r="DO685" i="61"/>
  <c r="DK685" i="61"/>
  <c r="DG685" i="61"/>
  <c r="DC685" i="61"/>
  <c r="CY685" i="61"/>
  <c r="CU685" i="61"/>
  <c r="CQ685" i="61"/>
  <c r="CM685" i="61"/>
  <c r="CI685" i="61"/>
  <c r="CE685" i="61"/>
  <c r="CA685" i="61"/>
  <c r="BW685" i="61"/>
  <c r="BS685" i="61"/>
  <c r="BO685" i="61"/>
  <c r="BK685" i="61"/>
  <c r="BG685" i="61"/>
  <c r="BC685" i="61"/>
  <c r="AY685" i="61"/>
  <c r="AU685" i="61"/>
  <c r="AQ685" i="61"/>
  <c r="AM685" i="61"/>
  <c r="AI685" i="61"/>
  <c r="AE685" i="61"/>
  <c r="AA685" i="61"/>
  <c r="W685" i="61"/>
  <c r="JM685" i="61"/>
  <c r="JE685" i="61"/>
  <c r="IW685" i="61"/>
  <c r="IO685" i="61"/>
  <c r="IG685" i="61"/>
  <c r="HY685" i="61"/>
  <c r="HQ685" i="61"/>
  <c r="HI685" i="61"/>
  <c r="HA685" i="61"/>
  <c r="GS685" i="61"/>
  <c r="GK685" i="61"/>
  <c r="GC685" i="61"/>
  <c r="FU685" i="61"/>
  <c r="FM685" i="61"/>
  <c r="FE685" i="61"/>
  <c r="EW685" i="61"/>
  <c r="EO685" i="61"/>
  <c r="EG685" i="61"/>
  <c r="DY685" i="61"/>
  <c r="DQ685" i="61"/>
  <c r="DI685" i="61"/>
  <c r="DA685" i="61"/>
  <c r="CS685" i="61"/>
  <c r="CK685" i="61"/>
  <c r="CC685" i="61"/>
  <c r="BU685" i="61"/>
  <c r="BM685" i="61"/>
  <c r="BE685" i="61"/>
  <c r="AW685" i="61"/>
  <c r="AO685" i="61"/>
  <c r="AG685" i="61"/>
  <c r="Y685" i="61"/>
  <c r="JL685" i="61"/>
  <c r="IV685" i="61"/>
  <c r="HX685" i="61"/>
  <c r="HP685" i="61"/>
  <c r="HH685" i="61"/>
  <c r="GZ685" i="61"/>
  <c r="GJ685" i="61"/>
  <c r="GB685" i="61"/>
  <c r="FL685" i="61"/>
  <c r="EV685" i="61"/>
  <c r="EF685" i="61"/>
  <c r="DP685" i="61"/>
  <c r="CZ685" i="61"/>
  <c r="CJ685" i="61"/>
  <c r="BT685" i="61"/>
  <c r="BD685" i="61"/>
  <c r="AN685" i="61"/>
  <c r="X685" i="61"/>
  <c r="JP685" i="61"/>
  <c r="JH685" i="61"/>
  <c r="IZ685" i="61"/>
  <c r="IR685" i="61"/>
  <c r="IJ685" i="61"/>
  <c r="IB685" i="61"/>
  <c r="HT685" i="61"/>
  <c r="HL685" i="61"/>
  <c r="HD685" i="61"/>
  <c r="GV685" i="61"/>
  <c r="GN685" i="61"/>
  <c r="GF685" i="61"/>
  <c r="FX685" i="61"/>
  <c r="FP685" i="61"/>
  <c r="FH685" i="61"/>
  <c r="EZ685" i="61"/>
  <c r="ER685" i="61"/>
  <c r="EJ685" i="61"/>
  <c r="EB685" i="61"/>
  <c r="DT685" i="61"/>
  <c r="DL685" i="61"/>
  <c r="DD685" i="61"/>
  <c r="CV685" i="61"/>
  <c r="CN685" i="61"/>
  <c r="CF685" i="61"/>
  <c r="BX685" i="61"/>
  <c r="BP685" i="61"/>
  <c r="BH685" i="61"/>
  <c r="AZ685" i="61"/>
  <c r="AR685" i="61"/>
  <c r="AJ685" i="61"/>
  <c r="AB685" i="61"/>
  <c r="JD685" i="61"/>
  <c r="IN685" i="61"/>
  <c r="IF685" i="61"/>
  <c r="GR685" i="61"/>
  <c r="FT685" i="61"/>
  <c r="FD685" i="61"/>
  <c r="EN685" i="61"/>
  <c r="DX685" i="61"/>
  <c r="DH685" i="61"/>
  <c r="CR685" i="61"/>
  <c r="CB685" i="61"/>
  <c r="BL685" i="61"/>
  <c r="AV685" i="61"/>
  <c r="AF685" i="61"/>
  <c r="K684" i="61"/>
  <c r="L684" i="61" s="1"/>
  <c r="CX682" i="61"/>
  <c r="CT682" i="61"/>
  <c r="BR682" i="61"/>
  <c r="BN682" i="61"/>
  <c r="BJ682" i="61"/>
  <c r="BF682" i="61"/>
  <c r="BB682" i="61"/>
  <c r="AX682" i="61"/>
  <c r="AT682" i="61"/>
  <c r="CU682" i="61"/>
  <c r="BS682" i="61"/>
  <c r="BO682" i="61"/>
  <c r="BK682" i="61"/>
  <c r="BG682" i="61"/>
  <c r="BC682" i="61"/>
  <c r="AY682" i="61"/>
  <c r="AU682" i="61"/>
  <c r="AQ682" i="61"/>
  <c r="CW682" i="61"/>
  <c r="BM682" i="61"/>
  <c r="BE682" i="61"/>
  <c r="AW682" i="61"/>
  <c r="BP682" i="61"/>
  <c r="BH682" i="61"/>
  <c r="AZ682" i="61"/>
  <c r="AR682" i="61"/>
  <c r="CV682" i="61"/>
  <c r="BT682" i="61"/>
  <c r="BL682" i="61"/>
  <c r="BD682" i="61"/>
  <c r="AV682" i="61"/>
  <c r="JB682" i="61"/>
  <c r="IX682" i="61"/>
  <c r="IT682" i="61"/>
  <c r="IP682" i="61"/>
  <c r="IL682" i="61"/>
  <c r="IH682" i="61"/>
  <c r="ID682" i="61"/>
  <c r="ET682" i="61"/>
  <c r="EP682" i="61"/>
  <c r="EL682" i="61"/>
  <c r="EH682" i="61"/>
  <c r="ED682" i="61"/>
  <c r="DZ682" i="61"/>
  <c r="DV682" i="61"/>
  <c r="DR682" i="61"/>
  <c r="DN682" i="61"/>
  <c r="DJ682" i="61"/>
  <c r="DF682" i="61"/>
  <c r="CP682" i="61"/>
  <c r="CL682" i="61"/>
  <c r="CH682" i="61"/>
  <c r="CD682" i="61"/>
  <c r="BZ682" i="61"/>
  <c r="AP682" i="61"/>
  <c r="AL682" i="61"/>
  <c r="AH682" i="61"/>
  <c r="AD682" i="61"/>
  <c r="Z682" i="61"/>
  <c r="A682" i="61"/>
  <c r="IY682" i="61"/>
  <c r="IU682" i="61"/>
  <c r="IQ682" i="61"/>
  <c r="IM682" i="61"/>
  <c r="II682" i="61"/>
  <c r="IE682" i="61"/>
  <c r="EU682" i="61"/>
  <c r="EQ682" i="61"/>
  <c r="EM682" i="61"/>
  <c r="EI682" i="61"/>
  <c r="EE682" i="61"/>
  <c r="EA682" i="61"/>
  <c r="DW682" i="61"/>
  <c r="DS682" i="61"/>
  <c r="DO682" i="61"/>
  <c r="DK682" i="61"/>
  <c r="DG682" i="61"/>
  <c r="CQ682" i="61"/>
  <c r="CM682" i="61"/>
  <c r="CI682" i="61"/>
  <c r="CE682" i="61"/>
  <c r="CA682" i="61"/>
  <c r="AM682" i="61"/>
  <c r="AI682" i="61"/>
  <c r="AE682" i="61"/>
  <c r="AA682" i="61"/>
  <c r="W682" i="61"/>
  <c r="IZ682" i="61"/>
  <c r="IR682" i="61"/>
  <c r="IJ682" i="61"/>
  <c r="EV682" i="61"/>
  <c r="EN682" i="61"/>
  <c r="EF682" i="61"/>
  <c r="DX682" i="61"/>
  <c r="DP682" i="61"/>
  <c r="DH682" i="61"/>
  <c r="CO682" i="61"/>
  <c r="CG682" i="61"/>
  <c r="AO682" i="61"/>
  <c r="AG682" i="61"/>
  <c r="Y682" i="61"/>
  <c r="IG682" i="61"/>
  <c r="EK682" i="61"/>
  <c r="DU682" i="61"/>
  <c r="DM682" i="61"/>
  <c r="AN682" i="61"/>
  <c r="X682" i="61"/>
  <c r="JA682" i="61"/>
  <c r="IS682" i="61"/>
  <c r="IK682" i="61"/>
  <c r="EO682" i="61"/>
  <c r="EG682" i="61"/>
  <c r="DY682" i="61"/>
  <c r="DQ682" i="61"/>
  <c r="DI682" i="61"/>
  <c r="CR682" i="61"/>
  <c r="CJ682" i="61"/>
  <c r="CB682" i="61"/>
  <c r="AJ682" i="61"/>
  <c r="AB682" i="61"/>
  <c r="IW682" i="61"/>
  <c r="IO682" i="61"/>
  <c r="ES682" i="61"/>
  <c r="EC682" i="61"/>
  <c r="DE682" i="61"/>
  <c r="CN682" i="61"/>
  <c r="CF682" i="61"/>
  <c r="AF682" i="61"/>
  <c r="JN681" i="61"/>
  <c r="JJ681" i="61"/>
  <c r="JF681" i="61"/>
  <c r="JB681" i="61"/>
  <c r="IX681" i="61"/>
  <c r="IT681" i="61"/>
  <c r="IP681" i="61"/>
  <c r="IL681" i="61"/>
  <c r="IH681" i="61"/>
  <c r="ID681" i="61"/>
  <c r="HZ681" i="61"/>
  <c r="HV681" i="61"/>
  <c r="HR681" i="61"/>
  <c r="HN681" i="61"/>
  <c r="HJ681" i="61"/>
  <c r="HF681" i="61"/>
  <c r="HB681" i="61"/>
  <c r="GX681" i="61"/>
  <c r="GT681" i="61"/>
  <c r="GP681" i="61"/>
  <c r="GL681" i="61"/>
  <c r="GH681" i="61"/>
  <c r="GD681" i="61"/>
  <c r="FZ681" i="61"/>
  <c r="FV681" i="61"/>
  <c r="FR681" i="61"/>
  <c r="FN681" i="61"/>
  <c r="FJ681" i="61"/>
  <c r="FF681" i="61"/>
  <c r="FB681" i="61"/>
  <c r="EX681" i="61"/>
  <c r="ET681" i="61"/>
  <c r="EP681" i="61"/>
  <c r="EL681" i="61"/>
  <c r="EH681" i="61"/>
  <c r="ED681" i="61"/>
  <c r="DZ681" i="61"/>
  <c r="DV681" i="61"/>
  <c r="DR681" i="61"/>
  <c r="DN681" i="61"/>
  <c r="DJ681" i="61"/>
  <c r="DF681" i="61"/>
  <c r="DB681" i="61"/>
  <c r="CX681" i="61"/>
  <c r="CT681" i="61"/>
  <c r="CP681" i="61"/>
  <c r="CL681" i="61"/>
  <c r="CH681" i="61"/>
  <c r="CD681" i="61"/>
  <c r="BZ681" i="61"/>
  <c r="BV681" i="61"/>
  <c r="BR681" i="61"/>
  <c r="BN681" i="61"/>
  <c r="BJ681" i="61"/>
  <c r="BF681" i="61"/>
  <c r="BB681" i="61"/>
  <c r="AX681" i="61"/>
  <c r="AT681" i="61"/>
  <c r="AP681" i="61"/>
  <c r="AL681" i="61"/>
  <c r="AH681" i="61"/>
  <c r="AD681" i="61"/>
  <c r="Z681" i="61"/>
  <c r="A681" i="61"/>
  <c r="JO681" i="61"/>
  <c r="JK681" i="61"/>
  <c r="JG681" i="61"/>
  <c r="JC681" i="61"/>
  <c r="IY681" i="61"/>
  <c r="IU681" i="61"/>
  <c r="IQ681" i="61"/>
  <c r="IM681" i="61"/>
  <c r="II681" i="61"/>
  <c r="IE681" i="61"/>
  <c r="IA681" i="61"/>
  <c r="HW681" i="61"/>
  <c r="HS681" i="61"/>
  <c r="HO681" i="61"/>
  <c r="HK681" i="61"/>
  <c r="HG681" i="61"/>
  <c r="HC681" i="61"/>
  <c r="GY681" i="61"/>
  <c r="GU681" i="61"/>
  <c r="GQ681" i="61"/>
  <c r="GM681" i="61"/>
  <c r="GI681" i="61"/>
  <c r="GE681" i="61"/>
  <c r="GA681" i="61"/>
  <c r="FW681" i="61"/>
  <c r="FS681" i="61"/>
  <c r="FO681" i="61"/>
  <c r="FK681" i="61"/>
  <c r="FG681" i="61"/>
  <c r="FC681" i="61"/>
  <c r="EY681" i="61"/>
  <c r="EU681" i="61"/>
  <c r="EQ681" i="61"/>
  <c r="EM681" i="61"/>
  <c r="EI681" i="61"/>
  <c r="EE681" i="61"/>
  <c r="EA681" i="61"/>
  <c r="DW681" i="61"/>
  <c r="DS681" i="61"/>
  <c r="DO681" i="61"/>
  <c r="DK681" i="61"/>
  <c r="DG681" i="61"/>
  <c r="DC681" i="61"/>
  <c r="CY681" i="61"/>
  <c r="CU681" i="61"/>
  <c r="CQ681" i="61"/>
  <c r="JL681" i="61"/>
  <c r="JD681" i="61"/>
  <c r="IV681" i="61"/>
  <c r="IN681" i="61"/>
  <c r="IF681" i="61"/>
  <c r="HX681" i="61"/>
  <c r="HP681" i="61"/>
  <c r="HH681" i="61"/>
  <c r="GZ681" i="61"/>
  <c r="GR681" i="61"/>
  <c r="GJ681" i="61"/>
  <c r="GB681" i="61"/>
  <c r="FT681" i="61"/>
  <c r="FL681" i="61"/>
  <c r="FD681" i="61"/>
  <c r="EV681" i="61"/>
  <c r="EN681" i="61"/>
  <c r="EF681" i="61"/>
  <c r="DX681" i="61"/>
  <c r="DP681" i="61"/>
  <c r="DH681" i="61"/>
  <c r="CZ681" i="61"/>
  <c r="CR681" i="61"/>
  <c r="CK681" i="61"/>
  <c r="CF681" i="61"/>
  <c r="CA681" i="61"/>
  <c r="BU681" i="61"/>
  <c r="BP681" i="61"/>
  <c r="BK681" i="61"/>
  <c r="BE681" i="61"/>
  <c r="AZ681" i="61"/>
  <c r="AU681" i="61"/>
  <c r="AO681" i="61"/>
  <c r="AJ681" i="61"/>
  <c r="AE681" i="61"/>
  <c r="Y681" i="61"/>
  <c r="JI681" i="61"/>
  <c r="IK681" i="61"/>
  <c r="HU681" i="61"/>
  <c r="GW681" i="61"/>
  <c r="GG681" i="61"/>
  <c r="FQ681" i="61"/>
  <c r="FA681" i="61"/>
  <c r="EK681" i="61"/>
  <c r="DU681" i="61"/>
  <c r="DE681" i="61"/>
  <c r="CO681" i="61"/>
  <c r="CE681" i="61"/>
  <c r="BT681" i="61"/>
  <c r="BI681" i="61"/>
  <c r="AY681" i="61"/>
  <c r="AN681" i="61"/>
  <c r="X681" i="61"/>
  <c r="JM681" i="61"/>
  <c r="JE681" i="61"/>
  <c r="IW681" i="61"/>
  <c r="IO681" i="61"/>
  <c r="IG681" i="61"/>
  <c r="HY681" i="61"/>
  <c r="HQ681" i="61"/>
  <c r="HI681" i="61"/>
  <c r="HA681" i="61"/>
  <c r="GS681" i="61"/>
  <c r="GK681" i="61"/>
  <c r="GC681" i="61"/>
  <c r="FU681" i="61"/>
  <c r="FM681" i="61"/>
  <c r="FE681" i="61"/>
  <c r="EW681" i="61"/>
  <c r="EO681" i="61"/>
  <c r="EG681" i="61"/>
  <c r="DY681" i="61"/>
  <c r="DQ681" i="61"/>
  <c r="DI681" i="61"/>
  <c r="DA681" i="61"/>
  <c r="CS681" i="61"/>
  <c r="CM681" i="61"/>
  <c r="CG681" i="61"/>
  <c r="CB681" i="61"/>
  <c r="BW681" i="61"/>
  <c r="BQ681" i="61"/>
  <c r="BL681" i="61"/>
  <c r="BG681" i="61"/>
  <c r="BA681" i="61"/>
  <c r="AV681" i="61"/>
  <c r="AQ681" i="61"/>
  <c r="AK681" i="61"/>
  <c r="AF681" i="61"/>
  <c r="AA681" i="61"/>
  <c r="JQ681" i="61"/>
  <c r="JA681" i="61"/>
  <c r="IS681" i="61"/>
  <c r="IC681" i="61"/>
  <c r="HM681" i="61"/>
  <c r="HE681" i="61"/>
  <c r="GO681" i="61"/>
  <c r="FY681" i="61"/>
  <c r="FI681" i="61"/>
  <c r="ES681" i="61"/>
  <c r="EC681" i="61"/>
  <c r="DM681" i="61"/>
  <c r="CW681" i="61"/>
  <c r="CJ681" i="61"/>
  <c r="BY681" i="61"/>
  <c r="BO681" i="61"/>
  <c r="BD681" i="61"/>
  <c r="AS681" i="61"/>
  <c r="AI681" i="61"/>
  <c r="AC681" i="61"/>
  <c r="K680" i="61"/>
  <c r="L680" i="61" s="1"/>
  <c r="CX678" i="61"/>
  <c r="CT678" i="61"/>
  <c r="BR678" i="61"/>
  <c r="BN678" i="61"/>
  <c r="BJ678" i="61"/>
  <c r="BF678" i="61"/>
  <c r="BB678" i="61"/>
  <c r="AX678" i="61"/>
  <c r="AT678" i="61"/>
  <c r="BM678" i="61"/>
  <c r="BE678" i="61"/>
  <c r="AW678" i="61"/>
  <c r="AS678" i="61"/>
  <c r="CU678" i="61"/>
  <c r="BS678" i="61"/>
  <c r="BO678" i="61"/>
  <c r="BK678" i="61"/>
  <c r="BG678" i="61"/>
  <c r="BC678" i="61"/>
  <c r="AY678" i="61"/>
  <c r="AU678" i="61"/>
  <c r="AQ678" i="61"/>
  <c r="CW678" i="61"/>
  <c r="BQ678" i="61"/>
  <c r="BI678" i="61"/>
  <c r="BA678" i="61"/>
  <c r="JN675" i="61"/>
  <c r="JJ675" i="61"/>
  <c r="JF675" i="61"/>
  <c r="A675" i="61"/>
  <c r="JE675" i="61"/>
  <c r="JO675" i="61"/>
  <c r="JK675" i="61"/>
  <c r="JG675" i="61"/>
  <c r="JC675" i="61"/>
  <c r="JQ675" i="61"/>
  <c r="JM675" i="61"/>
  <c r="JI675" i="61"/>
  <c r="AB673" i="61"/>
  <c r="AR673" i="61"/>
  <c r="BH673" i="61"/>
  <c r="BX673" i="61"/>
  <c r="CN673" i="61"/>
  <c r="DD673" i="61"/>
  <c r="DT673" i="61"/>
  <c r="EJ673" i="61"/>
  <c r="EZ673" i="61"/>
  <c r="FP673" i="61"/>
  <c r="GV673" i="61"/>
  <c r="HL673" i="61"/>
  <c r="IR673" i="61"/>
  <c r="JH673" i="61"/>
  <c r="AF674" i="61"/>
  <c r="BL674" i="61"/>
  <c r="CR674" i="61"/>
  <c r="EN674" i="61"/>
  <c r="AF677" i="61"/>
  <c r="CB677" i="61"/>
  <c r="DH677" i="61"/>
  <c r="FD677" i="61"/>
  <c r="AZ678" i="61"/>
  <c r="CF678" i="61"/>
  <c r="DL678" i="61"/>
  <c r="EB678" i="61"/>
  <c r="IZ678" i="61"/>
  <c r="JO679" i="61"/>
  <c r="AB681" i="61"/>
  <c r="BS681" i="61"/>
  <c r="DT681" i="61"/>
  <c r="GF681" i="61"/>
  <c r="IR681" i="61"/>
  <c r="BQ682" i="61"/>
  <c r="DT682" i="61"/>
  <c r="AC685" i="61"/>
  <c r="CO685" i="61"/>
  <c r="FA685" i="61"/>
  <c r="HM685" i="61"/>
  <c r="AF686" i="61"/>
  <c r="EK686" i="61"/>
  <c r="AD689" i="61"/>
  <c r="FB689" i="61"/>
  <c r="AU690" i="61"/>
  <c r="CT690" i="61"/>
  <c r="EH693" i="61"/>
  <c r="JF693" i="61"/>
  <c r="DZ694" i="61"/>
  <c r="DV698" i="61"/>
  <c r="IK702" i="61"/>
  <c r="EX705" i="61"/>
  <c r="X673" i="61"/>
  <c r="AF673" i="61"/>
  <c r="AN673" i="61"/>
  <c r="AV673" i="61"/>
  <c r="BD673" i="61"/>
  <c r="BL673" i="61"/>
  <c r="BT673" i="61"/>
  <c r="CB673" i="61"/>
  <c r="CJ673" i="61"/>
  <c r="CR673" i="61"/>
  <c r="CZ673" i="61"/>
  <c r="DH673" i="61"/>
  <c r="DP673" i="61"/>
  <c r="DX673" i="61"/>
  <c r="EF673" i="61"/>
  <c r="EN673" i="61"/>
  <c r="EV673" i="61"/>
  <c r="FD673" i="61"/>
  <c r="FL673" i="61"/>
  <c r="FX673" i="61"/>
  <c r="GN673" i="61"/>
  <c r="HD673" i="61"/>
  <c r="HT673" i="61"/>
  <c r="IJ673" i="61"/>
  <c r="IZ673" i="61"/>
  <c r="X674" i="61"/>
  <c r="AN674" i="61"/>
  <c r="BD674" i="61"/>
  <c r="CJ674" i="61"/>
  <c r="DP674" i="61"/>
  <c r="EF674" i="61"/>
  <c r="EV674" i="61"/>
  <c r="JP675" i="61"/>
  <c r="X677" i="61"/>
  <c r="AN677" i="61"/>
  <c r="BD677" i="61"/>
  <c r="BT677" i="61"/>
  <c r="CJ677" i="61"/>
  <c r="CZ677" i="61"/>
  <c r="DP677" i="61"/>
  <c r="EF677" i="61"/>
  <c r="EV677" i="61"/>
  <c r="FL677" i="61"/>
  <c r="GB677" i="61"/>
  <c r="GR677" i="61"/>
  <c r="HH677" i="61"/>
  <c r="HX677" i="61"/>
  <c r="IN677" i="61"/>
  <c r="AB678" i="61"/>
  <c r="AR678" i="61"/>
  <c r="BH678" i="61"/>
  <c r="CN678" i="61"/>
  <c r="DD678" i="61"/>
  <c r="DT678" i="61"/>
  <c r="EJ678" i="61"/>
  <c r="AM681" i="61"/>
  <c r="BH681" i="61"/>
  <c r="CC681" i="61"/>
  <c r="DD681" i="61"/>
  <c r="EJ681" i="61"/>
  <c r="FP681" i="61"/>
  <c r="GV681" i="61"/>
  <c r="IB681" i="61"/>
  <c r="JH681" i="61"/>
  <c r="BA682" i="61"/>
  <c r="CC682" i="61"/>
  <c r="DD682" i="61"/>
  <c r="EJ682" i="61"/>
  <c r="IN682" i="61"/>
  <c r="AS685" i="61"/>
  <c r="BY685" i="61"/>
  <c r="DE685" i="61"/>
  <c r="EK685" i="61"/>
  <c r="FQ685" i="61"/>
  <c r="GW685" i="61"/>
  <c r="IC685" i="61"/>
  <c r="JI685" i="61"/>
  <c r="CG686" i="61"/>
  <c r="DO686" i="61"/>
  <c r="JK687" i="61"/>
  <c r="BJ689" i="61"/>
  <c r="DV689" i="61"/>
  <c r="GH689" i="61"/>
  <c r="DG690" i="61"/>
  <c r="A693" i="61"/>
  <c r="AP693" i="61"/>
  <c r="DB693" i="61"/>
  <c r="FN693" i="61"/>
  <c r="HZ693" i="61"/>
  <c r="JO695" i="61"/>
  <c r="CI697" i="61"/>
  <c r="HG697" i="61"/>
  <c r="CM698" i="61"/>
  <c r="DA701" i="61"/>
  <c r="DY702" i="61"/>
  <c r="K708" i="61"/>
  <c r="L708" i="61" s="1"/>
  <c r="JN707" i="61"/>
  <c r="JJ707" i="61"/>
  <c r="JF707" i="61"/>
  <c r="A707" i="61"/>
  <c r="JQ707" i="61"/>
  <c r="JM707" i="61"/>
  <c r="JI707" i="61"/>
  <c r="JE707" i="61"/>
  <c r="JL707" i="61"/>
  <c r="JD707" i="61"/>
  <c r="JK707" i="61"/>
  <c r="JC707" i="61"/>
  <c r="JP707" i="61"/>
  <c r="JG707" i="61"/>
  <c r="JH707" i="61"/>
  <c r="JO707" i="61"/>
  <c r="L707" i="61"/>
  <c r="CT706" i="61"/>
  <c r="BS706" i="61"/>
  <c r="BN706" i="61"/>
  <c r="BI706" i="61"/>
  <c r="BC706" i="61"/>
  <c r="AX706" i="61"/>
  <c r="AS706" i="61"/>
  <c r="CU706" i="61"/>
  <c r="BO706" i="61"/>
  <c r="BJ706" i="61"/>
  <c r="BE706" i="61"/>
  <c r="AY706" i="61"/>
  <c r="AT706" i="61"/>
  <c r="CX706" i="61"/>
  <c r="BM706" i="61"/>
  <c r="BB706" i="61"/>
  <c r="AQ706" i="61"/>
  <c r="BQ706" i="61"/>
  <c r="BF706" i="61"/>
  <c r="AU706" i="61"/>
  <c r="BG706" i="61"/>
  <c r="BK706" i="61"/>
  <c r="AW706" i="61"/>
  <c r="CW706" i="61"/>
  <c r="BA706" i="61"/>
  <c r="BR706" i="61"/>
  <c r="JO703" i="61"/>
  <c r="JK703" i="61"/>
  <c r="JG703" i="61"/>
  <c r="JC703" i="61"/>
  <c r="JM703" i="61"/>
  <c r="JH703" i="61"/>
  <c r="A703" i="61"/>
  <c r="JN703" i="61"/>
  <c r="JI703" i="61"/>
  <c r="JD703" i="61"/>
  <c r="JP703" i="61"/>
  <c r="JE703" i="61"/>
  <c r="JQ703" i="61"/>
  <c r="JF703" i="61"/>
  <c r="JJ703" i="61"/>
  <c r="L703" i="61"/>
  <c r="JL703" i="61"/>
  <c r="JN699" i="61"/>
  <c r="JJ699" i="61"/>
  <c r="JF699" i="61"/>
  <c r="A699" i="61"/>
  <c r="JO699" i="61"/>
  <c r="JK699" i="61"/>
  <c r="JG699" i="61"/>
  <c r="JC699" i="61"/>
  <c r="JQ699" i="61"/>
  <c r="JI699" i="61"/>
  <c r="JL699" i="61"/>
  <c r="JD699" i="61"/>
  <c r="JE699" i="61"/>
  <c r="JH699" i="61"/>
  <c r="JM699" i="61"/>
  <c r="CV694" i="61"/>
  <c r="BT694" i="61"/>
  <c r="BP694" i="61"/>
  <c r="BL694" i="61"/>
  <c r="BH694" i="61"/>
  <c r="BD694" i="61"/>
  <c r="AZ694" i="61"/>
  <c r="AV694" i="61"/>
  <c r="AR694" i="61"/>
  <c r="CW694" i="61"/>
  <c r="BQ694" i="61"/>
  <c r="BM694" i="61"/>
  <c r="BI694" i="61"/>
  <c r="BE694" i="61"/>
  <c r="BA694" i="61"/>
  <c r="AW694" i="61"/>
  <c r="AS694" i="61"/>
  <c r="BR694" i="61"/>
  <c r="BJ694" i="61"/>
  <c r="BB694" i="61"/>
  <c r="AT694" i="61"/>
  <c r="CT694" i="61"/>
  <c r="BS694" i="61"/>
  <c r="BK694" i="61"/>
  <c r="BC694" i="61"/>
  <c r="AU694" i="61"/>
  <c r="BF694" i="61"/>
  <c r="BO694" i="61"/>
  <c r="BG694" i="61"/>
  <c r="AQ694" i="61"/>
  <c r="CX694" i="61"/>
  <c r="AY694" i="61"/>
  <c r="JP691" i="61"/>
  <c r="JL691" i="61"/>
  <c r="JH691" i="61"/>
  <c r="JD691" i="61"/>
  <c r="L691" i="61"/>
  <c r="JQ691" i="61"/>
  <c r="JM691" i="61"/>
  <c r="JI691" i="61"/>
  <c r="JE691" i="61"/>
  <c r="JJ691" i="61"/>
  <c r="JK691" i="61"/>
  <c r="JC691" i="61"/>
  <c r="A691" i="61"/>
  <c r="JN691" i="61"/>
  <c r="JG691" i="61"/>
  <c r="JO691" i="61"/>
  <c r="IZ690" i="61"/>
  <c r="IV690" i="61"/>
  <c r="IR690" i="61"/>
  <c r="IN690" i="61"/>
  <c r="IJ690" i="61"/>
  <c r="IF690" i="61"/>
  <c r="EV690" i="61"/>
  <c r="ER690" i="61"/>
  <c r="EN690" i="61"/>
  <c r="EJ690" i="61"/>
  <c r="EF690" i="61"/>
  <c r="EB690" i="61"/>
  <c r="DX690" i="61"/>
  <c r="DT690" i="61"/>
  <c r="DP690" i="61"/>
  <c r="DL690" i="61"/>
  <c r="DH690" i="61"/>
  <c r="DD690" i="61"/>
  <c r="CR690" i="61"/>
  <c r="CN690" i="61"/>
  <c r="CJ690" i="61"/>
  <c r="CF690" i="61"/>
  <c r="CB690" i="61"/>
  <c r="AN690" i="61"/>
  <c r="AJ690" i="61"/>
  <c r="AF690" i="61"/>
  <c r="AB690" i="61"/>
  <c r="X690" i="61"/>
  <c r="JA690" i="61"/>
  <c r="IW690" i="61"/>
  <c r="IS690" i="61"/>
  <c r="IO690" i="61"/>
  <c r="IK690" i="61"/>
  <c r="IG690" i="61"/>
  <c r="ES690" i="61"/>
  <c r="EO690" i="61"/>
  <c r="EK690" i="61"/>
  <c r="EG690" i="61"/>
  <c r="EC690" i="61"/>
  <c r="DY690" i="61"/>
  <c r="DU690" i="61"/>
  <c r="DQ690" i="61"/>
  <c r="DM690" i="61"/>
  <c r="DI690" i="61"/>
  <c r="DE690" i="61"/>
  <c r="CS690" i="61"/>
  <c r="CO690" i="61"/>
  <c r="CK690" i="61"/>
  <c r="CG690" i="61"/>
  <c r="CC690" i="61"/>
  <c r="AO690" i="61"/>
  <c r="AK690" i="61"/>
  <c r="AG690" i="61"/>
  <c r="AC690" i="61"/>
  <c r="Y690" i="61"/>
  <c r="IY690" i="61"/>
  <c r="IQ690" i="61"/>
  <c r="II690" i="61"/>
  <c r="EP690" i="61"/>
  <c r="EH690" i="61"/>
  <c r="DZ690" i="61"/>
  <c r="DR690" i="61"/>
  <c r="DJ690" i="61"/>
  <c r="CP690" i="61"/>
  <c r="CH690" i="61"/>
  <c r="BZ690" i="61"/>
  <c r="AI690" i="61"/>
  <c r="AA690" i="61"/>
  <c r="JB690" i="61"/>
  <c r="IT690" i="61"/>
  <c r="IL690" i="61"/>
  <c r="ID690" i="61"/>
  <c r="EQ690" i="61"/>
  <c r="EI690" i="61"/>
  <c r="EA690" i="61"/>
  <c r="DS690" i="61"/>
  <c r="DK690" i="61"/>
  <c r="CQ690" i="61"/>
  <c r="CI690" i="61"/>
  <c r="CA690" i="61"/>
  <c r="AL690" i="61"/>
  <c r="AD690" i="61"/>
  <c r="IM690" i="61"/>
  <c r="EU690" i="61"/>
  <c r="EE690" i="61"/>
  <c r="DO690" i="61"/>
  <c r="CL690" i="61"/>
  <c r="AM690" i="61"/>
  <c r="W690" i="61"/>
  <c r="A690" i="61"/>
  <c r="IX690" i="61"/>
  <c r="ET690" i="61"/>
  <c r="ED690" i="61"/>
  <c r="DN690" i="61"/>
  <c r="CE690" i="61"/>
  <c r="IP690" i="61"/>
  <c r="EL690" i="61"/>
  <c r="DV690" i="61"/>
  <c r="DF690" i="61"/>
  <c r="CM690" i="61"/>
  <c r="AP690" i="61"/>
  <c r="Z690" i="61"/>
  <c r="IH690" i="61"/>
  <c r="AH690" i="61"/>
  <c r="JP689" i="61"/>
  <c r="JL689" i="61"/>
  <c r="JH689" i="61"/>
  <c r="JD689" i="61"/>
  <c r="IZ689" i="61"/>
  <c r="IV689" i="61"/>
  <c r="IR689" i="61"/>
  <c r="IN689" i="61"/>
  <c r="IJ689" i="61"/>
  <c r="IF689" i="61"/>
  <c r="IB689" i="61"/>
  <c r="HX689" i="61"/>
  <c r="HT689" i="61"/>
  <c r="HP689" i="61"/>
  <c r="HL689" i="61"/>
  <c r="HH689" i="61"/>
  <c r="HD689" i="61"/>
  <c r="GZ689" i="61"/>
  <c r="GV689" i="61"/>
  <c r="GR689" i="61"/>
  <c r="GN689" i="61"/>
  <c r="GJ689" i="61"/>
  <c r="GF689" i="61"/>
  <c r="GB689" i="61"/>
  <c r="FX689" i="61"/>
  <c r="FT689" i="61"/>
  <c r="FP689" i="61"/>
  <c r="FL689" i="61"/>
  <c r="FH689" i="61"/>
  <c r="FD689" i="61"/>
  <c r="EZ689" i="61"/>
  <c r="EV689" i="61"/>
  <c r="ER689" i="61"/>
  <c r="EN689" i="61"/>
  <c r="EJ689" i="61"/>
  <c r="EF689" i="61"/>
  <c r="EB689" i="61"/>
  <c r="DX689" i="61"/>
  <c r="DT689" i="61"/>
  <c r="DP689" i="61"/>
  <c r="DL689" i="61"/>
  <c r="DH689" i="61"/>
  <c r="DD689" i="61"/>
  <c r="CZ689" i="61"/>
  <c r="CV689" i="61"/>
  <c r="CR689" i="61"/>
  <c r="CN689" i="61"/>
  <c r="CJ689" i="61"/>
  <c r="CF689" i="61"/>
  <c r="CB689" i="61"/>
  <c r="BX689" i="61"/>
  <c r="BT689" i="61"/>
  <c r="BP689" i="61"/>
  <c r="BL689" i="61"/>
  <c r="BH689" i="61"/>
  <c r="BD689" i="61"/>
  <c r="AZ689" i="61"/>
  <c r="AV689" i="61"/>
  <c r="AR689" i="61"/>
  <c r="AN689" i="61"/>
  <c r="AJ689" i="61"/>
  <c r="AF689" i="61"/>
  <c r="AB689" i="61"/>
  <c r="X689" i="61"/>
  <c r="JQ689" i="61"/>
  <c r="JM689" i="61"/>
  <c r="JI689" i="61"/>
  <c r="JE689" i="61"/>
  <c r="JA689" i="61"/>
  <c r="IW689" i="61"/>
  <c r="IS689" i="61"/>
  <c r="IO689" i="61"/>
  <c r="IK689" i="61"/>
  <c r="IG689" i="61"/>
  <c r="IC689" i="61"/>
  <c r="HY689" i="61"/>
  <c r="HU689" i="61"/>
  <c r="HQ689" i="61"/>
  <c r="HM689" i="61"/>
  <c r="HI689" i="61"/>
  <c r="HE689" i="61"/>
  <c r="HA689" i="61"/>
  <c r="GW689" i="61"/>
  <c r="GS689" i="61"/>
  <c r="GO689" i="61"/>
  <c r="GK689" i="61"/>
  <c r="GG689" i="61"/>
  <c r="GC689" i="61"/>
  <c r="FY689" i="61"/>
  <c r="FU689" i="61"/>
  <c r="FQ689" i="61"/>
  <c r="FM689" i="61"/>
  <c r="FI689" i="61"/>
  <c r="FE689" i="61"/>
  <c r="FA689" i="61"/>
  <c r="EW689" i="61"/>
  <c r="ES689" i="61"/>
  <c r="EO689" i="61"/>
  <c r="EK689" i="61"/>
  <c r="EG689" i="61"/>
  <c r="EC689" i="61"/>
  <c r="DY689" i="61"/>
  <c r="DU689" i="61"/>
  <c r="DQ689" i="61"/>
  <c r="DM689" i="61"/>
  <c r="DI689" i="61"/>
  <c r="DE689" i="61"/>
  <c r="DA689" i="61"/>
  <c r="CW689" i="61"/>
  <c r="CS689" i="61"/>
  <c r="CO689" i="61"/>
  <c r="CK689" i="61"/>
  <c r="CG689" i="61"/>
  <c r="CC689" i="61"/>
  <c r="BY689" i="61"/>
  <c r="BU689" i="61"/>
  <c r="BQ689" i="61"/>
  <c r="BM689" i="61"/>
  <c r="BI689" i="61"/>
  <c r="BE689" i="61"/>
  <c r="BA689" i="61"/>
  <c r="AW689" i="61"/>
  <c r="AS689" i="61"/>
  <c r="AO689" i="61"/>
  <c r="AK689" i="61"/>
  <c r="AG689" i="61"/>
  <c r="AC689" i="61"/>
  <c r="Y689" i="61"/>
  <c r="JN689" i="61"/>
  <c r="JF689" i="61"/>
  <c r="IX689" i="61"/>
  <c r="IP689" i="61"/>
  <c r="IH689" i="61"/>
  <c r="HZ689" i="61"/>
  <c r="HR689" i="61"/>
  <c r="HJ689" i="61"/>
  <c r="HB689" i="61"/>
  <c r="GT689" i="61"/>
  <c r="GL689" i="61"/>
  <c r="GD689" i="61"/>
  <c r="FV689" i="61"/>
  <c r="FN689" i="61"/>
  <c r="FF689" i="61"/>
  <c r="EX689" i="61"/>
  <c r="EP689" i="61"/>
  <c r="EH689" i="61"/>
  <c r="DZ689" i="61"/>
  <c r="DR689" i="61"/>
  <c r="DJ689" i="61"/>
  <c r="DB689" i="61"/>
  <c r="CT689" i="61"/>
  <c r="CL689" i="61"/>
  <c r="CD689" i="61"/>
  <c r="BV689" i="61"/>
  <c r="BN689" i="61"/>
  <c r="BF689" i="61"/>
  <c r="AX689" i="61"/>
  <c r="AP689" i="61"/>
  <c r="AH689" i="61"/>
  <c r="Z689" i="61"/>
  <c r="JO689" i="61"/>
  <c r="JG689" i="61"/>
  <c r="IY689" i="61"/>
  <c r="IQ689" i="61"/>
  <c r="II689" i="61"/>
  <c r="IA689" i="61"/>
  <c r="HS689" i="61"/>
  <c r="HK689" i="61"/>
  <c r="HC689" i="61"/>
  <c r="GU689" i="61"/>
  <c r="GM689" i="61"/>
  <c r="GE689" i="61"/>
  <c r="FW689" i="61"/>
  <c r="FO689" i="61"/>
  <c r="FG689" i="61"/>
  <c r="EY689" i="61"/>
  <c r="EQ689" i="61"/>
  <c r="EI689" i="61"/>
  <c r="EA689" i="61"/>
  <c r="DS689" i="61"/>
  <c r="DK689" i="61"/>
  <c r="DC689" i="61"/>
  <c r="CU689" i="61"/>
  <c r="CM689" i="61"/>
  <c r="CE689" i="61"/>
  <c r="BW689" i="61"/>
  <c r="BO689" i="61"/>
  <c r="BG689" i="61"/>
  <c r="AY689" i="61"/>
  <c r="AQ689" i="61"/>
  <c r="AI689" i="61"/>
  <c r="AA689" i="61"/>
  <c r="JB689" i="61"/>
  <c r="IL689" i="61"/>
  <c r="HV689" i="61"/>
  <c r="HF689" i="61"/>
  <c r="GP689" i="61"/>
  <c r="FZ689" i="61"/>
  <c r="FJ689" i="61"/>
  <c r="ET689" i="61"/>
  <c r="ED689" i="61"/>
  <c r="DN689" i="61"/>
  <c r="CX689" i="61"/>
  <c r="CH689" i="61"/>
  <c r="BR689" i="61"/>
  <c r="BB689" i="61"/>
  <c r="AL689" i="61"/>
  <c r="JK689" i="61"/>
  <c r="IE689" i="61"/>
  <c r="FC689" i="61"/>
  <c r="DW689" i="61"/>
  <c r="CQ689" i="61"/>
  <c r="BK689" i="61"/>
  <c r="AE689" i="61"/>
  <c r="JC689" i="61"/>
  <c r="IM689" i="61"/>
  <c r="HW689" i="61"/>
  <c r="HG689" i="61"/>
  <c r="GQ689" i="61"/>
  <c r="GA689" i="61"/>
  <c r="FK689" i="61"/>
  <c r="EU689" i="61"/>
  <c r="EE689" i="61"/>
  <c r="DO689" i="61"/>
  <c r="CY689" i="61"/>
  <c r="CI689" i="61"/>
  <c r="BS689" i="61"/>
  <c r="BC689" i="61"/>
  <c r="AM689" i="61"/>
  <c r="W689" i="61"/>
  <c r="A689" i="61"/>
  <c r="IU689" i="61"/>
  <c r="HO689" i="61"/>
  <c r="GY689" i="61"/>
  <c r="GI689" i="61"/>
  <c r="FS689" i="61"/>
  <c r="EM689" i="61"/>
  <c r="DG689" i="61"/>
  <c r="CA689" i="61"/>
  <c r="AU689" i="61"/>
  <c r="K688" i="61"/>
  <c r="L688" i="61" s="1"/>
  <c r="CV686" i="61"/>
  <c r="BT686" i="61"/>
  <c r="BP686" i="61"/>
  <c r="CX686" i="61"/>
  <c r="BS686" i="61"/>
  <c r="BN686" i="61"/>
  <c r="BJ686" i="61"/>
  <c r="BF686" i="61"/>
  <c r="BB686" i="61"/>
  <c r="AX686" i="61"/>
  <c r="AT686" i="61"/>
  <c r="CT686" i="61"/>
  <c r="BO686" i="61"/>
  <c r="BK686" i="61"/>
  <c r="BG686" i="61"/>
  <c r="BC686" i="61"/>
  <c r="AY686" i="61"/>
  <c r="AU686" i="61"/>
  <c r="AQ686" i="61"/>
  <c r="CW686" i="61"/>
  <c r="BQ686" i="61"/>
  <c r="BH686" i="61"/>
  <c r="AZ686" i="61"/>
  <c r="AR686" i="61"/>
  <c r="BR686" i="61"/>
  <c r="BI686" i="61"/>
  <c r="BA686" i="61"/>
  <c r="AS686" i="61"/>
  <c r="CU686" i="61"/>
  <c r="BM686" i="61"/>
  <c r="BE686" i="61"/>
  <c r="AW686" i="61"/>
  <c r="JN683" i="61"/>
  <c r="JJ683" i="61"/>
  <c r="JF683" i="61"/>
  <c r="A683" i="61"/>
  <c r="JO683" i="61"/>
  <c r="JK683" i="61"/>
  <c r="JG683" i="61"/>
  <c r="JC683" i="61"/>
  <c r="JM683" i="61"/>
  <c r="JE683" i="61"/>
  <c r="JP683" i="61"/>
  <c r="JH683" i="61"/>
  <c r="L683" i="61"/>
  <c r="JL683" i="61"/>
  <c r="JD683" i="61"/>
  <c r="JN679" i="61"/>
  <c r="JJ679" i="61"/>
  <c r="JF679" i="61"/>
  <c r="JQ679" i="61"/>
  <c r="JL679" i="61"/>
  <c r="JG679" i="61"/>
  <c r="A679" i="61"/>
  <c r="JK679" i="61"/>
  <c r="JM679" i="61"/>
  <c r="JH679" i="61"/>
  <c r="JC679" i="61"/>
  <c r="JP679" i="61"/>
  <c r="JE679" i="61"/>
  <c r="JB678" i="61"/>
  <c r="IX678" i="61"/>
  <c r="IT678" i="61"/>
  <c r="IP678" i="61"/>
  <c r="IL678" i="61"/>
  <c r="IH678" i="61"/>
  <c r="ID678" i="61"/>
  <c r="ET678" i="61"/>
  <c r="EP678" i="61"/>
  <c r="EL678" i="61"/>
  <c r="EH678" i="61"/>
  <c r="ED678" i="61"/>
  <c r="DZ678" i="61"/>
  <c r="DV678" i="61"/>
  <c r="DR678" i="61"/>
  <c r="DN678" i="61"/>
  <c r="DJ678" i="61"/>
  <c r="DF678" i="61"/>
  <c r="CP678" i="61"/>
  <c r="CL678" i="61"/>
  <c r="CH678" i="61"/>
  <c r="CD678" i="61"/>
  <c r="BZ678" i="61"/>
  <c r="AP678" i="61"/>
  <c r="AL678" i="61"/>
  <c r="AH678" i="61"/>
  <c r="AD678" i="61"/>
  <c r="Z678" i="61"/>
  <c r="A678" i="61"/>
  <c r="IO678" i="61"/>
  <c r="IG678" i="61"/>
  <c r="EK678" i="61"/>
  <c r="EC678" i="61"/>
  <c r="DQ678" i="61"/>
  <c r="DI678" i="61"/>
  <c r="CO678" i="61"/>
  <c r="CG678" i="61"/>
  <c r="AK678" i="61"/>
  <c r="AC678" i="61"/>
  <c r="IY678" i="61"/>
  <c r="IU678" i="61"/>
  <c r="IQ678" i="61"/>
  <c r="IM678" i="61"/>
  <c r="II678" i="61"/>
  <c r="IE678" i="61"/>
  <c r="EU678" i="61"/>
  <c r="EQ678" i="61"/>
  <c r="EM678" i="61"/>
  <c r="EI678" i="61"/>
  <c r="EE678" i="61"/>
  <c r="EA678" i="61"/>
  <c r="DW678" i="61"/>
  <c r="DS678" i="61"/>
  <c r="DO678" i="61"/>
  <c r="DK678" i="61"/>
  <c r="DG678" i="61"/>
  <c r="CQ678" i="61"/>
  <c r="CM678" i="61"/>
  <c r="CI678" i="61"/>
  <c r="CE678" i="61"/>
  <c r="CA678" i="61"/>
  <c r="AM678" i="61"/>
  <c r="AI678" i="61"/>
  <c r="AE678" i="61"/>
  <c r="AA678" i="61"/>
  <c r="W678" i="61"/>
  <c r="JA678" i="61"/>
  <c r="IW678" i="61"/>
  <c r="IS678" i="61"/>
  <c r="IK678" i="61"/>
  <c r="ES678" i="61"/>
  <c r="EO678" i="61"/>
  <c r="EG678" i="61"/>
  <c r="DY678" i="61"/>
  <c r="DU678" i="61"/>
  <c r="DM678" i="61"/>
  <c r="DE678" i="61"/>
  <c r="CS678" i="61"/>
  <c r="CK678" i="61"/>
  <c r="CC678" i="61"/>
  <c r="AO678" i="61"/>
  <c r="AG678" i="61"/>
  <c r="Y678" i="61"/>
  <c r="JN677" i="61"/>
  <c r="JJ677" i="61"/>
  <c r="JF677" i="61"/>
  <c r="JB677" i="61"/>
  <c r="IX677" i="61"/>
  <c r="IT677" i="61"/>
  <c r="IP677" i="61"/>
  <c r="IL677" i="61"/>
  <c r="IH677" i="61"/>
  <c r="ID677" i="61"/>
  <c r="HZ677" i="61"/>
  <c r="HV677" i="61"/>
  <c r="HR677" i="61"/>
  <c r="HN677" i="61"/>
  <c r="HJ677" i="61"/>
  <c r="HF677" i="61"/>
  <c r="HB677" i="61"/>
  <c r="GX677" i="61"/>
  <c r="GT677" i="61"/>
  <c r="GP677" i="61"/>
  <c r="GL677" i="61"/>
  <c r="GH677" i="61"/>
  <c r="GD677" i="61"/>
  <c r="FZ677" i="61"/>
  <c r="FV677" i="61"/>
  <c r="FR677" i="61"/>
  <c r="FN677" i="61"/>
  <c r="FJ677" i="61"/>
  <c r="FF677" i="61"/>
  <c r="FB677" i="61"/>
  <c r="EX677" i="61"/>
  <c r="ET677" i="61"/>
  <c r="EP677" i="61"/>
  <c r="EL677" i="61"/>
  <c r="EH677" i="61"/>
  <c r="ED677" i="61"/>
  <c r="DZ677" i="61"/>
  <c r="DV677" i="61"/>
  <c r="DR677" i="61"/>
  <c r="DN677" i="61"/>
  <c r="DJ677" i="61"/>
  <c r="DF677" i="61"/>
  <c r="DB677" i="61"/>
  <c r="CX677" i="61"/>
  <c r="CT677" i="61"/>
  <c r="CP677" i="61"/>
  <c r="CL677" i="61"/>
  <c r="CH677" i="61"/>
  <c r="CD677" i="61"/>
  <c r="BZ677" i="61"/>
  <c r="BV677" i="61"/>
  <c r="BR677" i="61"/>
  <c r="BN677" i="61"/>
  <c r="BJ677" i="61"/>
  <c r="BF677" i="61"/>
  <c r="BB677" i="61"/>
  <c r="AX677" i="61"/>
  <c r="AT677" i="61"/>
  <c r="AP677" i="61"/>
  <c r="AL677" i="61"/>
  <c r="AH677" i="61"/>
  <c r="AD677" i="61"/>
  <c r="Z677" i="61"/>
  <c r="A677" i="61"/>
  <c r="JI677" i="61"/>
  <c r="IW677" i="61"/>
  <c r="IO677" i="61"/>
  <c r="IG677" i="61"/>
  <c r="HI677" i="61"/>
  <c r="HA677" i="61"/>
  <c r="GS677" i="61"/>
  <c r="GK677" i="61"/>
  <c r="GC677" i="61"/>
  <c r="FU677" i="61"/>
  <c r="FM677" i="61"/>
  <c r="FA677" i="61"/>
  <c r="ES677" i="61"/>
  <c r="EK677" i="61"/>
  <c r="EC677" i="61"/>
  <c r="DU677" i="61"/>
  <c r="DM677" i="61"/>
  <c r="DE677" i="61"/>
  <c r="CW677" i="61"/>
  <c r="CO677" i="61"/>
  <c r="CG677" i="61"/>
  <c r="BY677" i="61"/>
  <c r="BQ677" i="61"/>
  <c r="BI677" i="61"/>
  <c r="BA677" i="61"/>
  <c r="AS677" i="61"/>
  <c r="AK677" i="61"/>
  <c r="AC677" i="61"/>
  <c r="JO677" i="61"/>
  <c r="JK677" i="61"/>
  <c r="JG677" i="61"/>
  <c r="JC677" i="61"/>
  <c r="IY677" i="61"/>
  <c r="IU677" i="61"/>
  <c r="IQ677" i="61"/>
  <c r="IM677" i="61"/>
  <c r="II677" i="61"/>
  <c r="IE677" i="61"/>
  <c r="IA677" i="61"/>
  <c r="HW677" i="61"/>
  <c r="HS677" i="61"/>
  <c r="HO677" i="61"/>
  <c r="HK677" i="61"/>
  <c r="HG677" i="61"/>
  <c r="HC677" i="61"/>
  <c r="GY677" i="61"/>
  <c r="GU677" i="61"/>
  <c r="GQ677" i="61"/>
  <c r="GM677" i="61"/>
  <c r="GI677" i="61"/>
  <c r="GE677" i="61"/>
  <c r="GA677" i="61"/>
  <c r="FW677" i="61"/>
  <c r="FS677" i="61"/>
  <c r="FO677" i="61"/>
  <c r="FK677" i="61"/>
  <c r="FG677" i="61"/>
  <c r="FC677" i="61"/>
  <c r="EY677" i="61"/>
  <c r="EU677" i="61"/>
  <c r="EQ677" i="61"/>
  <c r="EM677" i="61"/>
  <c r="EI677" i="61"/>
  <c r="EE677" i="61"/>
  <c r="EA677" i="61"/>
  <c r="DW677" i="61"/>
  <c r="DS677" i="61"/>
  <c r="DO677" i="61"/>
  <c r="DK677" i="61"/>
  <c r="DG677" i="61"/>
  <c r="DC677" i="61"/>
  <c r="CY677" i="61"/>
  <c r="CU677" i="61"/>
  <c r="CQ677" i="61"/>
  <c r="CM677" i="61"/>
  <c r="CI677" i="61"/>
  <c r="CE677" i="61"/>
  <c r="CA677" i="61"/>
  <c r="BW677" i="61"/>
  <c r="BS677" i="61"/>
  <c r="BO677" i="61"/>
  <c r="BK677" i="61"/>
  <c r="BG677" i="61"/>
  <c r="BC677" i="61"/>
  <c r="AY677" i="61"/>
  <c r="AU677" i="61"/>
  <c r="AQ677" i="61"/>
  <c r="AM677" i="61"/>
  <c r="AI677" i="61"/>
  <c r="AE677" i="61"/>
  <c r="AA677" i="61"/>
  <c r="W677" i="61"/>
  <c r="JQ677" i="61"/>
  <c r="JM677" i="61"/>
  <c r="JE677" i="61"/>
  <c r="JA677" i="61"/>
  <c r="IS677" i="61"/>
  <c r="IK677" i="61"/>
  <c r="IC677" i="61"/>
  <c r="HY677" i="61"/>
  <c r="HU677" i="61"/>
  <c r="HQ677" i="61"/>
  <c r="HM677" i="61"/>
  <c r="HE677" i="61"/>
  <c r="GW677" i="61"/>
  <c r="GO677" i="61"/>
  <c r="GG677" i="61"/>
  <c r="FY677" i="61"/>
  <c r="FQ677" i="61"/>
  <c r="FI677" i="61"/>
  <c r="FE677" i="61"/>
  <c r="EW677" i="61"/>
  <c r="EO677" i="61"/>
  <c r="EG677" i="61"/>
  <c r="DY677" i="61"/>
  <c r="DQ677" i="61"/>
  <c r="DI677" i="61"/>
  <c r="DA677" i="61"/>
  <c r="CS677" i="61"/>
  <c r="CK677" i="61"/>
  <c r="CC677" i="61"/>
  <c r="BU677" i="61"/>
  <c r="BM677" i="61"/>
  <c r="BE677" i="61"/>
  <c r="AW677" i="61"/>
  <c r="AO677" i="61"/>
  <c r="AG677" i="61"/>
  <c r="Y677" i="61"/>
  <c r="K676" i="61"/>
  <c r="L676" i="61" s="1"/>
  <c r="CX674" i="61"/>
  <c r="CT674" i="61"/>
  <c r="BF674" i="61"/>
  <c r="AX674" i="61"/>
  <c r="CW674" i="61"/>
  <c r="BQ674" i="61"/>
  <c r="BI674" i="61"/>
  <c r="BA674" i="61"/>
  <c r="AS674" i="61"/>
  <c r="CU674" i="61"/>
  <c r="BS674" i="61"/>
  <c r="BO674" i="61"/>
  <c r="BK674" i="61"/>
  <c r="BG674" i="61"/>
  <c r="BC674" i="61"/>
  <c r="AY674" i="61"/>
  <c r="AU674" i="61"/>
  <c r="AQ674" i="61"/>
  <c r="BR674" i="61"/>
  <c r="BN674" i="61"/>
  <c r="BJ674" i="61"/>
  <c r="BB674" i="61"/>
  <c r="AT674" i="61"/>
  <c r="BM674" i="61"/>
  <c r="BE674" i="61"/>
  <c r="AW674" i="61"/>
  <c r="JB674" i="61"/>
  <c r="IX674" i="61"/>
  <c r="IT674" i="61"/>
  <c r="IP674" i="61"/>
  <c r="IL674" i="61"/>
  <c r="IH674" i="61"/>
  <c r="ID674" i="61"/>
  <c r="ET674" i="61"/>
  <c r="EL674" i="61"/>
  <c r="ED674" i="61"/>
  <c r="DV674" i="61"/>
  <c r="DN674" i="61"/>
  <c r="DF674" i="61"/>
  <c r="CP674" i="61"/>
  <c r="CL674" i="61"/>
  <c r="CD674" i="61"/>
  <c r="AP674" i="61"/>
  <c r="AH674" i="61"/>
  <c r="Z674" i="61"/>
  <c r="A674" i="61"/>
  <c r="IS674" i="61"/>
  <c r="IK674" i="61"/>
  <c r="EK674" i="61"/>
  <c r="DY674" i="61"/>
  <c r="DQ674" i="61"/>
  <c r="DM674" i="61"/>
  <c r="DE674" i="61"/>
  <c r="CS674" i="61"/>
  <c r="CO674" i="61"/>
  <c r="CG674" i="61"/>
  <c r="AK674" i="61"/>
  <c r="AC674" i="61"/>
  <c r="IY674" i="61"/>
  <c r="IU674" i="61"/>
  <c r="IQ674" i="61"/>
  <c r="IM674" i="61"/>
  <c r="II674" i="61"/>
  <c r="IE674" i="61"/>
  <c r="EU674" i="61"/>
  <c r="EQ674" i="61"/>
  <c r="EM674" i="61"/>
  <c r="EI674" i="61"/>
  <c r="EE674" i="61"/>
  <c r="EA674" i="61"/>
  <c r="DW674" i="61"/>
  <c r="DS674" i="61"/>
  <c r="DO674" i="61"/>
  <c r="DK674" i="61"/>
  <c r="DG674" i="61"/>
  <c r="CQ674" i="61"/>
  <c r="CM674" i="61"/>
  <c r="CI674" i="61"/>
  <c r="CE674" i="61"/>
  <c r="CA674" i="61"/>
  <c r="AM674" i="61"/>
  <c r="AI674" i="61"/>
  <c r="AE674" i="61"/>
  <c r="AA674" i="61"/>
  <c r="W674" i="61"/>
  <c r="EP674" i="61"/>
  <c r="EH674" i="61"/>
  <c r="DZ674" i="61"/>
  <c r="DR674" i="61"/>
  <c r="DJ674" i="61"/>
  <c r="CH674" i="61"/>
  <c r="BZ674" i="61"/>
  <c r="AL674" i="61"/>
  <c r="AD674" i="61"/>
  <c r="JA674" i="61"/>
  <c r="IW674" i="61"/>
  <c r="IO674" i="61"/>
  <c r="IG674" i="61"/>
  <c r="ES674" i="61"/>
  <c r="EO674" i="61"/>
  <c r="EG674" i="61"/>
  <c r="EC674" i="61"/>
  <c r="DU674" i="61"/>
  <c r="DI674" i="61"/>
  <c r="CK674" i="61"/>
  <c r="CC674" i="61"/>
  <c r="AO674" i="61"/>
  <c r="AG674" i="61"/>
  <c r="Y674" i="61"/>
  <c r="JN673" i="61"/>
  <c r="JF673" i="61"/>
  <c r="IX673" i="61"/>
  <c r="IP673" i="61"/>
  <c r="IH673" i="61"/>
  <c r="HZ673" i="61"/>
  <c r="HR673" i="61"/>
  <c r="HJ673" i="61"/>
  <c r="GX673" i="61"/>
  <c r="GP673" i="61"/>
  <c r="GH673" i="61"/>
  <c r="FZ673" i="61"/>
  <c r="FR673" i="61"/>
  <c r="FJ673" i="61"/>
  <c r="FB673" i="61"/>
  <c r="ET673" i="61"/>
  <c r="EL673" i="61"/>
  <c r="ED673" i="61"/>
  <c r="DV673" i="61"/>
  <c r="DN673" i="61"/>
  <c r="DF673" i="61"/>
  <c r="CX673" i="61"/>
  <c r="CP673" i="61"/>
  <c r="CH673" i="61"/>
  <c r="BZ673" i="61"/>
  <c r="BR673" i="61"/>
  <c r="BJ673" i="61"/>
  <c r="BB673" i="61"/>
  <c r="AT673" i="61"/>
  <c r="AL673" i="61"/>
  <c r="AD673" i="61"/>
  <c r="JI673" i="61"/>
  <c r="JA673" i="61"/>
  <c r="IS673" i="61"/>
  <c r="IK673" i="61"/>
  <c r="IC673" i="61"/>
  <c r="HY673" i="61"/>
  <c r="HU673" i="61"/>
  <c r="HQ673" i="61"/>
  <c r="HI673" i="61"/>
  <c r="HE673" i="61"/>
  <c r="GW673" i="61"/>
  <c r="GO673" i="61"/>
  <c r="GG673" i="61"/>
  <c r="FY673" i="61"/>
  <c r="FQ673" i="61"/>
  <c r="JO673" i="61"/>
  <c r="JK673" i="61"/>
  <c r="JG673" i="61"/>
  <c r="JC673" i="61"/>
  <c r="IY673" i="61"/>
  <c r="IU673" i="61"/>
  <c r="IQ673" i="61"/>
  <c r="IM673" i="61"/>
  <c r="II673" i="61"/>
  <c r="IE673" i="61"/>
  <c r="IA673" i="61"/>
  <c r="HW673" i="61"/>
  <c r="HS673" i="61"/>
  <c r="HO673" i="61"/>
  <c r="HK673" i="61"/>
  <c r="HG673" i="61"/>
  <c r="HC673" i="61"/>
  <c r="GY673" i="61"/>
  <c r="GU673" i="61"/>
  <c r="GQ673" i="61"/>
  <c r="GM673" i="61"/>
  <c r="GI673" i="61"/>
  <c r="GE673" i="61"/>
  <c r="GA673" i="61"/>
  <c r="FW673" i="61"/>
  <c r="FS673" i="61"/>
  <c r="FO673" i="61"/>
  <c r="FK673" i="61"/>
  <c r="FG673" i="61"/>
  <c r="FC673" i="61"/>
  <c r="EY673" i="61"/>
  <c r="EU673" i="61"/>
  <c r="EQ673" i="61"/>
  <c r="EM673" i="61"/>
  <c r="EI673" i="61"/>
  <c r="EE673" i="61"/>
  <c r="EA673" i="61"/>
  <c r="DW673" i="61"/>
  <c r="DS673" i="61"/>
  <c r="DO673" i="61"/>
  <c r="DK673" i="61"/>
  <c r="DG673" i="61"/>
  <c r="DC673" i="61"/>
  <c r="CY673" i="61"/>
  <c r="CU673" i="61"/>
  <c r="CQ673" i="61"/>
  <c r="CM673" i="61"/>
  <c r="CI673" i="61"/>
  <c r="CE673" i="61"/>
  <c r="CA673" i="61"/>
  <c r="BW673" i="61"/>
  <c r="BS673" i="61"/>
  <c r="BO673" i="61"/>
  <c r="BK673" i="61"/>
  <c r="BG673" i="61"/>
  <c r="BC673" i="61"/>
  <c r="AY673" i="61"/>
  <c r="AU673" i="61"/>
  <c r="AQ673" i="61"/>
  <c r="AM673" i="61"/>
  <c r="AI673" i="61"/>
  <c r="AE673" i="61"/>
  <c r="AA673" i="61"/>
  <c r="W673" i="61"/>
  <c r="JJ673" i="61"/>
  <c r="JB673" i="61"/>
  <c r="IT673" i="61"/>
  <c r="IL673" i="61"/>
  <c r="ID673" i="61"/>
  <c r="HV673" i="61"/>
  <c r="HN673" i="61"/>
  <c r="HF673" i="61"/>
  <c r="HB673" i="61"/>
  <c r="GT673" i="61"/>
  <c r="GL673" i="61"/>
  <c r="GD673" i="61"/>
  <c r="FV673" i="61"/>
  <c r="FN673" i="61"/>
  <c r="FF673" i="61"/>
  <c r="EX673" i="61"/>
  <c r="EP673" i="61"/>
  <c r="EH673" i="61"/>
  <c r="DZ673" i="61"/>
  <c r="DR673" i="61"/>
  <c r="DJ673" i="61"/>
  <c r="DB673" i="61"/>
  <c r="CT673" i="61"/>
  <c r="CL673" i="61"/>
  <c r="CD673" i="61"/>
  <c r="BV673" i="61"/>
  <c r="BN673" i="61"/>
  <c r="BF673" i="61"/>
  <c r="AX673" i="61"/>
  <c r="AP673" i="61"/>
  <c r="AH673" i="61"/>
  <c r="Z673" i="61"/>
  <c r="A673" i="61"/>
  <c r="JQ673" i="61"/>
  <c r="JM673" i="61"/>
  <c r="JE673" i="61"/>
  <c r="IW673" i="61"/>
  <c r="IO673" i="61"/>
  <c r="IG673" i="61"/>
  <c r="HM673" i="61"/>
  <c r="HA673" i="61"/>
  <c r="GS673" i="61"/>
  <c r="GK673" i="61"/>
  <c r="GC673" i="61"/>
  <c r="FU673" i="61"/>
  <c r="K672" i="61"/>
  <c r="L672" i="61" s="1"/>
  <c r="AJ673" i="61"/>
  <c r="AZ673" i="61"/>
  <c r="BP673" i="61"/>
  <c r="CF673" i="61"/>
  <c r="CV673" i="61"/>
  <c r="DL673" i="61"/>
  <c r="EB673" i="61"/>
  <c r="ER673" i="61"/>
  <c r="FH673" i="61"/>
  <c r="GF673" i="61"/>
  <c r="IB673" i="61"/>
  <c r="AV674" i="61"/>
  <c r="CB674" i="61"/>
  <c r="DH674" i="61"/>
  <c r="DX674" i="61"/>
  <c r="IF674" i="61"/>
  <c r="IV674" i="61"/>
  <c r="JH675" i="61"/>
  <c r="AV677" i="61"/>
  <c r="BL677" i="61"/>
  <c r="CR677" i="61"/>
  <c r="DX677" i="61"/>
  <c r="EN677" i="61"/>
  <c r="FT677" i="61"/>
  <c r="GJ677" i="61"/>
  <c r="GZ677" i="61"/>
  <c r="HP677" i="61"/>
  <c r="IF677" i="61"/>
  <c r="IV677" i="61"/>
  <c r="JL677" i="61"/>
  <c r="AJ678" i="61"/>
  <c r="BP678" i="61"/>
  <c r="CV678" i="61"/>
  <c r="ER678" i="61"/>
  <c r="IJ678" i="61"/>
  <c r="L679" i="61"/>
  <c r="AW681" i="61"/>
  <c r="CN681" i="61"/>
  <c r="EZ681" i="61"/>
  <c r="HL681" i="61"/>
  <c r="AK682" i="61"/>
  <c r="CS682" i="61"/>
  <c r="BI685" i="61"/>
  <c r="DU685" i="61"/>
  <c r="GG685" i="61"/>
  <c r="IS685" i="61"/>
  <c r="BL686" i="61"/>
  <c r="IW686" i="61"/>
  <c r="CP689" i="61"/>
  <c r="HN689" i="61"/>
  <c r="EM690" i="61"/>
  <c r="BV693" i="61"/>
  <c r="GT693" i="61"/>
  <c r="AH694" i="61"/>
  <c r="CE694" i="61"/>
  <c r="IY694" i="61"/>
  <c r="AD697" i="61"/>
  <c r="EU697" i="61"/>
  <c r="BF698" i="61"/>
  <c r="HY701" i="61"/>
  <c r="AC673" i="61"/>
  <c r="AK673" i="61"/>
  <c r="AS673" i="61"/>
  <c r="BA673" i="61"/>
  <c r="BI673" i="61"/>
  <c r="BQ673" i="61"/>
  <c r="BY673" i="61"/>
  <c r="CG673" i="61"/>
  <c r="CO673" i="61"/>
  <c r="CW673" i="61"/>
  <c r="DE673" i="61"/>
  <c r="DM673" i="61"/>
  <c r="DU673" i="61"/>
  <c r="EC673" i="61"/>
  <c r="EK673" i="61"/>
  <c r="ES673" i="61"/>
  <c r="FA673" i="61"/>
  <c r="FI673" i="61"/>
  <c r="FT673" i="61"/>
  <c r="GJ673" i="61"/>
  <c r="GZ673" i="61"/>
  <c r="HP673" i="61"/>
  <c r="IF673" i="61"/>
  <c r="IV673" i="61"/>
  <c r="JL673" i="61"/>
  <c r="AJ674" i="61"/>
  <c r="AZ674" i="61"/>
  <c r="BP674" i="61"/>
  <c r="CF674" i="61"/>
  <c r="CV674" i="61"/>
  <c r="DL674" i="61"/>
  <c r="EB674" i="61"/>
  <c r="ER674" i="61"/>
  <c r="IJ674" i="61"/>
  <c r="IZ674" i="61"/>
  <c r="L675" i="61"/>
  <c r="JL675" i="61"/>
  <c r="AJ677" i="61"/>
  <c r="AZ677" i="61"/>
  <c r="BP677" i="61"/>
  <c r="CF677" i="61"/>
  <c r="CV677" i="61"/>
  <c r="DL677" i="61"/>
  <c r="EB677" i="61"/>
  <c r="ER677" i="61"/>
  <c r="FH677" i="61"/>
  <c r="FX677" i="61"/>
  <c r="GN677" i="61"/>
  <c r="HD677" i="61"/>
  <c r="HT677" i="61"/>
  <c r="IJ677" i="61"/>
  <c r="IZ677" i="61"/>
  <c r="JP677" i="61"/>
  <c r="X678" i="61"/>
  <c r="AN678" i="61"/>
  <c r="BD678" i="61"/>
  <c r="BT678" i="61"/>
  <c r="CJ678" i="61"/>
  <c r="DP678" i="61"/>
  <c r="EF678" i="61"/>
  <c r="EV678" i="61"/>
  <c r="IN678" i="61"/>
  <c r="AG681" i="61"/>
  <c r="BC681" i="61"/>
  <c r="BX681" i="61"/>
  <c r="CV681" i="61"/>
  <c r="EB681" i="61"/>
  <c r="FH681" i="61"/>
  <c r="GN681" i="61"/>
  <c r="HT681" i="61"/>
  <c r="IZ681" i="61"/>
  <c r="AS682" i="61"/>
  <c r="EB682" i="61"/>
  <c r="IF682" i="61"/>
  <c r="JQ683" i="61"/>
  <c r="AK685" i="61"/>
  <c r="BQ685" i="61"/>
  <c r="CW685" i="61"/>
  <c r="EC685" i="61"/>
  <c r="FI685" i="61"/>
  <c r="GO685" i="61"/>
  <c r="HU685" i="61"/>
  <c r="JA685" i="61"/>
  <c r="AN686" i="61"/>
  <c r="DE686" i="61"/>
  <c r="EU686" i="61"/>
  <c r="AT689" i="61"/>
  <c r="DF689" i="61"/>
  <c r="FR689" i="61"/>
  <c r="ID689" i="61"/>
  <c r="BK690" i="61"/>
  <c r="JF691" i="61"/>
  <c r="Z693" i="61"/>
  <c r="CL693" i="61"/>
  <c r="EX693" i="61"/>
  <c r="HJ693" i="61"/>
  <c r="AX694" i="61"/>
  <c r="CU694" i="61"/>
  <c r="EP694" i="61"/>
  <c r="BC697" i="61"/>
  <c r="GA697" i="61"/>
  <c r="AO701" i="61"/>
  <c r="JN708" i="61"/>
  <c r="JJ708" i="61"/>
  <c r="JF708" i="61"/>
  <c r="A708" i="61"/>
  <c r="JQ708" i="61"/>
  <c r="JM708" i="61"/>
  <c r="JI708" i="61"/>
  <c r="JE708" i="61"/>
  <c r="JP708" i="61"/>
  <c r="JH708" i="61"/>
  <c r="JO708" i="61"/>
  <c r="JG708" i="61"/>
  <c r="CX707" i="61"/>
  <c r="CT707" i="61"/>
  <c r="BR707" i="61"/>
  <c r="BN707" i="61"/>
  <c r="BJ707" i="61"/>
  <c r="BF707" i="61"/>
  <c r="BB707" i="61"/>
  <c r="AX707" i="61"/>
  <c r="AT707" i="61"/>
  <c r="CW707" i="61"/>
  <c r="BQ707" i="61"/>
  <c r="BM707" i="61"/>
  <c r="BI707" i="61"/>
  <c r="BE707" i="61"/>
  <c r="BA707" i="61"/>
  <c r="AW707" i="61"/>
  <c r="AS707" i="61"/>
  <c r="BS707" i="61"/>
  <c r="BK707" i="61"/>
  <c r="BC707" i="61"/>
  <c r="AU707" i="61"/>
  <c r="JB707" i="61"/>
  <c r="IX707" i="61"/>
  <c r="IT707" i="61"/>
  <c r="IP707" i="61"/>
  <c r="IL707" i="61"/>
  <c r="IH707" i="61"/>
  <c r="ID707" i="61"/>
  <c r="ET707" i="61"/>
  <c r="EP707" i="61"/>
  <c r="EL707" i="61"/>
  <c r="EH707" i="61"/>
  <c r="ED707" i="61"/>
  <c r="DZ707" i="61"/>
  <c r="DV707" i="61"/>
  <c r="DR707" i="61"/>
  <c r="DN707" i="61"/>
  <c r="DJ707" i="61"/>
  <c r="DF707" i="61"/>
  <c r="CP707" i="61"/>
  <c r="CL707" i="61"/>
  <c r="CH707" i="61"/>
  <c r="CD707" i="61"/>
  <c r="BZ707" i="61"/>
  <c r="AP707" i="61"/>
  <c r="AL707" i="61"/>
  <c r="AH707" i="61"/>
  <c r="AD707" i="61"/>
  <c r="Z707" i="61"/>
  <c r="JA707" i="61"/>
  <c r="IW707" i="61"/>
  <c r="IS707" i="61"/>
  <c r="IO707" i="61"/>
  <c r="IK707" i="61"/>
  <c r="IG707" i="61"/>
  <c r="ES707" i="61"/>
  <c r="EO707" i="61"/>
  <c r="EK707" i="61"/>
  <c r="EG707" i="61"/>
  <c r="EC707" i="61"/>
  <c r="DY707" i="61"/>
  <c r="DU707" i="61"/>
  <c r="DQ707" i="61"/>
  <c r="DM707" i="61"/>
  <c r="DI707" i="61"/>
  <c r="DE707" i="61"/>
  <c r="CS707" i="61"/>
  <c r="CO707" i="61"/>
  <c r="CK707" i="61"/>
  <c r="CG707" i="61"/>
  <c r="CC707" i="61"/>
  <c r="AO707" i="61"/>
  <c r="AK707" i="61"/>
  <c r="AG707" i="61"/>
  <c r="AC707" i="61"/>
  <c r="Y707" i="61"/>
  <c r="IV707" i="61"/>
  <c r="IN707" i="61"/>
  <c r="IF707" i="61"/>
  <c r="EU707" i="61"/>
  <c r="EM707" i="61"/>
  <c r="EE707" i="61"/>
  <c r="DW707" i="61"/>
  <c r="DO707" i="61"/>
  <c r="IU707" i="61"/>
  <c r="IM707" i="61"/>
  <c r="IE707" i="61"/>
  <c r="ER707" i="61"/>
  <c r="EJ707" i="61"/>
  <c r="EB707" i="61"/>
  <c r="DT707" i="61"/>
  <c r="DL707" i="61"/>
  <c r="DD707" i="61"/>
  <c r="CR707" i="61"/>
  <c r="CJ707" i="61"/>
  <c r="CB707" i="61"/>
  <c r="AM707" i="61"/>
  <c r="AE707" i="61"/>
  <c r="W707" i="61"/>
  <c r="JN706" i="61"/>
  <c r="JJ706" i="61"/>
  <c r="JF706" i="61"/>
  <c r="JB706" i="61"/>
  <c r="IX706" i="61"/>
  <c r="IT706" i="61"/>
  <c r="IP706" i="61"/>
  <c r="IL706" i="61"/>
  <c r="HZ706" i="61"/>
  <c r="HV706" i="61"/>
  <c r="HR706" i="61"/>
  <c r="HN706" i="61"/>
  <c r="HJ706" i="61"/>
  <c r="HF706" i="61"/>
  <c r="HB706" i="61"/>
  <c r="GX706" i="61"/>
  <c r="GT706" i="61"/>
  <c r="GP706" i="61"/>
  <c r="GL706" i="61"/>
  <c r="GH706" i="61"/>
  <c r="GD706" i="61"/>
  <c r="FZ706" i="61"/>
  <c r="FV706" i="61"/>
  <c r="FR706" i="61"/>
  <c r="FN706" i="61"/>
  <c r="FJ706" i="61"/>
  <c r="FF706" i="61"/>
  <c r="FB706" i="61"/>
  <c r="EX706" i="61"/>
  <c r="ET706" i="61"/>
  <c r="EP706" i="61"/>
  <c r="EL706" i="61"/>
  <c r="EH706" i="61"/>
  <c r="ED706" i="61"/>
  <c r="DZ706" i="61"/>
  <c r="JQ706" i="61"/>
  <c r="JM706" i="61"/>
  <c r="JI706" i="61"/>
  <c r="JE706" i="61"/>
  <c r="JA706" i="61"/>
  <c r="IW706" i="61"/>
  <c r="IS706" i="61"/>
  <c r="IO706" i="61"/>
  <c r="JP706" i="61"/>
  <c r="JH706" i="61"/>
  <c r="IZ706" i="61"/>
  <c r="IR706" i="61"/>
  <c r="IK706" i="61"/>
  <c r="IA706" i="61"/>
  <c r="HU706" i="61"/>
  <c r="HP706" i="61"/>
  <c r="HK706" i="61"/>
  <c r="HE706" i="61"/>
  <c r="GZ706" i="61"/>
  <c r="GU706" i="61"/>
  <c r="GO706" i="61"/>
  <c r="GJ706" i="61"/>
  <c r="GE706" i="61"/>
  <c r="FY706" i="61"/>
  <c r="FT706" i="61"/>
  <c r="FO706" i="61"/>
  <c r="FI706" i="61"/>
  <c r="FD706" i="61"/>
  <c r="EY706" i="61"/>
  <c r="ES706" i="61"/>
  <c r="EN706" i="61"/>
  <c r="EI706" i="61"/>
  <c r="EC706" i="61"/>
  <c r="DX706" i="61"/>
  <c r="DT706" i="61"/>
  <c r="DP706" i="61"/>
  <c r="DL706" i="61"/>
  <c r="DH706" i="61"/>
  <c r="DD706" i="61"/>
  <c r="CZ706" i="61"/>
  <c r="CV706" i="61"/>
  <c r="CR706" i="61"/>
  <c r="CN706" i="61"/>
  <c r="CJ706" i="61"/>
  <c r="CF706" i="61"/>
  <c r="CB706" i="61"/>
  <c r="BX706" i="61"/>
  <c r="BT706" i="61"/>
  <c r="BP706" i="61"/>
  <c r="BL706" i="61"/>
  <c r="BH706" i="61"/>
  <c r="BD706" i="61"/>
  <c r="AZ706" i="61"/>
  <c r="AV706" i="61"/>
  <c r="AR706" i="61"/>
  <c r="AN706" i="61"/>
  <c r="AJ706" i="61"/>
  <c r="AF706" i="61"/>
  <c r="AB706" i="61"/>
  <c r="X706" i="61"/>
  <c r="F709" i="61"/>
  <c r="X707" i="61"/>
  <c r="AI707" i="61"/>
  <c r="AR707" i="61"/>
  <c r="BD707" i="61"/>
  <c r="BO707" i="61"/>
  <c r="CA707" i="61"/>
  <c r="CM707" i="61"/>
  <c r="CV707" i="61"/>
  <c r="DK707" i="61"/>
  <c r="EA707" i="61"/>
  <c r="EQ707" i="61"/>
  <c r="IJ707" i="61"/>
  <c r="IZ707" i="61"/>
  <c r="JL708" i="61"/>
  <c r="FG671" i="61"/>
  <c r="FP671" i="61"/>
  <c r="FX671" i="61"/>
  <c r="GI671" i="61"/>
  <c r="GR671" i="61"/>
  <c r="HF671" i="61"/>
  <c r="EX671" i="61"/>
  <c r="FF671" i="61"/>
  <c r="FL671" i="61"/>
  <c r="FS671" i="61"/>
  <c r="GA671" i="61"/>
  <c r="GH671" i="61"/>
  <c r="GN671" i="61"/>
  <c r="GX671" i="61"/>
  <c r="HG671" i="61"/>
  <c r="HR671" i="61"/>
  <c r="JF671" i="61"/>
  <c r="JQ671" i="61"/>
  <c r="JM671" i="61"/>
  <c r="JI671" i="61"/>
  <c r="JE671" i="61"/>
  <c r="JA671" i="61"/>
  <c r="IW671" i="61"/>
  <c r="IS671" i="61"/>
  <c r="IO671" i="61"/>
  <c r="IK671" i="61"/>
  <c r="IG671" i="61"/>
  <c r="IC671" i="61"/>
  <c r="HY671" i="61"/>
  <c r="HU671" i="61"/>
  <c r="HQ671" i="61"/>
  <c r="HM671" i="61"/>
  <c r="HI671" i="61"/>
  <c r="HE671" i="61"/>
  <c r="HA671" i="61"/>
  <c r="GW671" i="61"/>
  <c r="GS671" i="61"/>
  <c r="GO671" i="61"/>
  <c r="GK671" i="61"/>
  <c r="GG671" i="61"/>
  <c r="GC671" i="61"/>
  <c r="FY671" i="61"/>
  <c r="FU671" i="61"/>
  <c r="FQ671" i="61"/>
  <c r="FM671" i="61"/>
  <c r="FI671" i="61"/>
  <c r="FE671" i="61"/>
  <c r="FA671" i="61"/>
  <c r="EW671" i="61"/>
  <c r="ES671" i="61"/>
  <c r="EO671" i="61"/>
  <c r="EK671" i="61"/>
  <c r="EG671" i="61"/>
  <c r="EC671" i="61"/>
  <c r="DY671" i="61"/>
  <c r="DU671" i="61"/>
  <c r="DQ671" i="61"/>
  <c r="DM671" i="61"/>
  <c r="DI671" i="61"/>
  <c r="DE671" i="61"/>
  <c r="DA671" i="61"/>
  <c r="CW671" i="61"/>
  <c r="CS671" i="61"/>
  <c r="CO671" i="61"/>
  <c r="CK671" i="61"/>
  <c r="CG671" i="61"/>
  <c r="CC671" i="61"/>
  <c r="BY671" i="61"/>
  <c r="BU671" i="61"/>
  <c r="BQ671" i="61"/>
  <c r="BM671" i="61"/>
  <c r="BI671" i="61"/>
  <c r="BE671" i="61"/>
  <c r="BA671" i="61"/>
  <c r="AW671" i="61"/>
  <c r="AS671" i="61"/>
  <c r="AO671" i="61"/>
  <c r="AK671" i="61"/>
  <c r="AG671" i="61"/>
  <c r="AC671" i="61"/>
  <c r="Y671" i="61"/>
  <c r="JP671" i="61"/>
  <c r="JL671" i="61"/>
  <c r="JH671" i="61"/>
  <c r="JD671" i="61"/>
  <c r="IZ671" i="61"/>
  <c r="IV671" i="61"/>
  <c r="IR671" i="61"/>
  <c r="IN671" i="61"/>
  <c r="IJ671" i="61"/>
  <c r="IF671" i="61"/>
  <c r="IB671" i="61"/>
  <c r="HX671" i="61"/>
  <c r="HT671" i="61"/>
  <c r="HP671" i="61"/>
  <c r="HL671" i="61"/>
  <c r="HH671" i="61"/>
  <c r="HD671" i="61"/>
  <c r="GZ671" i="61"/>
  <c r="GV671" i="61"/>
  <c r="A671" i="61"/>
  <c r="AA671" i="61"/>
  <c r="AF671" i="61"/>
  <c r="AL671" i="61"/>
  <c r="AQ671" i="61"/>
  <c r="AV671" i="61"/>
  <c r="BB671" i="61"/>
  <c r="BG671" i="61"/>
  <c r="BL671" i="61"/>
  <c r="BR671" i="61"/>
  <c r="BW671" i="61"/>
  <c r="CB671" i="61"/>
  <c r="CH671" i="61"/>
  <c r="CM671" i="61"/>
  <c r="CR671" i="61"/>
  <c r="CX671" i="61"/>
  <c r="DC671" i="61"/>
  <c r="DH671" i="61"/>
  <c r="DN671" i="61"/>
  <c r="DS671" i="61"/>
  <c r="DX671" i="61"/>
  <c r="ED671" i="61"/>
  <c r="EI671" i="61"/>
  <c r="EN671" i="61"/>
  <c r="ET671" i="61"/>
  <c r="EY671" i="61"/>
  <c r="FD671" i="61"/>
  <c r="FJ671" i="61"/>
  <c r="FO671" i="61"/>
  <c r="FT671" i="61"/>
  <c r="FZ671" i="61"/>
  <c r="GE671" i="61"/>
  <c r="GJ671" i="61"/>
  <c r="GP671" i="61"/>
  <c r="GU671" i="61"/>
  <c r="HC671" i="61"/>
  <c r="HK671" i="61"/>
  <c r="HS671" i="61"/>
  <c r="IA671" i="61"/>
  <c r="II671" i="61"/>
  <c r="IQ671" i="61"/>
  <c r="IY671" i="61"/>
  <c r="JG671" i="61"/>
  <c r="JO671" i="61"/>
  <c r="I629" i="61"/>
  <c r="J596" i="61"/>
  <c r="G534" i="61"/>
  <c r="V493" i="61"/>
  <c r="U519" i="61"/>
  <c r="G512" i="61"/>
  <c r="G493" i="61"/>
  <c r="V560" i="61"/>
  <c r="G462" i="61"/>
  <c r="F464" i="61" s="1"/>
  <c r="A532" i="61"/>
  <c r="A519" i="61"/>
  <c r="U444" i="61"/>
  <c r="A443" i="61"/>
  <c r="L393" i="61"/>
  <c r="L356" i="61"/>
  <c r="D880" i="61"/>
  <c r="D878" i="61"/>
  <c r="D874" i="61"/>
  <c r="C873" i="61"/>
  <c r="C874" i="61"/>
  <c r="E872" i="61"/>
  <c r="D873" i="61"/>
  <c r="C880" i="61"/>
  <c r="P76" i="7"/>
  <c r="P74" i="7"/>
  <c r="P73" i="7"/>
  <c r="P560" i="61" l="1"/>
  <c r="P577" i="61" s="1"/>
  <c r="P579" i="61" s="1"/>
  <c r="P581" i="61" s="1"/>
  <c r="CT709" i="61"/>
  <c r="DO709" i="61"/>
  <c r="EH709" i="61"/>
  <c r="J739" i="61" s="1"/>
  <c r="AN709" i="61"/>
  <c r="L720" i="61" s="1"/>
  <c r="AY709" i="61"/>
  <c r="M726" i="61" s="1"/>
  <c r="DJ709" i="61"/>
  <c r="K734" i="61" s="1"/>
  <c r="S560" i="61"/>
  <c r="F465" i="61"/>
  <c r="B473" i="61"/>
  <c r="F476" i="61" s="1"/>
  <c r="G560" i="61"/>
  <c r="J560" i="61"/>
  <c r="J577" i="61" s="1"/>
  <c r="J579" i="61" s="1"/>
  <c r="J581" i="61" s="1"/>
  <c r="CE709" i="61"/>
  <c r="J775" i="61" s="1"/>
  <c r="FK709" i="61"/>
  <c r="N757" i="61" s="1"/>
  <c r="HW709" i="61"/>
  <c r="M754" i="61" s="1"/>
  <c r="DP709" i="61"/>
  <c r="AB709" i="61"/>
  <c r="J718" i="61" s="1"/>
  <c r="JK709" i="61"/>
  <c r="DD709" i="61"/>
  <c r="J733" i="61" s="1"/>
  <c r="BO709" i="61"/>
  <c r="N730" i="61" s="1"/>
  <c r="F466" i="61"/>
  <c r="AJ709" i="61"/>
  <c r="BZ709" i="61"/>
  <c r="J774" i="61" s="1"/>
  <c r="JN709" i="61"/>
  <c r="EP709" i="61"/>
  <c r="M740" i="61" s="1"/>
  <c r="CI709" i="61"/>
  <c r="N775" i="61" s="1"/>
  <c r="IM709" i="61"/>
  <c r="CZ709" i="61"/>
  <c r="K779" i="61" s="1"/>
  <c r="GL709" i="61"/>
  <c r="K759" i="61" s="1"/>
  <c r="EZ709" i="61"/>
  <c r="GB709" i="61"/>
  <c r="K761" i="61" s="1"/>
  <c r="L709" i="61"/>
  <c r="L710" i="61" s="1"/>
  <c r="BV709" i="61"/>
  <c r="K722" i="61" s="1"/>
  <c r="DB709" i="61"/>
  <c r="M779" i="61" s="1"/>
  <c r="FN709" i="61"/>
  <c r="L762" i="61" s="1"/>
  <c r="JB709" i="61"/>
  <c r="AE709" i="61"/>
  <c r="M718" i="61" s="1"/>
  <c r="BK709" i="61"/>
  <c r="J730" i="61" s="1"/>
  <c r="CQ709" i="61"/>
  <c r="L777" i="61" s="1"/>
  <c r="DG709" i="61"/>
  <c r="M733" i="61" s="1"/>
  <c r="DW709" i="61"/>
  <c r="N736" i="61" s="1"/>
  <c r="FC709" i="61"/>
  <c r="K756" i="61" s="1"/>
  <c r="GY709" i="61"/>
  <c r="N749" i="61" s="1"/>
  <c r="HO709" i="61"/>
  <c r="J753" i="61" s="1"/>
  <c r="J770" i="61" s="1"/>
  <c r="IE709" i="61"/>
  <c r="BJ709" i="61"/>
  <c r="FB709" i="61"/>
  <c r="J756" i="61" s="1"/>
  <c r="HN709" i="61"/>
  <c r="N752" i="61" s="1"/>
  <c r="N769" i="61" s="1"/>
  <c r="IL709" i="61"/>
  <c r="EU709" i="61"/>
  <c r="GT709" i="61"/>
  <c r="N748" i="61" s="1"/>
  <c r="AU709" i="61"/>
  <c r="CA709" i="61"/>
  <c r="K774" i="61" s="1"/>
  <c r="EM709" i="61"/>
  <c r="J740" i="61" s="1"/>
  <c r="CP709" i="61"/>
  <c r="K777" i="61" s="1"/>
  <c r="AR709" i="61"/>
  <c r="CN709" i="61"/>
  <c r="BH709" i="61"/>
  <c r="Z709" i="61"/>
  <c r="M717" i="61" s="1"/>
  <c r="DT709" i="61"/>
  <c r="K736" i="61" s="1"/>
  <c r="BP709" i="61"/>
  <c r="J729" i="61" s="1"/>
  <c r="HB709" i="61"/>
  <c r="L750" i="61" s="1"/>
  <c r="AI709" i="61"/>
  <c r="DK709" i="61"/>
  <c r="L734" i="61" s="1"/>
  <c r="EQ709" i="61"/>
  <c r="N740" i="61" s="1"/>
  <c r="FW709" i="61"/>
  <c r="K760" i="61" s="1"/>
  <c r="HJ709" i="61"/>
  <c r="J752" i="61" s="1"/>
  <c r="J769" i="61" s="1"/>
  <c r="W709" i="61"/>
  <c r="J717" i="61" s="1"/>
  <c r="AM709" i="61"/>
  <c r="K720" i="61" s="1"/>
  <c r="DV709" i="61"/>
  <c r="M736" i="61" s="1"/>
  <c r="BC709" i="61"/>
  <c r="L725" i="61" s="1"/>
  <c r="GQ709" i="61"/>
  <c r="K748" i="61" s="1"/>
  <c r="IX709" i="61"/>
  <c r="EF709" i="61"/>
  <c r="AX709" i="61"/>
  <c r="L726" i="61" s="1"/>
  <c r="HS709" i="61"/>
  <c r="N753" i="61" s="1"/>
  <c r="N770" i="61" s="1"/>
  <c r="EY709" i="61"/>
  <c r="DH709" i="61"/>
  <c r="N733" i="61" s="1"/>
  <c r="BR709" i="61"/>
  <c r="L729" i="61" s="1"/>
  <c r="AV709" i="61"/>
  <c r="J726" i="61" s="1"/>
  <c r="HT709" i="61"/>
  <c r="J754" i="61" s="1"/>
  <c r="JP709" i="61"/>
  <c r="AK709" i="61"/>
  <c r="BA709" i="61"/>
  <c r="J725" i="61" s="1"/>
  <c r="CG709" i="61"/>
  <c r="L775" i="61" s="1"/>
  <c r="CW709" i="61"/>
  <c r="DM709" i="61"/>
  <c r="N734" i="61" s="1"/>
  <c r="EC709" i="61"/>
  <c r="ES709" i="61"/>
  <c r="FI709" i="61"/>
  <c r="L757" i="61" s="1"/>
  <c r="FY709" i="61"/>
  <c r="M760" i="61" s="1"/>
  <c r="GO709" i="61"/>
  <c r="N759" i="61" s="1"/>
  <c r="HE709" i="61"/>
  <c r="J751" i="61" s="1"/>
  <c r="HU709" i="61"/>
  <c r="K754" i="61" s="1"/>
  <c r="IK709" i="61"/>
  <c r="JA709" i="61"/>
  <c r="JQ709" i="61"/>
  <c r="FP709" i="61"/>
  <c r="N762" i="61" s="1"/>
  <c r="BD709" i="61"/>
  <c r="M725" i="61" s="1"/>
  <c r="CF709" i="61"/>
  <c r="K775" i="61" s="1"/>
  <c r="EL709" i="61"/>
  <c r="N739" i="61" s="1"/>
  <c r="FR709" i="61"/>
  <c r="K763" i="61" s="1"/>
  <c r="CD709" i="61"/>
  <c r="N774" i="61" s="1"/>
  <c r="IH709" i="61"/>
  <c r="ID709" i="61"/>
  <c r="CJ709" i="61"/>
  <c r="X709" i="61"/>
  <c r="K717" i="61" s="1"/>
  <c r="JC709" i="61"/>
  <c r="FH709" i="61"/>
  <c r="K757" i="61" s="1"/>
  <c r="CV709" i="61"/>
  <c r="AP709" i="61"/>
  <c r="N720" i="61" s="1"/>
  <c r="HV709" i="61"/>
  <c r="L754" i="61" s="1"/>
  <c r="IU709" i="61"/>
  <c r="AT709" i="61"/>
  <c r="DF709" i="61"/>
  <c r="L733" i="61" s="1"/>
  <c r="AD709" i="61"/>
  <c r="L718" i="61" s="1"/>
  <c r="IP709" i="61"/>
  <c r="EE709" i="61"/>
  <c r="ER709" i="61"/>
  <c r="FV709" i="61"/>
  <c r="J760" i="61" s="1"/>
  <c r="CU709" i="61"/>
  <c r="EA709" i="61"/>
  <c r="M737" i="61" s="1"/>
  <c r="GM709" i="61"/>
  <c r="L759" i="61" s="1"/>
  <c r="DR709" i="61"/>
  <c r="CL709" i="61"/>
  <c r="IT709" i="61"/>
  <c r="CY709" i="61"/>
  <c r="J779" i="61" s="1"/>
  <c r="BN709" i="61"/>
  <c r="M730" i="61" s="1"/>
  <c r="BT709" i="61"/>
  <c r="N729" i="61" s="1"/>
  <c r="JJ709" i="61"/>
  <c r="IY709" i="61"/>
  <c r="GP709" i="61"/>
  <c r="J748" i="61" s="1"/>
  <c r="FT709" i="61"/>
  <c r="M763" i="61" s="1"/>
  <c r="ED709" i="61"/>
  <c r="CM709" i="61"/>
  <c r="AA709" i="61"/>
  <c r="N717" i="61" s="1"/>
  <c r="HD709" i="61"/>
  <c r="N750" i="61" s="1"/>
  <c r="IJ709" i="61"/>
  <c r="IZ709" i="61"/>
  <c r="BQ709" i="61"/>
  <c r="K729" i="61" s="1"/>
  <c r="GN709" i="61"/>
  <c r="M759" i="61" s="1"/>
  <c r="FL709" i="61"/>
  <c r="J762" i="61" s="1"/>
  <c r="GR709" i="61"/>
  <c r="L748" i="61" s="1"/>
  <c r="FG709" i="61"/>
  <c r="J757" i="61" s="1"/>
  <c r="EB709" i="61"/>
  <c r="N737" i="61" s="1"/>
  <c r="GF709" i="61"/>
  <c r="J758" i="61" s="1"/>
  <c r="DL709" i="61"/>
  <c r="M734" i="61" s="1"/>
  <c r="AZ709" i="61"/>
  <c r="N726" i="61" s="1"/>
  <c r="AH709" i="61"/>
  <c r="DZ709" i="61"/>
  <c r="L737" i="61" s="1"/>
  <c r="HZ709" i="61"/>
  <c r="K755" i="61" s="1"/>
  <c r="BS709" i="61"/>
  <c r="M729" i="61" s="1"/>
  <c r="BF709" i="61"/>
  <c r="GD709" i="61"/>
  <c r="M761" i="61" s="1"/>
  <c r="EV709" i="61"/>
  <c r="EJ709" i="61"/>
  <c r="L739" i="61" s="1"/>
  <c r="BX709" i="61"/>
  <c r="M722" i="61" s="1"/>
  <c r="HK709" i="61"/>
  <c r="K752" i="61" s="1"/>
  <c r="K769" i="61" s="1"/>
  <c r="GJ709" i="61"/>
  <c r="N758" i="61" s="1"/>
  <c r="DX709" i="61"/>
  <c r="J737" i="61" s="1"/>
  <c r="A709" i="61"/>
  <c r="A666" i="61" s="1"/>
  <c r="HX709" i="61"/>
  <c r="N754" i="61" s="1"/>
  <c r="IN709" i="61"/>
  <c r="Y709" i="61"/>
  <c r="L717" i="61" s="1"/>
  <c r="AO709" i="61"/>
  <c r="M720" i="61" s="1"/>
  <c r="BU709" i="61"/>
  <c r="J722" i="61" s="1"/>
  <c r="DQ709" i="61"/>
  <c r="EG709" i="61"/>
  <c r="FM709" i="61"/>
  <c r="K762" i="61" s="1"/>
  <c r="GS709" i="61"/>
  <c r="M748" i="61" s="1"/>
  <c r="HY709" i="61"/>
  <c r="J755" i="61" s="1"/>
  <c r="IO709" i="61"/>
  <c r="HR709" i="61"/>
  <c r="M753" i="61" s="1"/>
  <c r="M770" i="61" s="1"/>
  <c r="FF709" i="61"/>
  <c r="N756" i="61" s="1"/>
  <c r="GI709" i="61"/>
  <c r="M758" i="61" s="1"/>
  <c r="JO709" i="61"/>
  <c r="II709" i="61"/>
  <c r="HC709" i="61"/>
  <c r="M750" i="61" s="1"/>
  <c r="GE709" i="61"/>
  <c r="N761" i="61" s="1"/>
  <c r="FJ709" i="61"/>
  <c r="M757" i="61" s="1"/>
  <c r="EN709" i="61"/>
  <c r="K740" i="61" s="1"/>
  <c r="DS709" i="61"/>
  <c r="J736" i="61" s="1"/>
  <c r="CX709" i="61"/>
  <c r="CB709" i="61"/>
  <c r="L774" i="61" s="1"/>
  <c r="BG709" i="61"/>
  <c r="AL709" i="61"/>
  <c r="J720" i="61" s="1"/>
  <c r="GV709" i="61"/>
  <c r="K749" i="61" s="1"/>
  <c r="HL709" i="61"/>
  <c r="L752" i="61" s="1"/>
  <c r="L769" i="61" s="1"/>
  <c r="IB709" i="61"/>
  <c r="M755" i="61" s="1"/>
  <c r="IR709" i="61"/>
  <c r="JH709" i="61"/>
  <c r="AC709" i="61"/>
  <c r="K718" i="61" s="1"/>
  <c r="AS709" i="61"/>
  <c r="BI709" i="61"/>
  <c r="BY709" i="61"/>
  <c r="N722" i="61" s="1"/>
  <c r="CO709" i="61"/>
  <c r="J777" i="61" s="1"/>
  <c r="DE709" i="61"/>
  <c r="K733" i="61" s="1"/>
  <c r="DU709" i="61"/>
  <c r="L736" i="61" s="1"/>
  <c r="EK709" i="61"/>
  <c r="M739" i="61" s="1"/>
  <c r="FA709" i="61"/>
  <c r="FQ709" i="61"/>
  <c r="J763" i="61" s="1"/>
  <c r="GG709" i="61"/>
  <c r="K758" i="61" s="1"/>
  <c r="GW709" i="61"/>
  <c r="L749" i="61" s="1"/>
  <c r="HM709" i="61"/>
  <c r="M752" i="61" s="1"/>
  <c r="M769" i="61" s="1"/>
  <c r="IC709" i="61"/>
  <c r="N755" i="61" s="1"/>
  <c r="IS709" i="61"/>
  <c r="JI709" i="61"/>
  <c r="HG709" i="61"/>
  <c r="L751" i="61" s="1"/>
  <c r="GA709" i="61"/>
  <c r="J761" i="61" s="1"/>
  <c r="EX709" i="61"/>
  <c r="FX709" i="61"/>
  <c r="L760" i="61" s="1"/>
  <c r="IQ709" i="61"/>
  <c r="FO709" i="61"/>
  <c r="M762" i="61" s="1"/>
  <c r="ET709" i="61"/>
  <c r="DC709" i="61"/>
  <c r="N779" i="61" s="1"/>
  <c r="CH709" i="61"/>
  <c r="M775" i="61" s="1"/>
  <c r="BL709" i="61"/>
  <c r="K730" i="61" s="1"/>
  <c r="AQ709" i="61"/>
  <c r="HH709" i="61"/>
  <c r="M751" i="61" s="1"/>
  <c r="JD709" i="61"/>
  <c r="BE709" i="61"/>
  <c r="N725" i="61" s="1"/>
  <c r="CK709" i="61"/>
  <c r="DA709" i="61"/>
  <c r="L779" i="61" s="1"/>
  <c r="EW709" i="61"/>
  <c r="GC709" i="61"/>
  <c r="L761" i="61" s="1"/>
  <c r="HI709" i="61"/>
  <c r="N751" i="61" s="1"/>
  <c r="JE709" i="61"/>
  <c r="GH709" i="61"/>
  <c r="L758" i="61" s="1"/>
  <c r="JG709" i="61"/>
  <c r="IA709" i="61"/>
  <c r="L755" i="61" s="1"/>
  <c r="GU709" i="61"/>
  <c r="J749" i="61" s="1"/>
  <c r="FZ709" i="61"/>
  <c r="N760" i="61" s="1"/>
  <c r="FD709" i="61"/>
  <c r="L756" i="61" s="1"/>
  <c r="EI709" i="61"/>
  <c r="K739" i="61" s="1"/>
  <c r="DN709" i="61"/>
  <c r="CR709" i="61"/>
  <c r="M777" i="61" s="1"/>
  <c r="BW709" i="61"/>
  <c r="L722" i="61" s="1"/>
  <c r="BB709" i="61"/>
  <c r="K725" i="61" s="1"/>
  <c r="AF709" i="61"/>
  <c r="N718" i="61" s="1"/>
  <c r="GZ709" i="61"/>
  <c r="J750" i="61" s="1"/>
  <c r="HP709" i="61"/>
  <c r="K753" i="61" s="1"/>
  <c r="K770" i="61" s="1"/>
  <c r="IF709" i="61"/>
  <c r="IV709" i="61"/>
  <c r="JL709" i="61"/>
  <c r="AG709" i="61"/>
  <c r="AW709" i="61"/>
  <c r="K726" i="61" s="1"/>
  <c r="BM709" i="61"/>
  <c r="L730" i="61" s="1"/>
  <c r="CC709" i="61"/>
  <c r="M774" i="61" s="1"/>
  <c r="CS709" i="61"/>
  <c r="N777" i="61" s="1"/>
  <c r="DI709" i="61"/>
  <c r="J734" i="61" s="1"/>
  <c r="DY709" i="61"/>
  <c r="K737" i="61" s="1"/>
  <c r="EO709" i="61"/>
  <c r="L740" i="61" s="1"/>
  <c r="FE709" i="61"/>
  <c r="M756" i="61" s="1"/>
  <c r="FU709" i="61"/>
  <c r="N763" i="61" s="1"/>
  <c r="GK709" i="61"/>
  <c r="J759" i="61" s="1"/>
  <c r="HA709" i="61"/>
  <c r="K750" i="61" s="1"/>
  <c r="HQ709" i="61"/>
  <c r="L753" i="61" s="1"/>
  <c r="L770" i="61" s="1"/>
  <c r="IG709" i="61"/>
  <c r="IW709" i="61"/>
  <c r="JM709" i="61"/>
  <c r="JF709" i="61"/>
  <c r="GX709" i="61"/>
  <c r="M749" i="61" s="1"/>
  <c r="FS709" i="61"/>
  <c r="L763" i="61" s="1"/>
  <c r="HF709" i="61"/>
  <c r="K751" i="61" s="1"/>
  <c r="E874" i="61"/>
  <c r="E878" i="61"/>
  <c r="E880" i="61"/>
  <c r="E873" i="61"/>
  <c r="F872" i="61"/>
  <c r="C875" i="61"/>
  <c r="C881" i="61" s="1"/>
  <c r="D875" i="61"/>
  <c r="D894" i="61" s="1"/>
  <c r="V64" i="15"/>
  <c r="D881" i="61" l="1"/>
  <c r="C894" i="61"/>
  <c r="L768" i="61"/>
  <c r="N767" i="61"/>
  <c r="M765" i="61"/>
  <c r="N768" i="61"/>
  <c r="K768" i="61"/>
  <c r="K771" i="61"/>
  <c r="N765" i="61"/>
  <c r="J771" i="61"/>
  <c r="N766" i="61"/>
  <c r="M771" i="61"/>
  <c r="K772" i="61"/>
  <c r="J765" i="61"/>
  <c r="L767" i="61"/>
  <c r="O775" i="61"/>
  <c r="O763" i="61"/>
  <c r="O847" i="61"/>
  <c r="N772" i="61"/>
  <c r="L747" i="61"/>
  <c r="P846" i="61"/>
  <c r="M768" i="61"/>
  <c r="J772" i="61"/>
  <c r="L765" i="61"/>
  <c r="K767" i="61"/>
  <c r="M767" i="61"/>
  <c r="J766" i="61"/>
  <c r="N776" i="61"/>
  <c r="N778" i="61" s="1"/>
  <c r="N780" i="61" s="1"/>
  <c r="K735" i="61"/>
  <c r="M727" i="61"/>
  <c r="M719" i="61"/>
  <c r="M721" i="61" s="1"/>
  <c r="M723" i="61" s="1"/>
  <c r="M738" i="61"/>
  <c r="K719" i="61"/>
  <c r="K721" i="61" s="1"/>
  <c r="K723" i="61" s="1"/>
  <c r="O725" i="61"/>
  <c r="O717" i="61"/>
  <c r="K731" i="61"/>
  <c r="N727" i="61"/>
  <c r="L741" i="61"/>
  <c r="J776" i="61"/>
  <c r="J778" i="61" s="1"/>
  <c r="J780" i="61" s="1"/>
  <c r="O774" i="61"/>
  <c r="N735" i="61"/>
  <c r="J741" i="61"/>
  <c r="N741" i="61"/>
  <c r="K776" i="61"/>
  <c r="K778" i="61" s="1"/>
  <c r="K780" i="61" s="1"/>
  <c r="O734" i="61"/>
  <c r="L731" i="61"/>
  <c r="J727" i="61"/>
  <c r="J719" i="61"/>
  <c r="J721" i="61" s="1"/>
  <c r="J723" i="61" s="1"/>
  <c r="M731" i="61"/>
  <c r="M741" i="61"/>
  <c r="M766" i="61"/>
  <c r="N731" i="61"/>
  <c r="K766" i="61"/>
  <c r="L776" i="61"/>
  <c r="L778" i="61" s="1"/>
  <c r="L780" i="61" s="1"/>
  <c r="O729" i="61"/>
  <c r="K738" i="61"/>
  <c r="O779" i="61"/>
  <c r="M735" i="61"/>
  <c r="O739" i="61"/>
  <c r="O757" i="61"/>
  <c r="J747" i="61"/>
  <c r="O718" i="61"/>
  <c r="O751" i="61"/>
  <c r="P847" i="61"/>
  <c r="O777" i="61"/>
  <c r="L738" i="61"/>
  <c r="O720" i="61"/>
  <c r="N771" i="61"/>
  <c r="O769" i="61"/>
  <c r="L735" i="61"/>
  <c r="O722" i="61"/>
  <c r="O748" i="61"/>
  <c r="K747" i="61"/>
  <c r="O755" i="61"/>
  <c r="O761" i="61"/>
  <c r="O758" i="61"/>
  <c r="L745" i="61"/>
  <c r="O759" i="61"/>
  <c r="N719" i="61"/>
  <c r="N721" i="61" s="1"/>
  <c r="N723" i="61" s="1"/>
  <c r="J735" i="61"/>
  <c r="M772" i="61"/>
  <c r="N738" i="61"/>
  <c r="L719" i="61"/>
  <c r="L721" i="61" s="1"/>
  <c r="L723" i="61" s="1"/>
  <c r="J767" i="61"/>
  <c r="J731" i="61"/>
  <c r="O845" i="61"/>
  <c r="O770" i="61"/>
  <c r="K765" i="61"/>
  <c r="L771" i="61"/>
  <c r="M745" i="61"/>
  <c r="M747" i="61"/>
  <c r="O730" i="61"/>
  <c r="O726" i="61"/>
  <c r="L727" i="61"/>
  <c r="O736" i="61"/>
  <c r="O750" i="61"/>
  <c r="N747" i="61"/>
  <c r="O754" i="61"/>
  <c r="J768" i="61"/>
  <c r="L766" i="61"/>
  <c r="O762" i="61"/>
  <c r="M776" i="61"/>
  <c r="M778" i="61" s="1"/>
  <c r="M780" i="61" s="1"/>
  <c r="J745" i="61"/>
  <c r="O733" i="61"/>
  <c r="O749" i="61"/>
  <c r="O737" i="61"/>
  <c r="K745" i="61"/>
  <c r="K727" i="61"/>
  <c r="K741" i="61"/>
  <c r="L772" i="61"/>
  <c r="O756" i="61"/>
  <c r="O740" i="61"/>
  <c r="O752" i="61"/>
  <c r="N745" i="61"/>
  <c r="J738" i="61"/>
  <c r="O753" i="61"/>
  <c r="P845" i="61"/>
  <c r="O760" i="61"/>
  <c r="O846" i="61"/>
  <c r="E875" i="61"/>
  <c r="E881" i="61" s="1"/>
  <c r="F873" i="61"/>
  <c r="F878" i="61"/>
  <c r="F880" i="61"/>
  <c r="G872" i="61"/>
  <c r="F874" i="61"/>
  <c r="L170" i="11"/>
  <c r="E894" i="61" l="1"/>
  <c r="O771" i="61"/>
  <c r="O766" i="61"/>
  <c r="O747" i="61"/>
  <c r="O765" i="61"/>
  <c r="O767" i="61"/>
  <c r="O768" i="61"/>
  <c r="O741" i="61"/>
  <c r="O719" i="61"/>
  <c r="O738" i="61"/>
  <c r="O735" i="61"/>
  <c r="O731" i="61"/>
  <c r="O723" i="61"/>
  <c r="J842" i="61" s="1"/>
  <c r="O780" i="61"/>
  <c r="O721" i="61"/>
  <c r="O745" i="61"/>
  <c r="O848" i="61" s="1"/>
  <c r="O772" i="61"/>
  <c r="O727" i="61"/>
  <c r="O776" i="61"/>
  <c r="O778" i="61"/>
  <c r="F875" i="61"/>
  <c r="F881" i="61" s="1"/>
  <c r="H872" i="61"/>
  <c r="G880" i="61"/>
  <c r="G874" i="61"/>
  <c r="G873" i="61"/>
  <c r="G878" i="61"/>
  <c r="F894" i="61" l="1"/>
  <c r="O849" i="61"/>
  <c r="J843" i="61"/>
  <c r="J841" i="61"/>
  <c r="P848" i="61"/>
  <c r="P849" i="61" s="1"/>
  <c r="N842" i="61" s="1"/>
  <c r="H880" i="61"/>
  <c r="H878" i="61"/>
  <c r="H874" i="61"/>
  <c r="H873" i="61"/>
  <c r="I872" i="61"/>
  <c r="G875" i="61"/>
  <c r="G881" i="61" s="1"/>
  <c r="E105" i="8"/>
  <c r="F76" i="8"/>
  <c r="J76" i="8"/>
  <c r="C46" i="8"/>
  <c r="G46" i="8"/>
  <c r="K46" i="8"/>
  <c r="F18" i="8"/>
  <c r="J18" i="8"/>
  <c r="N44" i="7"/>
  <c r="F188" i="59"/>
  <c r="K185" i="59"/>
  <c r="F177" i="59"/>
  <c r="K175" i="59"/>
  <c r="F168" i="59"/>
  <c r="P167" i="59"/>
  <c r="K166" i="59"/>
  <c r="U161" i="59"/>
  <c r="K159" i="59"/>
  <c r="F105" i="8" s="1"/>
  <c r="J159" i="59"/>
  <c r="I159" i="59"/>
  <c r="D105" i="8" s="1"/>
  <c r="H159" i="59"/>
  <c r="C105" i="8" s="1"/>
  <c r="G159" i="59"/>
  <c r="B105" i="8" s="1"/>
  <c r="U156" i="59"/>
  <c r="K155" i="59"/>
  <c r="F104" i="8" s="1"/>
  <c r="J155" i="59"/>
  <c r="E104" i="8" s="1"/>
  <c r="I155" i="59"/>
  <c r="D104" i="8" s="1"/>
  <c r="H155" i="59"/>
  <c r="C104" i="8" s="1"/>
  <c r="G155" i="59"/>
  <c r="B104" i="8" s="1"/>
  <c r="U152" i="59"/>
  <c r="P150" i="59"/>
  <c r="K76" i="8" s="1"/>
  <c r="O150" i="59"/>
  <c r="N150" i="59"/>
  <c r="I76" i="8" s="1"/>
  <c r="M150" i="59"/>
  <c r="H76" i="8" s="1"/>
  <c r="L150" i="59"/>
  <c r="G76" i="8" s="1"/>
  <c r="K150" i="59"/>
  <c r="J150" i="59"/>
  <c r="E76" i="8" s="1"/>
  <c r="I150" i="59"/>
  <c r="D76" i="8" s="1"/>
  <c r="H150" i="59"/>
  <c r="C76" i="8" s="1"/>
  <c r="G150" i="59"/>
  <c r="B76" i="8" s="1"/>
  <c r="U147" i="59"/>
  <c r="P146" i="59"/>
  <c r="K75" i="8" s="1"/>
  <c r="O146" i="59"/>
  <c r="J75" i="8" s="1"/>
  <c r="N146" i="59"/>
  <c r="I75" i="8" s="1"/>
  <c r="M146" i="59"/>
  <c r="H75" i="8" s="1"/>
  <c r="L146" i="59"/>
  <c r="G75" i="8" s="1"/>
  <c r="K146" i="59"/>
  <c r="F75" i="8" s="1"/>
  <c r="J146" i="59"/>
  <c r="E75" i="8" s="1"/>
  <c r="I146" i="59"/>
  <c r="D75" i="8" s="1"/>
  <c r="H146" i="59"/>
  <c r="C75" i="8" s="1"/>
  <c r="G146" i="59"/>
  <c r="B75" i="8" s="1"/>
  <c r="U143" i="59"/>
  <c r="P141" i="59"/>
  <c r="K47" i="8" s="1"/>
  <c r="O141" i="59"/>
  <c r="J47" i="8" s="1"/>
  <c r="N141" i="59"/>
  <c r="I47" i="8" s="1"/>
  <c r="M141" i="59"/>
  <c r="H47" i="8" s="1"/>
  <c r="L141" i="59"/>
  <c r="G47" i="8" s="1"/>
  <c r="K141" i="59"/>
  <c r="F47" i="8" s="1"/>
  <c r="J141" i="59"/>
  <c r="E47" i="8" s="1"/>
  <c r="I141" i="59"/>
  <c r="D47" i="8" s="1"/>
  <c r="H141" i="59"/>
  <c r="C47" i="8" s="1"/>
  <c r="G141" i="59"/>
  <c r="B47" i="8" s="1"/>
  <c r="U138" i="59"/>
  <c r="P137" i="59"/>
  <c r="O137" i="59"/>
  <c r="J46" i="8" s="1"/>
  <c r="N137" i="59"/>
  <c r="I46" i="8" s="1"/>
  <c r="M137" i="59"/>
  <c r="H46" i="8" s="1"/>
  <c r="L137" i="59"/>
  <c r="K137" i="59"/>
  <c r="F46" i="8" s="1"/>
  <c r="J137" i="59"/>
  <c r="E46" i="8" s="1"/>
  <c r="I137" i="59"/>
  <c r="D46" i="8" s="1"/>
  <c r="H137" i="59"/>
  <c r="G137" i="59"/>
  <c r="B46" i="8" s="1"/>
  <c r="U134" i="59"/>
  <c r="P132" i="59"/>
  <c r="K18" i="8" s="1"/>
  <c r="O132" i="59"/>
  <c r="N132" i="59"/>
  <c r="I18" i="8" s="1"/>
  <c r="M132" i="59"/>
  <c r="H18" i="8" s="1"/>
  <c r="L132" i="59"/>
  <c r="G18" i="8" s="1"/>
  <c r="K132" i="59"/>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08" i="61" s="1"/>
  <c r="Q47" i="59"/>
  <c r="Q708"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07" i="61" s="1"/>
  <c r="Q46" i="59"/>
  <c r="Q707"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06" i="61" s="1"/>
  <c r="Q45" i="59"/>
  <c r="Q706"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05" i="61" s="1"/>
  <c r="Q44" i="59"/>
  <c r="Q705"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04" i="61" s="1"/>
  <c r="Q43" i="59"/>
  <c r="Q704"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03" i="61" s="1"/>
  <c r="Q42" i="59"/>
  <c r="Q703"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02" i="61" s="1"/>
  <c r="Q41" i="59"/>
  <c r="Q702"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01" i="61" s="1"/>
  <c r="Q40" i="59"/>
  <c r="Q701"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00" i="61" s="1"/>
  <c r="Q39" i="59"/>
  <c r="Q700"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699" i="61" s="1"/>
  <c r="Q38" i="59"/>
  <c r="Q699"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698" i="61" s="1"/>
  <c r="Q37" i="59"/>
  <c r="Q698"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697" i="61" s="1"/>
  <c r="Q36" i="59"/>
  <c r="Q697"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696" i="61" s="1"/>
  <c r="Q35" i="59"/>
  <c r="Q696"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695" i="61" s="1"/>
  <c r="Q34" i="59"/>
  <c r="Q695"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694" i="61" s="1"/>
  <c r="Q33" i="59"/>
  <c r="Q694"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693" i="61" s="1"/>
  <c r="Q32" i="59"/>
  <c r="Q693"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692" i="61" s="1"/>
  <c r="Q31" i="59"/>
  <c r="Q692"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691" i="61" s="1"/>
  <c r="Q30" i="59"/>
  <c r="Q691"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690" i="61" s="1"/>
  <c r="Q29" i="59"/>
  <c r="Q690"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689" i="61" s="1"/>
  <c r="Q28" i="59"/>
  <c r="Q689"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688" i="61" s="1"/>
  <c r="Q27" i="59"/>
  <c r="Q688"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687" i="61" s="1"/>
  <c r="Q26" i="59"/>
  <c r="Q687"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686" i="61" s="1"/>
  <c r="Q25" i="59"/>
  <c r="Q686"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685" i="61" s="1"/>
  <c r="Q24" i="59"/>
  <c r="Q685"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684" i="61" s="1"/>
  <c r="Q23" i="59"/>
  <c r="Q684"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683" i="61" s="1"/>
  <c r="Q22" i="59"/>
  <c r="Q683"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682" i="61" s="1"/>
  <c r="Q21" i="59"/>
  <c r="Q682"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681" i="61" s="1"/>
  <c r="Q20" i="59"/>
  <c r="Q681"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680" i="61" s="1"/>
  <c r="Q19" i="59"/>
  <c r="Q680"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679" i="61" s="1"/>
  <c r="Q18" i="59"/>
  <c r="Q679"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678"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677"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675"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674"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673"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671" i="61" s="1"/>
  <c r="K10" i="59"/>
  <c r="L10" i="59" s="1"/>
  <c r="A10" i="59"/>
  <c r="U3" i="59"/>
  <c r="N69" i="61" l="1"/>
  <c r="K1653" i="61"/>
  <c r="K222" i="11"/>
  <c r="P69" i="61"/>
  <c r="L1745" i="61"/>
  <c r="L314" i="11"/>
  <c r="G894" i="61"/>
  <c r="Q676" i="61"/>
  <c r="Q672" i="61"/>
  <c r="H875" i="61"/>
  <c r="H881" i="61" s="1"/>
  <c r="I880" i="61"/>
  <c r="I873" i="61"/>
  <c r="J872" i="61"/>
  <c r="I874" i="61"/>
  <c r="I878"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873"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4" i="11"/>
  <c r="P1825" i="61" s="1"/>
  <c r="O394" i="11"/>
  <c r="O1825" i="61" s="1"/>
  <c r="L1825" i="61" s="1"/>
  <c r="K183" i="11"/>
  <c r="H894" i="61" l="1"/>
  <c r="L66" i="59"/>
  <c r="N110" i="59"/>
  <c r="F1067" i="61" s="1"/>
  <c r="K58" i="6"/>
  <c r="K1057" i="61"/>
  <c r="K61" i="6"/>
  <c r="K1060" i="61"/>
  <c r="F58" i="6"/>
  <c r="F1057" i="61"/>
  <c r="K60" i="6"/>
  <c r="K1059" i="61"/>
  <c r="F61" i="6"/>
  <c r="F1060" i="61"/>
  <c r="F59" i="6"/>
  <c r="F1058" i="61"/>
  <c r="F57" i="6"/>
  <c r="F1056" i="61"/>
  <c r="K59" i="6"/>
  <c r="K1058" i="61"/>
  <c r="F60" i="6"/>
  <c r="F1059" i="61"/>
  <c r="K57" i="6"/>
  <c r="K1056" i="61"/>
  <c r="N58" i="59"/>
  <c r="N60" i="59" s="1"/>
  <c r="N62" i="59" s="1"/>
  <c r="I875" i="61"/>
  <c r="I881" i="61" s="1"/>
  <c r="J873" i="61"/>
  <c r="J874" i="61"/>
  <c r="J878" i="61"/>
  <c r="J880" i="61"/>
  <c r="K872"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894" i="61" l="1"/>
  <c r="F68" i="6"/>
  <c r="O122" i="59"/>
  <c r="H783" i="61"/>
  <c r="O783" i="61" s="1"/>
  <c r="B874" i="61"/>
  <c r="B875" i="61" s="1"/>
  <c r="H1057" i="61"/>
  <c r="K68" i="6"/>
  <c r="K1067" i="61"/>
  <c r="K47" i="6"/>
  <c r="K1046" i="61"/>
  <c r="K46" i="6"/>
  <c r="K1045" i="61"/>
  <c r="K66" i="6"/>
  <c r="K1065" i="61"/>
  <c r="F46" i="6"/>
  <c r="F1045" i="61"/>
  <c r="N1056" i="61"/>
  <c r="N1061" i="61" s="1"/>
  <c r="K1061" i="61"/>
  <c r="M1056" i="61"/>
  <c r="H1058" i="61"/>
  <c r="H1067" i="61"/>
  <c r="K45" i="6"/>
  <c r="K1044" i="61"/>
  <c r="H56" i="7"/>
  <c r="H81" i="61"/>
  <c r="F47" i="6"/>
  <c r="F1046" i="61"/>
  <c r="H1059" i="61"/>
  <c r="H1060" i="61"/>
  <c r="M1060" i="61"/>
  <c r="N1060" i="61"/>
  <c r="F50" i="6"/>
  <c r="F1049" i="61"/>
  <c r="F1061" i="61"/>
  <c r="H1056" i="61"/>
  <c r="F64" i="6"/>
  <c r="F1063" i="61"/>
  <c r="F67" i="6"/>
  <c r="F1066" i="61"/>
  <c r="F66" i="6"/>
  <c r="F1065" i="61"/>
  <c r="F45" i="6"/>
  <c r="F1044" i="61"/>
  <c r="K65" i="6"/>
  <c r="K1064" i="61"/>
  <c r="K53" i="6"/>
  <c r="K1052" i="61"/>
  <c r="K52" i="6"/>
  <c r="K1051" i="61"/>
  <c r="K50" i="6"/>
  <c r="K1049" i="61"/>
  <c r="F65" i="6"/>
  <c r="F1064" i="61"/>
  <c r="K64" i="6"/>
  <c r="K1063" i="61"/>
  <c r="F53" i="6"/>
  <c r="F1052" i="61"/>
  <c r="K67" i="6"/>
  <c r="K1066" i="61"/>
  <c r="M1058" i="61"/>
  <c r="N1058" i="61"/>
  <c r="N1059" i="61"/>
  <c r="M1059" i="61"/>
  <c r="M1057" i="61"/>
  <c r="N1057" i="61"/>
  <c r="F51" i="6"/>
  <c r="F1050" i="61"/>
  <c r="P54" i="7"/>
  <c r="P79" i="61"/>
  <c r="F52" i="6"/>
  <c r="F1051" i="61"/>
  <c r="K54" i="6"/>
  <c r="K1053" i="61"/>
  <c r="K43" i="6"/>
  <c r="K1042" i="61"/>
  <c r="F54" i="6"/>
  <c r="F1053" i="61"/>
  <c r="F44" i="6"/>
  <c r="F1043" i="61"/>
  <c r="F43" i="6"/>
  <c r="F1042" i="61"/>
  <c r="K44" i="6"/>
  <c r="K1043" i="61"/>
  <c r="K51" i="6"/>
  <c r="K1050" i="61"/>
  <c r="H52" i="7"/>
  <c r="H77" i="61"/>
  <c r="P52" i="7"/>
  <c r="P77" i="61"/>
  <c r="H79" i="61"/>
  <c r="H1552" i="61"/>
  <c r="I52" i="7"/>
  <c r="I77" i="61"/>
  <c r="H53" i="7"/>
  <c r="H78" i="61"/>
  <c r="I53" i="7"/>
  <c r="I78" i="61"/>
  <c r="K878" i="61"/>
  <c r="B901" i="61"/>
  <c r="K880" i="61"/>
  <c r="K874" i="61"/>
  <c r="K873" i="61"/>
  <c r="J875" i="61"/>
  <c r="J881" i="61" s="1"/>
  <c r="B15" i="8"/>
  <c r="H54" i="7"/>
  <c r="H121"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1" i="11"/>
  <c r="P1662" i="61" s="1"/>
  <c r="N239" i="11"/>
  <c r="L239" i="11"/>
  <c r="L232" i="11"/>
  <c r="N232" i="11"/>
  <c r="O231" i="11"/>
  <c r="O1662" i="61" s="1"/>
  <c r="J894" i="61" l="1"/>
  <c r="I76" i="61"/>
  <c r="H1043" i="61"/>
  <c r="H1051" i="61"/>
  <c r="M1063" i="61"/>
  <c r="K1068" i="61"/>
  <c r="N1063" i="61"/>
  <c r="N1068" i="61" s="1"/>
  <c r="N1052" i="61"/>
  <c r="M1052" i="61"/>
  <c r="H1066" i="61"/>
  <c r="M1045" i="61"/>
  <c r="N1045" i="61"/>
  <c r="N1050" i="61"/>
  <c r="M1050" i="61"/>
  <c r="H1053" i="61"/>
  <c r="H1064" i="61"/>
  <c r="M1064" i="61"/>
  <c r="N1064" i="61"/>
  <c r="H1063" i="61"/>
  <c r="F1068" i="61"/>
  <c r="M1046" i="61"/>
  <c r="N1046" i="61"/>
  <c r="N1043" i="61"/>
  <c r="M1043" i="61"/>
  <c r="M1042" i="61"/>
  <c r="K1047" i="61"/>
  <c r="N1042" i="61"/>
  <c r="N1047" i="61" s="1"/>
  <c r="H1050" i="61"/>
  <c r="M1066" i="61"/>
  <c r="N1066" i="61"/>
  <c r="M1049" i="61"/>
  <c r="N1049" i="61"/>
  <c r="N1054" i="61" s="1"/>
  <c r="K1054" i="61"/>
  <c r="H1044" i="61"/>
  <c r="H1045" i="61"/>
  <c r="M1067" i="61"/>
  <c r="N1067" i="61"/>
  <c r="L320" i="11"/>
  <c r="P70" i="61"/>
  <c r="L1751" i="61"/>
  <c r="M1044" i="61"/>
  <c r="N1044" i="61"/>
  <c r="H1042" i="61"/>
  <c r="F1047" i="61"/>
  <c r="N1053" i="61"/>
  <c r="M1053" i="61"/>
  <c r="H1052" i="61"/>
  <c r="N1051" i="61"/>
  <c r="M1051" i="61"/>
  <c r="H1065" i="61"/>
  <c r="M1065" i="61"/>
  <c r="N1065" i="61"/>
  <c r="H1049" i="61"/>
  <c r="F1054" i="61"/>
  <c r="H1046" i="61"/>
  <c r="K1469" i="61"/>
  <c r="K1465" i="61"/>
  <c r="J1462" i="61"/>
  <c r="L1466" i="61"/>
  <c r="K1466" i="61"/>
  <c r="P171" i="61"/>
  <c r="L1465" i="61"/>
  <c r="P170" i="61"/>
  <c r="L1469" i="61"/>
  <c r="F472" i="61"/>
  <c r="H1759" i="61"/>
  <c r="M1737" i="61"/>
  <c r="N101" i="61"/>
  <c r="D1759" i="61"/>
  <c r="F552" i="61"/>
  <c r="N98" i="61"/>
  <c r="L1752" i="61"/>
  <c r="I1729" i="61"/>
  <c r="E529" i="61"/>
  <c r="J1552" i="61"/>
  <c r="L1552" i="61" s="1"/>
  <c r="L1746" i="61"/>
  <c r="L1747" i="61" s="1"/>
  <c r="O1654" i="61"/>
  <c r="K1652" i="61"/>
  <c r="D562" i="61"/>
  <c r="J472" i="61"/>
  <c r="H45" i="7"/>
  <c r="H70" i="61"/>
  <c r="K1654" i="61"/>
  <c r="H69" i="61"/>
  <c r="M582" i="61"/>
  <c r="M583" i="61" s="1"/>
  <c r="M585" i="61" s="1"/>
  <c r="L1729" i="61"/>
  <c r="J582" i="61"/>
  <c r="J583" i="61" s="1"/>
  <c r="J585" i="61" s="1"/>
  <c r="P582" i="61"/>
  <c r="P583" i="61" s="1"/>
  <c r="P585" i="61" s="1"/>
  <c r="P51" i="7"/>
  <c r="P76" i="61"/>
  <c r="P78" i="61" s="1"/>
  <c r="P80" i="61" s="1"/>
  <c r="P85" i="61" s="1"/>
  <c r="H46" i="7"/>
  <c r="H71" i="61"/>
  <c r="H76" i="61"/>
  <c r="H80" i="61" s="1"/>
  <c r="H82" i="61" s="1"/>
  <c r="B909" i="61"/>
  <c r="C901" i="61"/>
  <c r="B907" i="61"/>
  <c r="B903" i="61"/>
  <c r="B902" i="61"/>
  <c r="K875" i="61"/>
  <c r="K894" i="61" s="1"/>
  <c r="K881" i="61"/>
  <c r="H44" i="7"/>
  <c r="K223" i="11"/>
  <c r="K38" i="11"/>
  <c r="K34" i="11"/>
  <c r="L34" i="11"/>
  <c r="J31" i="11"/>
  <c r="L35" i="11"/>
  <c r="L38" i="11"/>
  <c r="K35" i="11"/>
  <c r="P153" i="15"/>
  <c r="M153" i="15"/>
  <c r="J153" i="15"/>
  <c r="L298" i="11"/>
  <c r="K221" i="11"/>
  <c r="E100" i="15"/>
  <c r="H328" i="11"/>
  <c r="L315" i="11"/>
  <c r="I298" i="11"/>
  <c r="J121" i="11"/>
  <c r="D328" i="11"/>
  <c r="O223" i="11"/>
  <c r="M306" i="11"/>
  <c r="L321" i="11"/>
  <c r="P146" i="7"/>
  <c r="P145" i="7"/>
  <c r="P187" i="59"/>
  <c r="P188" i="59" s="1"/>
  <c r="N181" i="59" s="1"/>
  <c r="P180" i="59" s="1"/>
  <c r="P45" i="7"/>
  <c r="F123" i="15"/>
  <c r="N73" i="7"/>
  <c r="N76" i="7"/>
  <c r="O188" i="59"/>
  <c r="O187" i="59"/>
  <c r="J182" i="59"/>
  <c r="J180" i="59"/>
  <c r="J181" i="59"/>
  <c r="A4" i="41"/>
  <c r="L1753" i="61" l="1"/>
  <c r="K1070" i="61"/>
  <c r="N1070" i="61"/>
  <c r="F1070" i="61"/>
  <c r="P179" i="59"/>
  <c r="P841" i="61"/>
  <c r="P840" i="61" s="1"/>
  <c r="J586" i="61"/>
  <c r="B904" i="61"/>
  <c r="B910" i="61" s="1"/>
  <c r="C903" i="61"/>
  <c r="C907" i="61"/>
  <c r="D901" i="61"/>
  <c r="C909" i="61"/>
  <c r="C902" i="61"/>
  <c r="B923" i="61" l="1"/>
  <c r="B21" i="8"/>
  <c r="B880" i="61"/>
  <c r="D909" i="61"/>
  <c r="D907" i="61"/>
  <c r="E901" i="61"/>
  <c r="D902" i="61"/>
  <c r="D903" i="61"/>
  <c r="C904" i="61"/>
  <c r="C910"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923" i="61" l="1"/>
  <c r="D904" i="61"/>
  <c r="D910" i="61" s="1"/>
  <c r="E907" i="61"/>
  <c r="E902" i="61"/>
  <c r="E909" i="61"/>
  <c r="E903" i="61"/>
  <c r="F901" i="61"/>
  <c r="J387" i="11"/>
  <c r="P374" i="11" s="1"/>
  <c r="P1805" i="61" s="1"/>
  <c r="I387" i="11"/>
  <c r="O374" i="11" s="1"/>
  <c r="K383" i="11"/>
  <c r="H384" i="11"/>
  <c r="O1805" i="61" l="1"/>
  <c r="J161" i="11"/>
  <c r="J1592" i="61" s="1"/>
  <c r="O1592" i="61" s="1"/>
  <c r="R1592" i="61" s="1"/>
  <c r="E923" i="61"/>
  <c r="D923" i="61"/>
  <c r="E904" i="61"/>
  <c r="E910" i="61" s="1"/>
  <c r="G901" i="61"/>
  <c r="F909" i="61"/>
  <c r="F903" i="61"/>
  <c r="F902" i="61"/>
  <c r="F907" i="61"/>
  <c r="L352" i="11"/>
  <c r="L351" i="11"/>
  <c r="G909" i="61" l="1"/>
  <c r="G903" i="61"/>
  <c r="G907" i="61"/>
  <c r="H901" i="61"/>
  <c r="G902" i="61"/>
  <c r="F904" i="61"/>
  <c r="F910" i="61" s="1"/>
  <c r="L337" i="11"/>
  <c r="F923" i="61" l="1"/>
  <c r="G904" i="61"/>
  <c r="G923" i="61" s="1"/>
  <c r="H909" i="61"/>
  <c r="H907" i="61"/>
  <c r="I901" i="61"/>
  <c r="H902" i="61"/>
  <c r="H903" i="61"/>
  <c r="P298" i="11"/>
  <c r="P1729" i="61" s="1"/>
  <c r="G910" i="61" l="1"/>
  <c r="I902" i="61"/>
  <c r="I907" i="61"/>
  <c r="I909" i="61"/>
  <c r="J901" i="61"/>
  <c r="I903" i="61"/>
  <c r="H904" i="61"/>
  <c r="H910" i="61" s="1"/>
  <c r="D241" i="11"/>
  <c r="L241" i="11"/>
  <c r="I923" i="61" l="1"/>
  <c r="H923" i="61"/>
  <c r="I904" i="61"/>
  <c r="I910" i="61" s="1"/>
  <c r="J907" i="61"/>
  <c r="K901" i="61"/>
  <c r="J903" i="61"/>
  <c r="J902" i="61"/>
  <c r="J909" i="61"/>
  <c r="F227" i="11"/>
  <c r="F224" i="11"/>
  <c r="F223" i="11"/>
  <c r="G224" i="11"/>
  <c r="C224" i="11"/>
  <c r="G227" i="11"/>
  <c r="C227" i="11"/>
  <c r="G223" i="11"/>
  <c r="C223" i="11"/>
  <c r="B930" i="61" l="1"/>
  <c r="K903" i="61"/>
  <c r="K909" i="61"/>
  <c r="K902" i="61"/>
  <c r="K907" i="61"/>
  <c r="J904" i="61"/>
  <c r="J910" i="61" s="1"/>
  <c r="L227" i="11"/>
  <c r="L226" i="11"/>
  <c r="L225" i="11"/>
  <c r="L224" i="11"/>
  <c r="M227" i="11"/>
  <c r="J227" i="11"/>
  <c r="M226" i="11"/>
  <c r="J226" i="11"/>
  <c r="M225" i="11"/>
  <c r="J225" i="11"/>
  <c r="M224" i="11"/>
  <c r="J224" i="11"/>
  <c r="F221" i="11"/>
  <c r="S196" i="11"/>
  <c r="R196" i="11"/>
  <c r="S195" i="11"/>
  <c r="R195" i="11"/>
  <c r="S194" i="11"/>
  <c r="R194" i="11"/>
  <c r="S193" i="11"/>
  <c r="R193" i="11"/>
  <c r="J923" i="61" l="1"/>
  <c r="B938" i="61"/>
  <c r="B936" i="61"/>
  <c r="B932" i="61"/>
  <c r="C930" i="61"/>
  <c r="B931" i="61"/>
  <c r="K904" i="61"/>
  <c r="K910" i="61" s="1"/>
  <c r="P191" i="11"/>
  <c r="P1622" i="61" s="1"/>
  <c r="O191" i="11"/>
  <c r="O1622" i="61" s="1"/>
  <c r="S158" i="11"/>
  <c r="S159" i="11"/>
  <c r="S160" i="11"/>
  <c r="S161" i="11"/>
  <c r="S162" i="11"/>
  <c r="O161" i="11"/>
  <c r="R161" i="11" s="1"/>
  <c r="K923" i="61" l="1"/>
  <c r="B939" i="61"/>
  <c r="B933" i="61"/>
  <c r="B952" i="61" s="1"/>
  <c r="D930" i="61"/>
  <c r="C931" i="61"/>
  <c r="C932" i="61"/>
  <c r="C936" i="61"/>
  <c r="C938" i="61"/>
  <c r="P118" i="11"/>
  <c r="P1549" i="61" s="1"/>
  <c r="O118" i="11"/>
  <c r="O1549" i="61" s="1"/>
  <c r="Q113" i="11"/>
  <c r="C933" i="61" l="1"/>
  <c r="C939" i="61" s="1"/>
  <c r="D931" i="61"/>
  <c r="D938" i="61"/>
  <c r="D932" i="61"/>
  <c r="D936" i="61"/>
  <c r="E930" i="61"/>
  <c r="L249" i="11"/>
  <c r="L247" i="11"/>
  <c r="D952" i="61" l="1"/>
  <c r="C952" i="61"/>
  <c r="F930" i="61"/>
  <c r="E938" i="61"/>
  <c r="E932" i="61"/>
  <c r="E931" i="61"/>
  <c r="E936" i="61"/>
  <c r="D933" i="61"/>
  <c r="D939" i="61" s="1"/>
  <c r="L343" i="11"/>
  <c r="F938" i="61" l="1"/>
  <c r="F936" i="61"/>
  <c r="F932" i="61"/>
  <c r="G930" i="61"/>
  <c r="F931" i="61"/>
  <c r="E933" i="61"/>
  <c r="E939" i="61" s="1"/>
  <c r="F226" i="11"/>
  <c r="F225" i="11"/>
  <c r="F222" i="11"/>
  <c r="G226" i="11"/>
  <c r="G225" i="11"/>
  <c r="G222" i="11"/>
  <c r="G221" i="11"/>
  <c r="C226" i="11"/>
  <c r="C225" i="11"/>
  <c r="C222" i="11"/>
  <c r="C221" i="11"/>
  <c r="F952" i="61" l="1"/>
  <c r="E952" i="61"/>
  <c r="F933" i="61"/>
  <c r="F939" i="61" s="1"/>
  <c r="G936" i="61"/>
  <c r="H930" i="61"/>
  <c r="G938" i="61"/>
  <c r="G931" i="61"/>
  <c r="G932" i="61"/>
  <c r="J170" i="11"/>
  <c r="H931" i="61" l="1"/>
  <c r="I930" i="61"/>
  <c r="H938" i="61"/>
  <c r="H932" i="61"/>
  <c r="H936" i="61"/>
  <c r="G933" i="61"/>
  <c r="G939" i="61" s="1"/>
  <c r="G952" i="61" l="1"/>
  <c r="H933" i="61"/>
  <c r="H952" i="61" s="1"/>
  <c r="J930" i="61"/>
  <c r="I938" i="61"/>
  <c r="I932" i="61"/>
  <c r="I931" i="61"/>
  <c r="I936" i="61"/>
  <c r="H939" i="61" l="1"/>
  <c r="I952" i="61"/>
  <c r="J938" i="61"/>
  <c r="J936" i="61"/>
  <c r="J932" i="61"/>
  <c r="J931" i="61"/>
  <c r="K930" i="61"/>
  <c r="I933" i="61"/>
  <c r="I939" i="61" s="1"/>
  <c r="K938" i="61" l="1"/>
  <c r="K932" i="61"/>
  <c r="B959" i="61"/>
  <c r="K936" i="61"/>
  <c r="K931" i="61"/>
  <c r="J933" i="61"/>
  <c r="J939" i="61" s="1"/>
  <c r="O164" i="15"/>
  <c r="A2" i="41"/>
  <c r="M383" i="11"/>
  <c r="K952" i="61" l="1"/>
  <c r="J952" i="61"/>
  <c r="K933" i="61"/>
  <c r="K939" i="61" s="1"/>
  <c r="B965" i="61"/>
  <c r="B961" i="61"/>
  <c r="B967" i="61"/>
  <c r="C959" i="61"/>
  <c r="B960" i="61"/>
  <c r="V145" i="15"/>
  <c r="V129" i="15"/>
  <c r="V125" i="15"/>
  <c r="V117" i="15"/>
  <c r="V111" i="15"/>
  <c r="V105" i="15"/>
  <c r="V91" i="15"/>
  <c r="V83" i="15"/>
  <c r="V77" i="15"/>
  <c r="V38" i="15"/>
  <c r="V33" i="15"/>
  <c r="V27" i="15"/>
  <c r="V23" i="15"/>
  <c r="V17" i="15"/>
  <c r="B962" i="61" l="1"/>
  <c r="B968" i="61" s="1"/>
  <c r="C960" i="61"/>
  <c r="D959" i="61"/>
  <c r="C965" i="61"/>
  <c r="C961" i="61"/>
  <c r="C967" i="61"/>
  <c r="V131" i="15"/>
  <c r="C981" i="61" l="1"/>
  <c r="B981" i="61"/>
  <c r="D967" i="61"/>
  <c r="D961" i="61"/>
  <c r="D960" i="61"/>
  <c r="E959" i="61"/>
  <c r="D965" i="61"/>
  <c r="C962" i="61"/>
  <c r="C968" i="61" s="1"/>
  <c r="H4" i="51"/>
  <c r="E5" i="51"/>
  <c r="E4" i="51"/>
  <c r="E961" i="61" l="1"/>
  <c r="E965" i="61"/>
  <c r="E960" i="61"/>
  <c r="E967" i="61"/>
  <c r="F959" i="61"/>
  <c r="D962" i="61"/>
  <c r="D981" i="61" s="1"/>
  <c r="D968" i="61"/>
  <c r="D56" i="51"/>
  <c r="E56" i="51"/>
  <c r="F56" i="51"/>
  <c r="G56" i="51"/>
  <c r="H56" i="51"/>
  <c r="C56" i="51"/>
  <c r="D36" i="51"/>
  <c r="E36" i="51"/>
  <c r="F36" i="51"/>
  <c r="G36" i="51"/>
  <c r="H36" i="51"/>
  <c r="I36" i="51"/>
  <c r="C36" i="51"/>
  <c r="D16" i="51"/>
  <c r="E16" i="51"/>
  <c r="F16" i="51"/>
  <c r="G16" i="51"/>
  <c r="H16" i="51"/>
  <c r="I16" i="51"/>
  <c r="C16" i="51"/>
  <c r="F965" i="61" l="1"/>
  <c r="F961" i="61"/>
  <c r="F967" i="61"/>
  <c r="F960" i="61"/>
  <c r="E962" i="61"/>
  <c r="E968" i="61" s="1"/>
  <c r="C11" i="53"/>
  <c r="C10" i="53"/>
  <c r="C9" i="53"/>
  <c r="C8" i="53"/>
  <c r="C7" i="53"/>
  <c r="G11" i="53"/>
  <c r="G10" i="53"/>
  <c r="G9" i="53"/>
  <c r="G8" i="53"/>
  <c r="G7" i="53"/>
  <c r="E981" i="61" l="1"/>
  <c r="F981" i="61"/>
  <c r="F962" i="61"/>
  <c r="F968" i="61" s="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0" i="11" l="1"/>
  <c r="B102" i="15"/>
  <c r="B101" i="15"/>
  <c r="B96" i="15"/>
  <c r="B97" i="15"/>
  <c r="F126" i="8"/>
  <c r="F985" i="61" s="1"/>
  <c r="E126" i="8"/>
  <c r="E985" i="61" s="1"/>
  <c r="D126" i="8"/>
  <c r="D985" i="61" s="1"/>
  <c r="C126" i="8"/>
  <c r="C985" i="61" s="1"/>
  <c r="B126" i="8"/>
  <c r="B985" i="61" s="1"/>
  <c r="F125" i="8"/>
  <c r="F984" i="61" s="1"/>
  <c r="E125" i="8"/>
  <c r="E984" i="61" s="1"/>
  <c r="D125" i="8"/>
  <c r="D984" i="61" s="1"/>
  <c r="C125" i="8"/>
  <c r="C984" i="61" s="1"/>
  <c r="B125" i="8"/>
  <c r="B984" i="61" s="1"/>
  <c r="P294" i="11"/>
  <c r="M370" i="6" l="1"/>
  <c r="S64" i="15"/>
  <c r="P64" i="15"/>
  <c r="M64" i="15"/>
  <c r="J64" i="15"/>
  <c r="G64" i="15"/>
  <c r="A3" i="6" l="1"/>
  <c r="H3" i="6" s="1"/>
  <c r="M114" i="11" l="1"/>
  <c r="M404" i="11" l="1"/>
  <c r="P43" i="11"/>
  <c r="P1474" i="61" s="1"/>
  <c r="O43" i="11"/>
  <c r="P328" i="11"/>
  <c r="P1759" i="61" s="1"/>
  <c r="O328" i="11"/>
  <c r="O1759" i="61" s="1"/>
  <c r="O367" i="11"/>
  <c r="O368" i="11"/>
  <c r="O366" i="11"/>
  <c r="M366" i="11"/>
  <c r="M367" i="11"/>
  <c r="M368" i="11"/>
  <c r="O1474" i="61" l="1"/>
  <c r="J158" i="11"/>
  <c r="J1589" i="61" s="1"/>
  <c r="O1589" i="61" s="1"/>
  <c r="R1589" i="61" s="1"/>
  <c r="O358" i="11"/>
  <c r="P358" i="11"/>
  <c r="P1789" i="61" s="1"/>
  <c r="O1789" i="61" l="1"/>
  <c r="J159" i="11"/>
  <c r="J1590" i="61" s="1"/>
  <c r="O1590" i="61" s="1"/>
  <c r="R1590" i="61" s="1"/>
  <c r="O158" i="11"/>
  <c r="R158" i="11" s="1"/>
  <c r="O159" i="11"/>
  <c r="R159" i="11" s="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3" i="11"/>
  <c r="K29" i="50" l="1"/>
  <c r="K26" i="50"/>
  <c r="C36" i="50"/>
  <c r="K35" i="50" l="1"/>
  <c r="K37" i="50"/>
  <c r="P405" i="11"/>
  <c r="P407" i="11"/>
  <c r="P406" i="11"/>
  <c r="L265" i="11" l="1"/>
  <c r="Q66" i="11"/>
  <c r="Q68" i="11"/>
  <c r="A100" i="11" l="1"/>
  <c r="A101" i="11"/>
  <c r="A102" i="11"/>
  <c r="A99" i="11"/>
  <c r="A97" i="11"/>
  <c r="A95" i="11"/>
  <c r="Q72" i="11"/>
  <c r="Q70" i="11"/>
  <c r="N74" i="7" l="1"/>
  <c r="J29" i="7"/>
  <c r="A1848" i="61" l="1"/>
  <c r="A3" i="62"/>
  <c r="A1" i="6"/>
  <c r="A1" i="8"/>
  <c r="A1" i="59"/>
  <c r="U1" i="59" s="1"/>
  <c r="A1" i="29"/>
  <c r="A1" i="15"/>
  <c r="A1" i="3"/>
  <c r="A1" i="18"/>
  <c r="A1" i="7"/>
  <c r="M1815" i="61"/>
  <c r="J54" i="61"/>
  <c r="G1672" i="61"/>
  <c r="A1875" i="61"/>
  <c r="A3" i="61"/>
  <c r="A364" i="61"/>
  <c r="M1817" i="61"/>
  <c r="I615" i="61"/>
  <c r="A1" i="47"/>
  <c r="A3" i="41"/>
  <c r="M386" i="11"/>
  <c r="M384" i="11"/>
  <c r="G241" i="11"/>
  <c r="C45" i="55"/>
  <c r="C33" i="57"/>
  <c r="E17" i="54"/>
  <c r="C31" i="55" s="1"/>
  <c r="I30" i="7"/>
  <c r="I55" i="61" s="1"/>
  <c r="H8" i="50"/>
  <c r="F14" i="49" s="1"/>
  <c r="A3" i="48" s="1"/>
  <c r="B28" i="8" l="1"/>
  <c r="B887" i="61" s="1"/>
  <c r="L312" i="11" l="1"/>
  <c r="I284" i="11"/>
  <c r="L245" i="11"/>
  <c r="G218" i="11"/>
  <c r="H218" i="11" s="1"/>
  <c r="J169" i="11"/>
  <c r="I88" i="11"/>
  <c r="O86" i="11" s="1"/>
  <c r="O1517" i="61" s="1"/>
  <c r="J65" i="11"/>
  <c r="O181" i="11" l="1"/>
  <c r="O1612" i="61" s="1"/>
  <c r="P86" i="11"/>
  <c r="P1517" i="61" s="1"/>
  <c r="P181" i="11"/>
  <c r="P1612" i="61" s="1"/>
  <c r="P177" i="11"/>
  <c r="P1608" i="61" s="1"/>
  <c r="O177" i="11"/>
  <c r="O1608" i="61" s="1"/>
  <c r="P56" i="11"/>
  <c r="P1487" i="61" s="1"/>
  <c r="O56" i="11"/>
  <c r="E112" i="11"/>
  <c r="O1487" i="61" l="1"/>
  <c r="G1058" i="61"/>
  <c r="I1058" i="61" s="1"/>
  <c r="G1045" i="61"/>
  <c r="I1045" i="61" s="1"/>
  <c r="G1043" i="61"/>
  <c r="I1043" i="61" s="1"/>
  <c r="G1067" i="61"/>
  <c r="I1067" i="61" s="1"/>
  <c r="G1065" i="61"/>
  <c r="I1065" i="61" s="1"/>
  <c r="G1063" i="61"/>
  <c r="I1063" i="61" s="1"/>
  <c r="I1068" i="61" s="1"/>
  <c r="G1059" i="61"/>
  <c r="I1059" i="61" s="1"/>
  <c r="G1056" i="61"/>
  <c r="I1056" i="61" s="1"/>
  <c r="I1061" i="61" s="1"/>
  <c r="G1052" i="61"/>
  <c r="I1052" i="61" s="1"/>
  <c r="G1050" i="61"/>
  <c r="I1050" i="61" s="1"/>
  <c r="G1046" i="61"/>
  <c r="I1046" i="61" s="1"/>
  <c r="G1053" i="61"/>
  <c r="I1053" i="61" s="1"/>
  <c r="G1051" i="61"/>
  <c r="I1051" i="61" s="1"/>
  <c r="G1049" i="61"/>
  <c r="I1049" i="61" s="1"/>
  <c r="I1054" i="61" s="1"/>
  <c r="G1057" i="61"/>
  <c r="I1057" i="61" s="1"/>
  <c r="G1044" i="61"/>
  <c r="I1044" i="61" s="1"/>
  <c r="G1042" i="61"/>
  <c r="I1042" i="61" s="1"/>
  <c r="I1047" i="61" s="1"/>
  <c r="G1066" i="61"/>
  <c r="I1066" i="61" s="1"/>
  <c r="G1064" i="61"/>
  <c r="I1064" i="61" s="1"/>
  <c r="G1060" i="61"/>
  <c r="I1060" i="61" s="1"/>
  <c r="P168" i="11"/>
  <c r="P1599" i="61" s="1"/>
  <c r="O168" i="11"/>
  <c r="O1599" i="61" s="1"/>
  <c r="O111" i="11"/>
  <c r="O1542" i="61" s="1"/>
  <c r="P59" i="6"/>
  <c r="I1070" i="61" l="1"/>
  <c r="K30" i="7"/>
  <c r="I211" i="11"/>
  <c r="L278" i="11"/>
  <c r="P271" i="11" s="1"/>
  <c r="P1702" i="61" s="1"/>
  <c r="I278" i="11"/>
  <c r="O271" i="11" s="1"/>
  <c r="O1702" i="61" l="1"/>
  <c r="R1702" i="61" s="1"/>
  <c r="J160" i="11"/>
  <c r="J1591" i="61" s="1"/>
  <c r="O1591" i="61" s="1"/>
  <c r="R1591" i="61" s="1"/>
  <c r="M387" i="11"/>
  <c r="M1818" i="61"/>
  <c r="K55" i="61"/>
  <c r="L1649" i="61"/>
  <c r="L218" i="11"/>
  <c r="H15" i="50"/>
  <c r="F18" i="49" s="1"/>
  <c r="O160" i="11" l="1"/>
  <c r="R160" i="11" s="1"/>
  <c r="N42" i="3"/>
  <c r="N405" i="61" s="1"/>
  <c r="N40" i="3"/>
  <c r="N403" i="61" s="1"/>
  <c r="N39" i="3"/>
  <c r="N402" i="61" s="1"/>
  <c r="N38" i="3"/>
  <c r="N401" i="61" s="1"/>
  <c r="N37" i="3"/>
  <c r="N400" i="61" s="1"/>
  <c r="U62" i="15"/>
  <c r="A62" i="15"/>
  <c r="W40" i="15"/>
  <c r="O40" i="15"/>
  <c r="E37" i="15"/>
  <c r="E36" i="15"/>
  <c r="S38" i="15"/>
  <c r="P38" i="15"/>
  <c r="M38" i="15"/>
  <c r="J38" i="15"/>
  <c r="G38" i="15"/>
  <c r="S33" i="15"/>
  <c r="P33" i="15"/>
  <c r="M33" i="15"/>
  <c r="J33" i="15"/>
  <c r="G33" i="15"/>
  <c r="F112" i="8" l="1"/>
  <c r="F971" i="61" s="1"/>
  <c r="B112" i="8"/>
  <c r="B971" i="61" s="1"/>
  <c r="E112" i="8"/>
  <c r="E971" i="61" s="1"/>
  <c r="C112" i="8"/>
  <c r="C971" i="61" s="1"/>
  <c r="D112" i="8"/>
  <c r="D971" i="61" s="1"/>
  <c r="D113" i="8"/>
  <c r="D972" i="61" s="1"/>
  <c r="C113" i="8"/>
  <c r="C972" i="61" s="1"/>
  <c r="F113" i="8"/>
  <c r="F972" i="61" s="1"/>
  <c r="B113" i="8"/>
  <c r="B972" i="61" s="1"/>
  <c r="E113" i="8"/>
  <c r="E972" i="61" s="1"/>
  <c r="F110" i="8"/>
  <c r="B110" i="8"/>
  <c r="E110" i="8"/>
  <c r="D110" i="8"/>
  <c r="C110" i="8"/>
  <c r="D111" i="8"/>
  <c r="C111" i="8"/>
  <c r="F111" i="8"/>
  <c r="B111" i="8"/>
  <c r="E111" i="8"/>
  <c r="B23" i="8"/>
  <c r="B25" i="8"/>
  <c r="B884" i="61" s="1"/>
  <c r="B24" i="8"/>
  <c r="B883" i="61" s="1"/>
  <c r="B29" i="8"/>
  <c r="B888" i="61" s="1"/>
  <c r="B26" i="8"/>
  <c r="B885" i="61" s="1"/>
  <c r="F975" i="61" l="1"/>
  <c r="D975" i="61"/>
  <c r="E975" i="61"/>
  <c r="C975" i="61"/>
  <c r="B975" i="61"/>
  <c r="B970" i="61"/>
  <c r="F970" i="61"/>
  <c r="C970" i="61"/>
  <c r="D970" i="61"/>
  <c r="E970" i="61"/>
  <c r="B969" i="61"/>
  <c r="C969" i="61"/>
  <c r="D969" i="61"/>
  <c r="E969" i="61"/>
  <c r="F969" i="61"/>
  <c r="B882" i="61"/>
  <c r="B120" i="8"/>
  <c r="B121" i="8"/>
  <c r="E120" i="8"/>
  <c r="F121" i="8"/>
  <c r="C121" i="8"/>
  <c r="D120" i="8"/>
  <c r="F120" i="8"/>
  <c r="E121" i="8"/>
  <c r="D121" i="8"/>
  <c r="C120" i="8"/>
  <c r="E8" i="52"/>
  <c r="C75" i="50"/>
  <c r="J75" i="6"/>
  <c r="E977" i="61" l="1"/>
  <c r="E978" i="61"/>
  <c r="E980" i="61"/>
  <c r="E979" i="61"/>
  <c r="D979" i="61"/>
  <c r="D977" i="61"/>
  <c r="D980" i="61"/>
  <c r="D978" i="61"/>
  <c r="C978" i="61"/>
  <c r="C977" i="61"/>
  <c r="C980" i="61"/>
  <c r="C979" i="61"/>
  <c r="B893" i="61"/>
  <c r="B892" i="61"/>
  <c r="F978" i="61"/>
  <c r="F977" i="61"/>
  <c r="F979" i="61"/>
  <c r="F980" i="61"/>
  <c r="B977" i="61"/>
  <c r="B979" i="61"/>
  <c r="B980" i="61"/>
  <c r="B978" i="61"/>
  <c r="C77" i="50"/>
  <c r="C81" i="50" s="1"/>
  <c r="I75" i="50"/>
  <c r="I77" i="50" s="1"/>
  <c r="E75" i="50"/>
  <c r="E77" i="50" s="1"/>
  <c r="K75" i="50"/>
  <c r="K77" i="50" s="1"/>
  <c r="G75" i="50"/>
  <c r="G77" i="50" s="1"/>
  <c r="C80" i="50" l="1"/>
  <c r="I265" i="11"/>
  <c r="B97" i="8"/>
  <c r="B956" i="61" s="1"/>
  <c r="B96" i="8"/>
  <c r="B955" i="61" s="1"/>
  <c r="B68" i="8"/>
  <c r="B927" i="61" s="1"/>
  <c r="B67" i="8"/>
  <c r="B926" i="61" s="1"/>
  <c r="K97" i="8"/>
  <c r="K956" i="61" s="1"/>
  <c r="J97" i="8"/>
  <c r="J956" i="61" s="1"/>
  <c r="I97" i="8"/>
  <c r="I956" i="61" s="1"/>
  <c r="H97" i="8"/>
  <c r="H956" i="61" s="1"/>
  <c r="G97" i="8"/>
  <c r="G956" i="61" s="1"/>
  <c r="F97" i="8"/>
  <c r="F956" i="61" s="1"/>
  <c r="E97" i="8"/>
  <c r="E956" i="61" s="1"/>
  <c r="D97" i="8"/>
  <c r="D956" i="61" s="1"/>
  <c r="C97" i="8"/>
  <c r="C956" i="61" s="1"/>
  <c r="K96" i="8"/>
  <c r="K955" i="61" s="1"/>
  <c r="J96" i="8"/>
  <c r="J955" i="61" s="1"/>
  <c r="I96" i="8"/>
  <c r="I955" i="61" s="1"/>
  <c r="H96" i="8"/>
  <c r="H955" i="61" s="1"/>
  <c r="G96" i="8"/>
  <c r="G955" i="61" s="1"/>
  <c r="F96" i="8"/>
  <c r="F955" i="61" s="1"/>
  <c r="E96" i="8"/>
  <c r="E955" i="61" s="1"/>
  <c r="D96" i="8"/>
  <c r="D955" i="61" s="1"/>
  <c r="C96" i="8"/>
  <c r="C955" i="61" s="1"/>
  <c r="C67" i="8"/>
  <c r="C926" i="61" s="1"/>
  <c r="D67" i="8"/>
  <c r="D926" i="61" s="1"/>
  <c r="E67" i="8"/>
  <c r="E926" i="61" s="1"/>
  <c r="F67" i="8"/>
  <c r="F926" i="61" s="1"/>
  <c r="G67" i="8"/>
  <c r="G926" i="61" s="1"/>
  <c r="H67" i="8"/>
  <c r="H926" i="61" s="1"/>
  <c r="I67" i="8"/>
  <c r="I926" i="61" s="1"/>
  <c r="J67" i="8"/>
  <c r="J926" i="61" s="1"/>
  <c r="C68" i="8"/>
  <c r="C927" i="61" s="1"/>
  <c r="D68" i="8"/>
  <c r="D927" i="61" s="1"/>
  <c r="E68" i="8"/>
  <c r="E927" i="61" s="1"/>
  <c r="F68" i="8"/>
  <c r="F927" i="61" s="1"/>
  <c r="G68" i="8"/>
  <c r="G927" i="61" s="1"/>
  <c r="H68" i="8"/>
  <c r="H927" i="61" s="1"/>
  <c r="I68" i="8"/>
  <c r="I927" i="61" s="1"/>
  <c r="J68" i="8"/>
  <c r="J927" i="61" s="1"/>
  <c r="K68" i="8"/>
  <c r="K927" i="61" s="1"/>
  <c r="K67" i="8"/>
  <c r="K926" i="61" s="1"/>
  <c r="D38" i="8"/>
  <c r="D897" i="61" s="1"/>
  <c r="E38" i="8"/>
  <c r="E897" i="61" s="1"/>
  <c r="F38" i="8"/>
  <c r="F897" i="61" s="1"/>
  <c r="G38" i="8"/>
  <c r="G897" i="61" s="1"/>
  <c r="H38" i="8"/>
  <c r="H897" i="61" s="1"/>
  <c r="I38" i="8"/>
  <c r="I897" i="61" s="1"/>
  <c r="J38" i="8"/>
  <c r="J897" i="61" s="1"/>
  <c r="K38" i="8"/>
  <c r="K897" i="61" s="1"/>
  <c r="D39" i="8"/>
  <c r="D898" i="61" s="1"/>
  <c r="E39" i="8"/>
  <c r="E898" i="61" s="1"/>
  <c r="F39" i="8"/>
  <c r="F898" i="61" s="1"/>
  <c r="G39" i="8"/>
  <c r="G898" i="61" s="1"/>
  <c r="H39" i="8"/>
  <c r="H898" i="61" s="1"/>
  <c r="I39" i="8"/>
  <c r="I898" i="61" s="1"/>
  <c r="J39" i="8"/>
  <c r="J898" i="61" s="1"/>
  <c r="K39" i="8"/>
  <c r="K898" i="61" s="1"/>
  <c r="C39" i="8"/>
  <c r="C898" i="61" s="1"/>
  <c r="C38" i="8"/>
  <c r="C897" i="61" s="1"/>
  <c r="B40" i="8"/>
  <c r="B899" i="61" s="1"/>
  <c r="B39" i="8"/>
  <c r="B898" i="61" s="1"/>
  <c r="B38" i="8"/>
  <c r="B897" i="61" s="1"/>
  <c r="B37" i="8"/>
  <c r="B896" i="61" s="1"/>
  <c r="B36" i="8"/>
  <c r="B895" i="61" s="1"/>
  <c r="W137" i="15"/>
  <c r="N79" i="11"/>
  <c r="C10" i="51" l="1"/>
  <c r="C11" i="51"/>
  <c r="M6" i="11"/>
  <c r="P310" i="11"/>
  <c r="P1741" i="61" s="1"/>
  <c r="O310" i="11"/>
  <c r="O1741" i="61" l="1"/>
  <c r="A743" i="61"/>
  <c r="P1064"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4" i="8"/>
  <c r="K943" i="61" s="1"/>
  <c r="J84" i="8"/>
  <c r="J943" i="61" s="1"/>
  <c r="I84" i="8"/>
  <c r="I943" i="61" s="1"/>
  <c r="H84" i="8"/>
  <c r="H943" i="61" s="1"/>
  <c r="G84" i="8"/>
  <c r="G943" i="61" s="1"/>
  <c r="F84" i="8"/>
  <c r="F943" i="61" s="1"/>
  <c r="E84" i="8"/>
  <c r="E943" i="61" s="1"/>
  <c r="D84" i="8"/>
  <c r="D943" i="61" s="1"/>
  <c r="C84" i="8"/>
  <c r="C943" i="61" s="1"/>
  <c r="B84" i="8"/>
  <c r="B943" i="61" s="1"/>
  <c r="K83" i="8"/>
  <c r="K942" i="61" s="1"/>
  <c r="J83" i="8"/>
  <c r="J942" i="61" s="1"/>
  <c r="I83" i="8"/>
  <c r="I942" i="61" s="1"/>
  <c r="H83" i="8"/>
  <c r="H942" i="61" s="1"/>
  <c r="G83" i="8"/>
  <c r="G942" i="61" s="1"/>
  <c r="F83" i="8"/>
  <c r="F942" i="61" s="1"/>
  <c r="E83" i="8"/>
  <c r="E942" i="61" s="1"/>
  <c r="D83" i="8"/>
  <c r="D942" i="61" s="1"/>
  <c r="C83" i="8"/>
  <c r="C942" i="61" s="1"/>
  <c r="B83" i="8"/>
  <c r="B942" i="61" s="1"/>
  <c r="K82" i="8"/>
  <c r="J82" i="8"/>
  <c r="I82" i="8"/>
  <c r="H82" i="8"/>
  <c r="G82" i="8"/>
  <c r="F82" i="8"/>
  <c r="E82" i="8"/>
  <c r="D82" i="8"/>
  <c r="C82" i="8"/>
  <c r="B82" i="8"/>
  <c r="K55" i="8"/>
  <c r="K914" i="61" s="1"/>
  <c r="J55" i="8"/>
  <c r="J914" i="61" s="1"/>
  <c r="I55" i="8"/>
  <c r="I914" i="61" s="1"/>
  <c r="H55" i="8"/>
  <c r="H914" i="61" s="1"/>
  <c r="G55" i="8"/>
  <c r="G914" i="61" s="1"/>
  <c r="F55" i="8"/>
  <c r="F914" i="61" s="1"/>
  <c r="E55" i="8"/>
  <c r="E914" i="61" s="1"/>
  <c r="D55" i="8"/>
  <c r="D914" i="61" s="1"/>
  <c r="C55" i="8"/>
  <c r="C914" i="61" s="1"/>
  <c r="B55" i="8"/>
  <c r="B914" i="61" s="1"/>
  <c r="K54" i="8"/>
  <c r="K913" i="61" s="1"/>
  <c r="J54" i="8"/>
  <c r="J913" i="61" s="1"/>
  <c r="I54" i="8"/>
  <c r="I913" i="61" s="1"/>
  <c r="H54" i="8"/>
  <c r="H913" i="61" s="1"/>
  <c r="G54" i="8"/>
  <c r="G913" i="61" s="1"/>
  <c r="F54" i="8"/>
  <c r="F913" i="61" s="1"/>
  <c r="E54" i="8"/>
  <c r="E913" i="61" s="1"/>
  <c r="D54" i="8"/>
  <c r="D913" i="61" s="1"/>
  <c r="C54" i="8"/>
  <c r="C913" i="61" s="1"/>
  <c r="B54" i="8"/>
  <c r="B913" i="61" s="1"/>
  <c r="K53" i="8"/>
  <c r="J53" i="8"/>
  <c r="I53" i="8"/>
  <c r="H53" i="8"/>
  <c r="G53" i="8"/>
  <c r="F53" i="8"/>
  <c r="E53" i="8"/>
  <c r="D53" i="8"/>
  <c r="C53" i="8"/>
  <c r="B53" i="8"/>
  <c r="K26" i="8"/>
  <c r="K885" i="61" s="1"/>
  <c r="J26" i="8"/>
  <c r="J885" i="61" s="1"/>
  <c r="I26" i="8"/>
  <c r="I885" i="61" s="1"/>
  <c r="H26" i="8"/>
  <c r="H885" i="61" s="1"/>
  <c r="G26" i="8"/>
  <c r="G885" i="61" s="1"/>
  <c r="F26" i="8"/>
  <c r="F885" i="61" s="1"/>
  <c r="E26" i="8"/>
  <c r="E885" i="61" s="1"/>
  <c r="D26" i="8"/>
  <c r="D885" i="61" s="1"/>
  <c r="C26" i="8"/>
  <c r="C885" i="61" s="1"/>
  <c r="K25" i="8"/>
  <c r="K884" i="61" s="1"/>
  <c r="J25" i="8"/>
  <c r="J884" i="61" s="1"/>
  <c r="I25" i="8"/>
  <c r="I884" i="61" s="1"/>
  <c r="H25" i="8"/>
  <c r="H884" i="61" s="1"/>
  <c r="G25" i="8"/>
  <c r="G884" i="61" s="1"/>
  <c r="F25" i="8"/>
  <c r="F884" i="61" s="1"/>
  <c r="E25" i="8"/>
  <c r="E884" i="61" s="1"/>
  <c r="D25" i="8"/>
  <c r="D884" i="61" s="1"/>
  <c r="C25" i="8"/>
  <c r="C884" i="61" s="1"/>
  <c r="K24" i="8"/>
  <c r="J24" i="8"/>
  <c r="I24" i="8"/>
  <c r="H24" i="8"/>
  <c r="G24" i="8"/>
  <c r="F24" i="8"/>
  <c r="E24" i="8"/>
  <c r="D24" i="8"/>
  <c r="C24" i="8"/>
  <c r="D883" i="61" l="1"/>
  <c r="F912" i="61"/>
  <c r="G912" i="61"/>
  <c r="B941" i="61"/>
  <c r="K941" i="61"/>
  <c r="D941" i="61"/>
  <c r="G883" i="61"/>
  <c r="E941" i="61"/>
  <c r="J883" i="61"/>
  <c r="C883" i="61"/>
  <c r="C37" i="8"/>
  <c r="I941" i="61"/>
  <c r="J941" i="61"/>
  <c r="C941" i="61"/>
  <c r="B912" i="61"/>
  <c r="C912" i="61"/>
  <c r="D912" i="61"/>
  <c r="F941" i="61"/>
  <c r="H941" i="61"/>
  <c r="K883" i="61"/>
  <c r="H912" i="61"/>
  <c r="E883" i="61"/>
  <c r="I912" i="61"/>
  <c r="F883" i="61"/>
  <c r="J912" i="61"/>
  <c r="K912" i="61"/>
  <c r="H883" i="61"/>
  <c r="I883" i="61"/>
  <c r="E912" i="61"/>
  <c r="G941" i="61"/>
  <c r="I54" i="3"/>
  <c r="J592" i="61" s="1"/>
  <c r="O46" i="15"/>
  <c r="M17" i="15"/>
  <c r="O8" i="11"/>
  <c r="O1439" i="61" s="1"/>
  <c r="O202" i="11"/>
  <c r="O163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2" i="11"/>
  <c r="P1633" i="61" s="1"/>
  <c r="A2" i="37"/>
  <c r="R31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71" i="11"/>
  <c r="T205" i="11"/>
  <c r="T203" i="11"/>
  <c r="L284" i="11"/>
  <c r="N41" i="3"/>
  <c r="C29" i="8"/>
  <c r="C888" i="61" s="1"/>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P170" i="59" l="1"/>
  <c r="N171" i="59" s="1"/>
  <c r="P831" i="61"/>
  <c r="F116" i="15"/>
  <c r="F113" i="15"/>
  <c r="F114" i="15"/>
  <c r="F115" i="15"/>
  <c r="L394" i="61"/>
  <c r="L395" i="61" s="1"/>
  <c r="G888" i="61"/>
  <c r="F888" i="61"/>
  <c r="E888" i="61"/>
  <c r="D888" i="61"/>
  <c r="K888" i="61"/>
  <c r="J888" i="61"/>
  <c r="I888" i="61"/>
  <c r="C40" i="8"/>
  <c r="C899" i="61" s="1"/>
  <c r="H888" i="61"/>
  <c r="C896" i="61"/>
  <c r="D11" i="51"/>
  <c r="D37" i="8"/>
  <c r="E11" i="51" s="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4" i="11"/>
  <c r="L31" i="3"/>
  <c r="C28" i="8"/>
  <c r="C887" i="61" s="1"/>
  <c r="A58" i="26"/>
  <c r="G58" i="26"/>
  <c r="A1" i="25"/>
  <c r="I3" i="29"/>
  <c r="A50" i="25"/>
  <c r="A1" i="26"/>
  <c r="A3" i="37"/>
  <c r="N30" i="7"/>
  <c r="E13" i="8" l="1"/>
  <c r="D20" i="8"/>
  <c r="E1778" i="61"/>
  <c r="D476" i="61"/>
  <c r="D47" i="15"/>
  <c r="P176" i="59"/>
  <c r="B19" i="8" s="1"/>
  <c r="N172" i="59"/>
  <c r="P837" i="61"/>
  <c r="N832" i="61"/>
  <c r="N833" i="61"/>
  <c r="D133" i="15"/>
  <c r="I418" i="61"/>
  <c r="I1698" i="61"/>
  <c r="P1049" i="61"/>
  <c r="I1778" i="61"/>
  <c r="L1778" i="61" s="1"/>
  <c r="P1048" i="61"/>
  <c r="D40" i="8"/>
  <c r="D899" i="61" s="1"/>
  <c r="D917" i="61"/>
  <c r="I946" i="61"/>
  <c r="K917" i="61"/>
  <c r="C917" i="61"/>
  <c r="K946" i="61"/>
  <c r="E917" i="61"/>
  <c r="B946" i="61"/>
  <c r="G946" i="61"/>
  <c r="E946" i="61"/>
  <c r="G917" i="61"/>
  <c r="D946" i="61"/>
  <c r="F917" i="61"/>
  <c r="C946" i="61"/>
  <c r="J946" i="61"/>
  <c r="H946" i="61"/>
  <c r="J917" i="61"/>
  <c r="B917" i="61"/>
  <c r="I917" i="61"/>
  <c r="F946" i="61"/>
  <c r="H917" i="61"/>
  <c r="D896" i="61"/>
  <c r="E37" i="8"/>
  <c r="J44" i="15"/>
  <c r="F43" i="15"/>
  <c r="J43" i="15"/>
  <c r="F44" i="15"/>
  <c r="P46" i="6"/>
  <c r="L68" i="6" s="1"/>
  <c r="O6" i="59"/>
  <c r="M6" i="59"/>
  <c r="E347" i="11"/>
  <c r="P8" i="11"/>
  <c r="P1439" i="61" s="1"/>
  <c r="F47" i="15"/>
  <c r="M385" i="11"/>
  <c r="J150" i="15"/>
  <c r="J152" i="15" s="1"/>
  <c r="E3" i="51"/>
  <c r="G35" i="51" s="1"/>
  <c r="I347"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67" i="11"/>
  <c r="I55" i="3"/>
  <c r="P47" i="3" s="1"/>
  <c r="D28" i="8"/>
  <c r="D887" i="61" s="1"/>
  <c r="R15" i="59" l="1"/>
  <c r="R676" i="61" s="1"/>
  <c r="R17" i="59"/>
  <c r="R678" i="61" s="1"/>
  <c r="R16" i="59"/>
  <c r="R677" i="61" s="1"/>
  <c r="F13" i="8"/>
  <c r="E20" i="8"/>
  <c r="R14" i="59"/>
  <c r="R675" i="61" s="1"/>
  <c r="R13" i="59"/>
  <c r="R674" i="61" s="1"/>
  <c r="R12" i="59"/>
  <c r="R673" i="61" s="1"/>
  <c r="R11" i="59"/>
  <c r="R672" i="61" s="1"/>
  <c r="R10" i="59"/>
  <c r="R671" i="61" s="1"/>
  <c r="P190" i="59"/>
  <c r="F550" i="61"/>
  <c r="N177" i="59"/>
  <c r="F549" i="61"/>
  <c r="F120" i="15"/>
  <c r="B878" i="61"/>
  <c r="F121" i="15"/>
  <c r="N838" i="61"/>
  <c r="P851" i="61"/>
  <c r="I1699" i="61"/>
  <c r="L1699" i="61"/>
  <c r="P410" i="61"/>
  <c r="P409" i="61"/>
  <c r="I419" i="61"/>
  <c r="E40" i="8"/>
  <c r="F40" i="8" s="1"/>
  <c r="E896" i="61"/>
  <c r="F37" i="8"/>
  <c r="F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66" i="11"/>
  <c r="L266" i="11"/>
  <c r="L268" i="11"/>
  <c r="P253" i="11" s="1"/>
  <c r="P1684" i="61" s="1"/>
  <c r="C35" i="51"/>
  <c r="H55" i="51"/>
  <c r="I35" i="51"/>
  <c r="C55" i="51"/>
  <c r="H35" i="51"/>
  <c r="G15" i="51"/>
  <c r="D35" i="51"/>
  <c r="H15" i="51"/>
  <c r="I15" i="51"/>
  <c r="L347" i="11"/>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68" i="11"/>
  <c r="O253" i="11" s="1"/>
  <c r="O1684" i="61" s="1"/>
  <c r="D14" i="8"/>
  <c r="C14" i="8"/>
  <c r="E14" i="8"/>
  <c r="P46" i="3"/>
  <c r="P48" i="3" s="1"/>
  <c r="I56" i="3"/>
  <c r="E28" i="8"/>
  <c r="E887" i="61" s="1"/>
  <c r="G13" i="8" l="1"/>
  <c r="F20" i="8"/>
  <c r="F14" i="8"/>
  <c r="E899" i="61"/>
  <c r="B881" i="61"/>
  <c r="B890" i="61" s="1"/>
  <c r="B894" i="61"/>
  <c r="P411" i="61"/>
  <c r="F899" i="61"/>
  <c r="G40" i="8"/>
  <c r="F896" i="61"/>
  <c r="G37" i="8"/>
  <c r="G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5" i="8" s="1"/>
  <c r="E15" i="8"/>
  <c r="F15" i="8"/>
  <c r="F28" i="8"/>
  <c r="F887" i="61" s="1"/>
  <c r="H13" i="8" l="1"/>
  <c r="G20" i="8"/>
  <c r="G14" i="8"/>
  <c r="B891" i="61"/>
  <c r="B889" i="61"/>
  <c r="G562" i="61"/>
  <c r="P472" i="61"/>
  <c r="G899" i="61"/>
  <c r="H40" i="8"/>
  <c r="G896" i="61"/>
  <c r="H37" i="8"/>
  <c r="H11" i="51"/>
  <c r="P43" i="15"/>
  <c r="G133" i="15"/>
  <c r="O298" i="11"/>
  <c r="O1729" i="61" s="1"/>
  <c r="P34" i="11"/>
  <c r="P1465" i="61" s="1"/>
  <c r="O34" i="11"/>
  <c r="O1465" i="61" s="1"/>
  <c r="O35" i="11"/>
  <c r="O1466" i="61" s="1"/>
  <c r="P35" i="11"/>
  <c r="P1466" i="61" s="1"/>
  <c r="P38" i="11"/>
  <c r="P1469" i="61" s="1"/>
  <c r="P1468" i="61" s="1"/>
  <c r="O38" i="11"/>
  <c r="O1469" i="61" s="1"/>
  <c r="O1468" i="61" s="1"/>
  <c r="L121" i="11"/>
  <c r="L162" i="11" s="1"/>
  <c r="O245" i="11"/>
  <c r="O1676" i="61" s="1"/>
  <c r="P245" i="11"/>
  <c r="P1676" i="61" s="1"/>
  <c r="I69" i="6"/>
  <c r="I48" i="6"/>
  <c r="N48" i="6"/>
  <c r="I50" i="6"/>
  <c r="N62" i="6"/>
  <c r="E16" i="8"/>
  <c r="G16" i="8"/>
  <c r="N50" i="6"/>
  <c r="C16" i="8"/>
  <c r="D16" i="8"/>
  <c r="N69" i="6"/>
  <c r="F16" i="8"/>
  <c r="K7" i="8"/>
  <c r="I62" i="6"/>
  <c r="D12" i="53"/>
  <c r="E174" i="55"/>
  <c r="E175" i="55" s="1"/>
  <c r="E13" i="53"/>
  <c r="L316" i="11"/>
  <c r="L322"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887" i="61" s="1"/>
  <c r="I13" i="8" l="1"/>
  <c r="H20" i="8"/>
  <c r="H14" i="8"/>
  <c r="H15" i="8"/>
  <c r="H19" i="8"/>
  <c r="O1464" i="61"/>
  <c r="P1464" i="61"/>
  <c r="O162" i="11"/>
  <c r="R162" i="11" s="1"/>
  <c r="L1593" i="61"/>
  <c r="O1593" i="61" s="1"/>
  <c r="R1593" i="61" s="1"/>
  <c r="H899" i="61"/>
  <c r="I40" i="8"/>
  <c r="H896" i="61"/>
  <c r="I37" i="8"/>
  <c r="I11" i="51"/>
  <c r="P303" i="11"/>
  <c r="O303" i="11"/>
  <c r="P218" i="11"/>
  <c r="P1649" i="61" s="1"/>
  <c r="O218" i="11"/>
  <c r="O1649" i="61" s="1"/>
  <c r="P33" i="11"/>
  <c r="O33" i="11"/>
  <c r="O121" i="11"/>
  <c r="P121"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887" i="61" s="1"/>
  <c r="H16" i="8" l="1"/>
  <c r="J13" i="8"/>
  <c r="I20" i="8"/>
  <c r="I14" i="8"/>
  <c r="I16" i="8" s="1"/>
  <c r="I19" i="8"/>
  <c r="I15" i="8"/>
  <c r="O297" i="11"/>
  <c r="O1728" i="61" s="1"/>
  <c r="O1734" i="61"/>
  <c r="P109" i="11"/>
  <c r="P1540" i="61" s="1"/>
  <c r="L1470" i="61" s="1"/>
  <c r="P1552" i="61"/>
  <c r="P297" i="11"/>
  <c r="P1728" i="61" s="1"/>
  <c r="P1734" i="61"/>
  <c r="O109" i="11"/>
  <c r="O1540" i="61" s="1"/>
  <c r="K1470" i="61" s="1"/>
  <c r="O1552" i="61"/>
  <c r="I899" i="61"/>
  <c r="J40" i="8"/>
  <c r="I896" i="61"/>
  <c r="J37" i="8"/>
  <c r="D31" i="51" s="1"/>
  <c r="C31" i="51"/>
  <c r="K13" i="53"/>
  <c r="K21" i="53"/>
  <c r="K30" i="53" s="1"/>
  <c r="K34" i="53" s="1"/>
  <c r="I66" i="50"/>
  <c r="I70" i="50" s="1"/>
  <c r="I72" i="50" s="1"/>
  <c r="K66" i="50"/>
  <c r="K70" i="50" s="1"/>
  <c r="K72" i="50" s="1"/>
  <c r="G66" i="50"/>
  <c r="G70" i="50" s="1"/>
  <c r="G72" i="50" s="1"/>
  <c r="E66" i="50"/>
  <c r="E70" i="50" s="1"/>
  <c r="E72" i="50" s="1"/>
  <c r="C72" i="50"/>
  <c r="I28" i="8"/>
  <c r="I887" i="61" s="1"/>
  <c r="K13" i="8" l="1"/>
  <c r="J20" i="8"/>
  <c r="J14" i="8"/>
  <c r="J16" i="8" s="1"/>
  <c r="J19" i="8"/>
  <c r="J15" i="8"/>
  <c r="P157" i="11"/>
  <c r="P1588" i="61" s="1"/>
  <c r="L39" i="11"/>
  <c r="P37" i="11" s="1"/>
  <c r="P29" i="11" s="1"/>
  <c r="P1460" i="61" s="1"/>
  <c r="P1835" i="61" s="1"/>
  <c r="L338" i="11"/>
  <c r="L1769" i="61" s="1"/>
  <c r="O157" i="11"/>
  <c r="O125" i="11" s="1"/>
  <c r="K39" i="11"/>
  <c r="O37" i="11" s="1"/>
  <c r="J899" i="61"/>
  <c r="K40" i="8"/>
  <c r="J896" i="61"/>
  <c r="K37" i="8"/>
  <c r="G21" i="8"/>
  <c r="G35" i="8" s="1"/>
  <c r="B22" i="8"/>
  <c r="E21" i="8"/>
  <c r="E35" i="8" s="1"/>
  <c r="J161" i="15"/>
  <c r="J162" i="15" s="1"/>
  <c r="J591" i="61" s="1"/>
  <c r="P49" i="6"/>
  <c r="H21" i="8"/>
  <c r="H35" i="8" s="1"/>
  <c r="I21" i="8"/>
  <c r="I35" i="8" s="1"/>
  <c r="C21" i="8"/>
  <c r="C35" i="8" s="1"/>
  <c r="D21" i="8"/>
  <c r="D35" i="8" s="1"/>
  <c r="J21" i="8"/>
  <c r="F21" i="8"/>
  <c r="F35" i="8" s="1"/>
  <c r="K21" i="8"/>
  <c r="E76" i="50"/>
  <c r="E73" i="50" s="1"/>
  <c r="I76" i="50"/>
  <c r="I73" i="50" s="1"/>
  <c r="K76" i="50"/>
  <c r="K73" i="50" s="1"/>
  <c r="G76" i="50"/>
  <c r="G73" i="50" s="1"/>
  <c r="J28" i="8"/>
  <c r="J887" i="61" s="1"/>
  <c r="J35" i="8" l="1"/>
  <c r="B42" i="8"/>
  <c r="K20" i="8"/>
  <c r="K35" i="8" s="1"/>
  <c r="K14" i="8"/>
  <c r="K16" i="8" s="1"/>
  <c r="K15" i="8"/>
  <c r="K19" i="8"/>
  <c r="P404" i="11"/>
  <c r="P1834" i="61" s="1"/>
  <c r="O1588" i="61"/>
  <c r="P1437" i="61"/>
  <c r="P1839" i="61"/>
  <c r="L339" i="11"/>
  <c r="L1770" i="61" s="1"/>
  <c r="O1556" i="61"/>
  <c r="K899" i="61"/>
  <c r="B69" i="8"/>
  <c r="K896" i="61"/>
  <c r="B66" i="8"/>
  <c r="E31" i="51"/>
  <c r="G590" i="61"/>
  <c r="J593" i="61"/>
  <c r="J595" i="61" s="1"/>
  <c r="J597" i="61" s="1"/>
  <c r="J599" i="61" s="1"/>
  <c r="G22" i="8"/>
  <c r="F22" i="8"/>
  <c r="E22" i="8"/>
  <c r="H22" i="8"/>
  <c r="J164" i="15"/>
  <c r="J166" i="15" s="1"/>
  <c r="J168" i="15" s="1"/>
  <c r="J170" i="15" s="1"/>
  <c r="G161" i="15"/>
  <c r="I22" i="8"/>
  <c r="C22" i="8"/>
  <c r="D22" i="8"/>
  <c r="J22" i="8"/>
  <c r="K28" i="8"/>
  <c r="K887" i="61" s="1"/>
  <c r="K22" i="8" l="1"/>
  <c r="C42" i="8"/>
  <c r="B49" i="8"/>
  <c r="B43" i="8"/>
  <c r="B44" i="8"/>
  <c r="B48" i="8"/>
  <c r="B50" i="8"/>
  <c r="M601" i="61"/>
  <c r="J603" i="61"/>
  <c r="E528" i="61" s="1"/>
  <c r="J174" i="15"/>
  <c r="M172" i="15"/>
  <c r="P6" i="11"/>
  <c r="P408" i="11"/>
  <c r="B928" i="61"/>
  <c r="C69" i="8"/>
  <c r="B925" i="61"/>
  <c r="C66" i="8"/>
  <c r="F31" i="51"/>
  <c r="B57" i="8"/>
  <c r="B916" i="61" s="1"/>
  <c r="B45" i="8" l="1"/>
  <c r="B51" i="8" s="1"/>
  <c r="B64" i="8"/>
  <c r="D42" i="8"/>
  <c r="C49" i="8"/>
  <c r="C43" i="8"/>
  <c r="C44" i="8"/>
  <c r="C48" i="8"/>
  <c r="C50" i="8"/>
  <c r="L409" i="61"/>
  <c r="N409" i="61" s="1"/>
  <c r="C21" i="51"/>
  <c r="M61" i="49"/>
  <c r="P61" i="49" s="1"/>
  <c r="E99" i="15"/>
  <c r="L46" i="3"/>
  <c r="N46" i="3" s="1"/>
  <c r="L45" i="3"/>
  <c r="N45" i="3" s="1"/>
  <c r="J7" i="7"/>
  <c r="L408" i="61"/>
  <c r="N408" i="61" s="1"/>
  <c r="C928" i="61"/>
  <c r="D69" i="8"/>
  <c r="C925" i="61"/>
  <c r="D66" i="8"/>
  <c r="G31" i="51"/>
  <c r="C57" i="8"/>
  <c r="C916" i="61" s="1"/>
  <c r="C64" i="8" l="1"/>
  <c r="E42" i="8"/>
  <c r="D49" i="8"/>
  <c r="D43" i="8"/>
  <c r="D48" i="8"/>
  <c r="D44" i="8"/>
  <c r="D50" i="8"/>
  <c r="C45" i="8"/>
  <c r="C51" i="8"/>
  <c r="D21" i="51"/>
  <c r="C41" i="51"/>
  <c r="D41" i="51" s="1"/>
  <c r="E41" i="51" s="1"/>
  <c r="C22" i="51"/>
  <c r="C42" i="51" s="1"/>
  <c r="D42" i="51" s="1"/>
  <c r="E42" i="51" s="1"/>
  <c r="D928" i="61"/>
  <c r="E69" i="8"/>
  <c r="D925" i="61"/>
  <c r="E66" i="8"/>
  <c r="H31" i="51"/>
  <c r="D57" i="8"/>
  <c r="D916" i="61" s="1"/>
  <c r="D45" i="8" l="1"/>
  <c r="D51" i="8"/>
  <c r="F42" i="8"/>
  <c r="E49" i="8"/>
  <c r="E43" i="8"/>
  <c r="E44" i="8"/>
  <c r="E48" i="8"/>
  <c r="E50" i="8"/>
  <c r="D64" i="8"/>
  <c r="E21" i="51"/>
  <c r="D22" i="51"/>
  <c r="E928" i="61"/>
  <c r="F69" i="8"/>
  <c r="E925" i="61"/>
  <c r="F66" i="8"/>
  <c r="I31" i="51"/>
  <c r="E57" i="8"/>
  <c r="E916" i="61" s="1"/>
  <c r="G42" i="8" l="1"/>
  <c r="F49" i="8"/>
  <c r="F43" i="8"/>
  <c r="F44" i="8"/>
  <c r="F48" i="8"/>
  <c r="F50" i="8"/>
  <c r="E45" i="8"/>
  <c r="E51" i="8" s="1"/>
  <c r="F21" i="51"/>
  <c r="E22" i="51"/>
  <c r="F928" i="61"/>
  <c r="G69" i="8"/>
  <c r="F925" i="61"/>
  <c r="G66" i="8"/>
  <c r="C51" i="51"/>
  <c r="F57" i="8"/>
  <c r="F916" i="61" s="1"/>
  <c r="E64" i="8" l="1"/>
  <c r="H42" i="8"/>
  <c r="G49" i="8"/>
  <c r="G43" i="8"/>
  <c r="G44" i="8"/>
  <c r="G48" i="8"/>
  <c r="G50" i="8"/>
  <c r="F45" i="8"/>
  <c r="F64" i="8" s="1"/>
  <c r="F51" i="8"/>
  <c r="G21" i="51"/>
  <c r="F22" i="51"/>
  <c r="G928" i="61"/>
  <c r="H69" i="8"/>
  <c r="G925" i="61"/>
  <c r="H66" i="8"/>
  <c r="D51" i="51"/>
  <c r="G57" i="8"/>
  <c r="G916" i="61" s="1"/>
  <c r="G45" i="8" l="1"/>
  <c r="G51" i="8" s="1"/>
  <c r="I42" i="8"/>
  <c r="H49" i="8"/>
  <c r="H43" i="8"/>
  <c r="H44" i="8"/>
  <c r="H48" i="8"/>
  <c r="H50" i="8"/>
  <c r="G64" i="8"/>
  <c r="H21" i="51"/>
  <c r="G22" i="51"/>
  <c r="H928" i="61"/>
  <c r="I69" i="8"/>
  <c r="H925" i="61"/>
  <c r="I66" i="8"/>
  <c r="E51" i="51"/>
  <c r="H57" i="8"/>
  <c r="H916" i="61" s="1"/>
  <c r="J42" i="8" l="1"/>
  <c r="I49" i="8"/>
  <c r="I43" i="8"/>
  <c r="I48" i="8"/>
  <c r="I44" i="8"/>
  <c r="I50" i="8"/>
  <c r="H45" i="8"/>
  <c r="H64" i="8" s="1"/>
  <c r="H51" i="8"/>
  <c r="H22" i="51"/>
  <c r="I21" i="51"/>
  <c r="I22" i="51" s="1"/>
  <c r="I928" i="61"/>
  <c r="J69" i="8"/>
  <c r="I925" i="61"/>
  <c r="J66" i="8"/>
  <c r="F51" i="51"/>
  <c r="I57" i="8"/>
  <c r="I916" i="61" s="1"/>
  <c r="I45" i="8" l="1"/>
  <c r="I51" i="8" s="1"/>
  <c r="I64" i="8"/>
  <c r="K42" i="8"/>
  <c r="J49" i="8"/>
  <c r="J43" i="8"/>
  <c r="J44" i="8"/>
  <c r="J48" i="8"/>
  <c r="J50" i="8"/>
  <c r="J928" i="61"/>
  <c r="K69" i="8"/>
  <c r="J925" i="61"/>
  <c r="K66" i="8"/>
  <c r="G51" i="51"/>
  <c r="J57" i="8"/>
  <c r="J916" i="61" s="1"/>
  <c r="B71" i="8" l="1"/>
  <c r="K49" i="8"/>
  <c r="K43" i="8"/>
  <c r="K44" i="8"/>
  <c r="K48" i="8"/>
  <c r="K50" i="8"/>
  <c r="J45" i="8"/>
  <c r="J64" i="8" s="1"/>
  <c r="J51" i="8"/>
  <c r="K928" i="61"/>
  <c r="B98" i="8"/>
  <c r="K925" i="61"/>
  <c r="B95" i="8"/>
  <c r="H51" i="51"/>
  <c r="K57" i="8"/>
  <c r="K916" i="61" s="1"/>
  <c r="K45" i="8" l="1"/>
  <c r="K51" i="8" s="1"/>
  <c r="K64" i="8"/>
  <c r="F54" i="51"/>
  <c r="G54" i="51"/>
  <c r="H54" i="51"/>
  <c r="C54" i="51"/>
  <c r="D54" i="51"/>
  <c r="E54" i="51"/>
  <c r="C71" i="8"/>
  <c r="B78" i="8"/>
  <c r="B72" i="8"/>
  <c r="B77" i="8"/>
  <c r="B73" i="8"/>
  <c r="B79" i="8"/>
  <c r="B957" i="61"/>
  <c r="C98" i="8"/>
  <c r="B954" i="61"/>
  <c r="C95" i="8"/>
  <c r="B86" i="8"/>
  <c r="B945" i="61" s="1"/>
  <c r="D71" i="8" l="1"/>
  <c r="C78" i="8"/>
  <c r="C72" i="8"/>
  <c r="C77" i="8"/>
  <c r="C73" i="8"/>
  <c r="C79" i="8"/>
  <c r="B74" i="8"/>
  <c r="B93" i="8" s="1"/>
  <c r="B80" i="8"/>
  <c r="C957" i="61"/>
  <c r="D98" i="8"/>
  <c r="C954" i="61"/>
  <c r="D95" i="8"/>
  <c r="C86" i="8"/>
  <c r="C945" i="61" s="1"/>
  <c r="C74" i="8" l="1"/>
  <c r="C80" i="8" s="1"/>
  <c r="E71" i="8"/>
  <c r="D78" i="8"/>
  <c r="D72" i="8"/>
  <c r="D77" i="8"/>
  <c r="D73" i="8"/>
  <c r="D79" i="8"/>
  <c r="D957" i="61"/>
  <c r="E98" i="8"/>
  <c r="D954" i="61"/>
  <c r="E95" i="8"/>
  <c r="D86" i="8"/>
  <c r="D945" i="61" s="1"/>
  <c r="F71" i="8" l="1"/>
  <c r="E78" i="8"/>
  <c r="E72" i="8"/>
  <c r="E77" i="8"/>
  <c r="E73" i="8"/>
  <c r="E79" i="8"/>
  <c r="C93" i="8"/>
  <c r="D74" i="8"/>
  <c r="D80" i="8" s="1"/>
  <c r="D93" i="8"/>
  <c r="E957" i="61"/>
  <c r="F98" i="8"/>
  <c r="E954" i="61"/>
  <c r="F95" i="8"/>
  <c r="E86" i="8"/>
  <c r="E945" i="61" s="1"/>
  <c r="E74" i="8" l="1"/>
  <c r="E80" i="8"/>
  <c r="E93" i="8"/>
  <c r="G71" i="8"/>
  <c r="F78" i="8"/>
  <c r="F72" i="8"/>
  <c r="F77" i="8"/>
  <c r="F73" i="8"/>
  <c r="F79" i="8"/>
  <c r="F957" i="61"/>
  <c r="G98" i="8"/>
  <c r="F954" i="61"/>
  <c r="G95" i="8"/>
  <c r="F86" i="8"/>
  <c r="F945" i="61" s="1"/>
  <c r="H71" i="8" l="1"/>
  <c r="G78" i="8"/>
  <c r="G72" i="8"/>
  <c r="G77" i="8"/>
  <c r="G73" i="8"/>
  <c r="G79" i="8"/>
  <c r="F74" i="8"/>
  <c r="F80" i="8" s="1"/>
  <c r="G957" i="61"/>
  <c r="H98" i="8"/>
  <c r="G954" i="61"/>
  <c r="H95" i="8"/>
  <c r="G86" i="8"/>
  <c r="G945" i="61" s="1"/>
  <c r="G74" i="8" l="1"/>
  <c r="G80" i="8"/>
  <c r="F93" i="8"/>
  <c r="G93" i="8"/>
  <c r="I71" i="8"/>
  <c r="H78" i="8"/>
  <c r="H72" i="8"/>
  <c r="H73" i="8"/>
  <c r="H77" i="8"/>
  <c r="H79" i="8"/>
  <c r="H957" i="61"/>
  <c r="I98" i="8"/>
  <c r="H954" i="61"/>
  <c r="I95" i="8"/>
  <c r="H86" i="8"/>
  <c r="H945" i="61" s="1"/>
  <c r="H74" i="8" l="1"/>
  <c r="H80" i="8"/>
  <c r="H93" i="8"/>
  <c r="J71" i="8"/>
  <c r="I78" i="8"/>
  <c r="I72" i="8"/>
  <c r="I77" i="8"/>
  <c r="I73" i="8"/>
  <c r="I79" i="8"/>
  <c r="I957" i="61"/>
  <c r="J98" i="8"/>
  <c r="I954" i="61"/>
  <c r="J95" i="8"/>
  <c r="I86" i="8"/>
  <c r="I945" i="61" s="1"/>
  <c r="K71" i="8" l="1"/>
  <c r="J78" i="8"/>
  <c r="J72" i="8"/>
  <c r="J77" i="8"/>
  <c r="J73" i="8"/>
  <c r="J79" i="8"/>
  <c r="I74" i="8"/>
  <c r="I93" i="8" s="1"/>
  <c r="I80" i="8"/>
  <c r="J957" i="61"/>
  <c r="K98" i="8"/>
  <c r="J954" i="61"/>
  <c r="K95" i="8"/>
  <c r="J86" i="8"/>
  <c r="J945" i="61" s="1"/>
  <c r="J74" i="8" l="1"/>
  <c r="J80" i="8"/>
  <c r="J93" i="8"/>
  <c r="B100" i="8"/>
  <c r="K78" i="8"/>
  <c r="K72" i="8"/>
  <c r="K77" i="8"/>
  <c r="K73" i="8"/>
  <c r="K79" i="8"/>
  <c r="H33" i="51"/>
  <c r="E53" i="51"/>
  <c r="C53" i="51"/>
  <c r="G13" i="51"/>
  <c r="H34" i="51"/>
  <c r="E34" i="51"/>
  <c r="C33" i="51"/>
  <c r="E33" i="51"/>
  <c r="G34" i="51"/>
  <c r="D13" i="51"/>
  <c r="F34" i="51"/>
  <c r="H13" i="51"/>
  <c r="F53" i="51"/>
  <c r="D14" i="51"/>
  <c r="D53" i="51"/>
  <c r="G33" i="51"/>
  <c r="I13" i="51"/>
  <c r="C13" i="51"/>
  <c r="H53" i="51"/>
  <c r="I34" i="51"/>
  <c r="F13" i="51"/>
  <c r="H14" i="51"/>
  <c r="G53" i="51"/>
  <c r="C34" i="51"/>
  <c r="I33" i="51"/>
  <c r="D34" i="51"/>
  <c r="I14" i="51"/>
  <c r="F14" i="51"/>
  <c r="E13" i="51"/>
  <c r="G14" i="51"/>
  <c r="E14" i="51"/>
  <c r="D33" i="51"/>
  <c r="F33" i="51"/>
  <c r="C14" i="51"/>
  <c r="K957" i="61"/>
  <c r="B127" i="8"/>
  <c r="K954" i="61"/>
  <c r="B124" i="8"/>
  <c r="K86" i="8"/>
  <c r="K945" i="61" s="1"/>
  <c r="C100" i="8" l="1"/>
  <c r="B107" i="8"/>
  <c r="B101" i="8"/>
  <c r="B102" i="8"/>
  <c r="B106" i="8"/>
  <c r="B108" i="8"/>
  <c r="K74" i="8"/>
  <c r="K80" i="8" s="1"/>
  <c r="K93" i="8"/>
  <c r="B986" i="61"/>
  <c r="C127" i="8"/>
  <c r="B983" i="61"/>
  <c r="C124" i="8"/>
  <c r="B115" i="8"/>
  <c r="B30" i="8"/>
  <c r="C23" i="8"/>
  <c r="C882" i="61" s="1"/>
  <c r="D23" i="8"/>
  <c r="D882" i="61" s="1"/>
  <c r="E23" i="8"/>
  <c r="E882" i="61" s="1"/>
  <c r="F23" i="8"/>
  <c r="F882" i="61" s="1"/>
  <c r="G23" i="8"/>
  <c r="G882" i="61" s="1"/>
  <c r="H23" i="8"/>
  <c r="H882" i="61" s="1"/>
  <c r="I23" i="8"/>
  <c r="I882" i="61" s="1"/>
  <c r="J23" i="8"/>
  <c r="J882" i="61" s="1"/>
  <c r="K23" i="8"/>
  <c r="K882" i="61" s="1"/>
  <c r="D30" i="8"/>
  <c r="B33" i="8"/>
  <c r="B52" i="8"/>
  <c r="B911" i="61" s="1"/>
  <c r="C52" i="8"/>
  <c r="C911" i="61" s="1"/>
  <c r="D52" i="8"/>
  <c r="D911" i="61" s="1"/>
  <c r="E52" i="8"/>
  <c r="E911" i="61" s="1"/>
  <c r="F52" i="8"/>
  <c r="F911" i="61" s="1"/>
  <c r="G52" i="8"/>
  <c r="G911" i="61" s="1"/>
  <c r="H52" i="8"/>
  <c r="I52" i="8"/>
  <c r="J52" i="8"/>
  <c r="J911" i="61" s="1"/>
  <c r="K52" i="8"/>
  <c r="D59" i="8"/>
  <c r="E59" i="8"/>
  <c r="B81" i="8"/>
  <c r="B940" i="61" s="1"/>
  <c r="C81" i="8"/>
  <c r="C940" i="61" s="1"/>
  <c r="D81" i="8"/>
  <c r="D940" i="61" s="1"/>
  <c r="E81" i="8"/>
  <c r="E940" i="61" s="1"/>
  <c r="F81" i="8"/>
  <c r="F940" i="61" s="1"/>
  <c r="G81" i="8"/>
  <c r="G940" i="61" s="1"/>
  <c r="H81" i="8"/>
  <c r="H940" i="61" s="1"/>
  <c r="I81" i="8"/>
  <c r="I940" i="61" s="1"/>
  <c r="J81" i="8"/>
  <c r="J940" i="61" s="1"/>
  <c r="K81" i="8"/>
  <c r="K940" i="61" s="1"/>
  <c r="D88" i="8"/>
  <c r="E88" i="8"/>
  <c r="D100" i="8" l="1"/>
  <c r="C107" i="8"/>
  <c r="C101" i="8"/>
  <c r="C106" i="8"/>
  <c r="C102" i="8"/>
  <c r="C108" i="8"/>
  <c r="B103" i="8"/>
  <c r="B109" i="8" s="1"/>
  <c r="B122" i="8"/>
  <c r="B974" i="61"/>
  <c r="B976" i="61" s="1"/>
  <c r="C986" i="61"/>
  <c r="D127" i="8"/>
  <c r="C983" i="61"/>
  <c r="D124" i="8"/>
  <c r="H890" i="61"/>
  <c r="H892" i="61"/>
  <c r="H893" i="61"/>
  <c r="H891" i="61"/>
  <c r="H889" i="61"/>
  <c r="K948" i="61"/>
  <c r="K951" i="61"/>
  <c r="K949" i="61"/>
  <c r="K950" i="61"/>
  <c r="K947" i="61"/>
  <c r="E951" i="61"/>
  <c r="E950" i="61"/>
  <c r="E949" i="61"/>
  <c r="E948" i="61"/>
  <c r="E947" i="61"/>
  <c r="G890" i="61"/>
  <c r="G891" i="61"/>
  <c r="G893" i="61"/>
  <c r="G892" i="61"/>
  <c r="G889" i="61"/>
  <c r="D890" i="61"/>
  <c r="D892" i="61"/>
  <c r="D893" i="61"/>
  <c r="D891" i="61"/>
  <c r="D889" i="61"/>
  <c r="C920" i="61"/>
  <c r="C922" i="61"/>
  <c r="C919" i="61"/>
  <c r="C921" i="61"/>
  <c r="C918" i="61"/>
  <c r="D948" i="61"/>
  <c r="D950" i="61"/>
  <c r="D951" i="61"/>
  <c r="D949" i="61"/>
  <c r="D947" i="61"/>
  <c r="B920" i="61"/>
  <c r="B919" i="61"/>
  <c r="B922" i="61"/>
  <c r="B921" i="61"/>
  <c r="B918" i="61"/>
  <c r="C948" i="61"/>
  <c r="C949" i="61"/>
  <c r="C950" i="61"/>
  <c r="C951" i="61"/>
  <c r="C947" i="61"/>
  <c r="E893" i="61"/>
  <c r="E891" i="61"/>
  <c r="E890" i="61"/>
  <c r="E892" i="61"/>
  <c r="E889" i="61"/>
  <c r="I949" i="61"/>
  <c r="I950" i="61"/>
  <c r="I948" i="61"/>
  <c r="I951" i="61"/>
  <c r="I947" i="61"/>
  <c r="C890" i="61"/>
  <c r="C891" i="61"/>
  <c r="C892" i="61"/>
  <c r="C893" i="61"/>
  <c r="C889" i="61"/>
  <c r="F949" i="61"/>
  <c r="F951" i="61"/>
  <c r="F950" i="61"/>
  <c r="F948" i="61"/>
  <c r="F947" i="61"/>
  <c r="D920" i="61"/>
  <c r="D922" i="61"/>
  <c r="D919" i="61"/>
  <c r="D921" i="61"/>
  <c r="D918" i="61"/>
  <c r="K911" i="61"/>
  <c r="J919" i="61"/>
  <c r="J922" i="61"/>
  <c r="J921" i="61"/>
  <c r="J920" i="61"/>
  <c r="J918" i="61"/>
  <c r="F892" i="61"/>
  <c r="F891" i="61"/>
  <c r="F893" i="61"/>
  <c r="F890" i="61"/>
  <c r="F889" i="61"/>
  <c r="I61" i="8"/>
  <c r="I911" i="61"/>
  <c r="J950" i="61"/>
  <c r="J949" i="61"/>
  <c r="J948" i="61"/>
  <c r="J951" i="61"/>
  <c r="J947" i="61"/>
  <c r="H61" i="8"/>
  <c r="H911" i="61"/>
  <c r="C60" i="8"/>
  <c r="J892" i="61"/>
  <c r="J890" i="61"/>
  <c r="J891" i="61"/>
  <c r="J893" i="61"/>
  <c r="J889" i="61"/>
  <c r="B948" i="61"/>
  <c r="B951" i="61"/>
  <c r="B950" i="61"/>
  <c r="B949" i="61"/>
  <c r="B947" i="61"/>
  <c r="G920" i="61"/>
  <c r="G921" i="61"/>
  <c r="G922" i="61"/>
  <c r="G919" i="61"/>
  <c r="G918" i="61"/>
  <c r="K891" i="61"/>
  <c r="K893" i="61"/>
  <c r="K890" i="61"/>
  <c r="K892" i="61"/>
  <c r="K889" i="61"/>
  <c r="H948" i="61"/>
  <c r="H951" i="61"/>
  <c r="H950" i="61"/>
  <c r="H949" i="61"/>
  <c r="H947" i="61"/>
  <c r="B60" i="8"/>
  <c r="F922" i="61"/>
  <c r="F919" i="61"/>
  <c r="F921" i="61"/>
  <c r="F920" i="61"/>
  <c r="F918" i="61"/>
  <c r="G948" i="61"/>
  <c r="G949" i="61"/>
  <c r="G951" i="61"/>
  <c r="G950" i="61"/>
  <c r="G947" i="61"/>
  <c r="E919" i="61"/>
  <c r="E921" i="61"/>
  <c r="E920" i="61"/>
  <c r="E922" i="61"/>
  <c r="E918" i="61"/>
  <c r="I890" i="61"/>
  <c r="I891" i="61"/>
  <c r="I893" i="61"/>
  <c r="I892" i="61"/>
  <c r="I889" i="61"/>
  <c r="E14" i="52"/>
  <c r="E10" i="52"/>
  <c r="C115"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D32" i="8"/>
  <c r="E30" i="8"/>
  <c r="E34" i="8"/>
  <c r="D31" i="8"/>
  <c r="E32" i="8"/>
  <c r="H32" i="8"/>
  <c r="E31" i="8"/>
  <c r="I32" i="8"/>
  <c r="I31" i="8"/>
  <c r="D62" i="8"/>
  <c r="H31" i="8"/>
  <c r="I30" i="8"/>
  <c r="D63" i="8"/>
  <c r="I62" i="8"/>
  <c r="E63" i="8"/>
  <c r="H88" i="8"/>
  <c r="D89" i="8"/>
  <c r="F62" i="8"/>
  <c r="E89" i="8"/>
  <c r="H34" i="8"/>
  <c r="D33" i="8"/>
  <c r="H62" i="8"/>
  <c r="H33" i="8"/>
  <c r="E92" i="8"/>
  <c r="D90" i="8"/>
  <c r="E90" i="8"/>
  <c r="E91" i="8"/>
  <c r="E62" i="8"/>
  <c r="D92" i="8"/>
  <c r="D34" i="8"/>
  <c r="D91" i="8"/>
  <c r="J59" i="8"/>
  <c r="B59" i="8"/>
  <c r="F30" i="8"/>
  <c r="G59" i="8"/>
  <c r="C59" i="8"/>
  <c r="K30" i="8"/>
  <c r="C30" i="8"/>
  <c r="C36" i="8"/>
  <c r="C895" i="61" s="1"/>
  <c r="J88" i="8"/>
  <c r="F92" i="8"/>
  <c r="B88" i="8"/>
  <c r="H59" i="8"/>
  <c r="D60" i="8"/>
  <c r="H92" i="8"/>
  <c r="H91" i="8"/>
  <c r="H90" i="8"/>
  <c r="H89" i="8"/>
  <c r="J62" i="8"/>
  <c r="B62" i="8"/>
  <c r="J60" i="8"/>
  <c r="F59" i="8"/>
  <c r="J30" i="8"/>
  <c r="K59" i="8"/>
  <c r="G30" i="8"/>
  <c r="K88" i="8"/>
  <c r="G88" i="8"/>
  <c r="C88" i="8"/>
  <c r="I59" i="8"/>
  <c r="E60" i="8"/>
  <c r="I33" i="8"/>
  <c r="E33" i="8"/>
  <c r="I92" i="8"/>
  <c r="I91" i="8"/>
  <c r="I90" i="8"/>
  <c r="I89" i="8"/>
  <c r="I88" i="8"/>
  <c r="K62" i="8"/>
  <c r="G62" i="8"/>
  <c r="C62" i="8"/>
  <c r="K60" i="8"/>
  <c r="I34" i="8"/>
  <c r="J91" i="8"/>
  <c r="F91" i="8"/>
  <c r="B91" i="8"/>
  <c r="F60" i="8"/>
  <c r="J33" i="8"/>
  <c r="F33" i="8"/>
  <c r="K91" i="8"/>
  <c r="G91" i="8"/>
  <c r="C91" i="8"/>
  <c r="G60" i="8"/>
  <c r="K33" i="8"/>
  <c r="G33" i="8"/>
  <c r="C33" i="8"/>
  <c r="J89" i="8"/>
  <c r="F89" i="8"/>
  <c r="B89" i="8"/>
  <c r="H63" i="8"/>
  <c r="D61" i="8"/>
  <c r="H60" i="8"/>
  <c r="J31" i="8"/>
  <c r="F31" i="8"/>
  <c r="B31" i="8"/>
  <c r="K89" i="8"/>
  <c r="G89" i="8"/>
  <c r="C89" i="8"/>
  <c r="I63" i="8"/>
  <c r="E61" i="8"/>
  <c r="I60" i="8"/>
  <c r="K31" i="8"/>
  <c r="G31" i="8"/>
  <c r="C31" i="8"/>
  <c r="J92" i="8"/>
  <c r="B92" i="8"/>
  <c r="J90" i="8"/>
  <c r="F90" i="8"/>
  <c r="B90" i="8"/>
  <c r="F88" i="8"/>
  <c r="J63" i="8"/>
  <c r="F63" i="8"/>
  <c r="B63" i="8"/>
  <c r="J61" i="8"/>
  <c r="F61" i="8"/>
  <c r="B61" i="8"/>
  <c r="J34" i="8"/>
  <c r="F34" i="8"/>
  <c r="B34" i="8"/>
  <c r="J32" i="8"/>
  <c r="F32" i="8"/>
  <c r="B32" i="8"/>
  <c r="K92" i="8"/>
  <c r="G92" i="8"/>
  <c r="C92" i="8"/>
  <c r="K90" i="8"/>
  <c r="G90" i="8"/>
  <c r="C90" i="8"/>
  <c r="K63" i="8"/>
  <c r="G63" i="8"/>
  <c r="C63" i="8"/>
  <c r="K61" i="8"/>
  <c r="G61" i="8"/>
  <c r="C61" i="8"/>
  <c r="K34" i="8"/>
  <c r="G34" i="8"/>
  <c r="C34" i="8"/>
  <c r="K32" i="8"/>
  <c r="G32" i="8"/>
  <c r="C32" i="8"/>
  <c r="B119" i="8" l="1"/>
  <c r="B118" i="8"/>
  <c r="B117" i="8"/>
  <c r="E100" i="8"/>
  <c r="D107" i="8"/>
  <c r="D101" i="8"/>
  <c r="D102" i="8"/>
  <c r="D106" i="8"/>
  <c r="D108" i="8"/>
  <c r="C103" i="8"/>
  <c r="C109" i="8" s="1"/>
  <c r="C122" i="8"/>
  <c r="C974" i="61"/>
  <c r="C976" i="61" s="1"/>
  <c r="D986" i="61"/>
  <c r="E127" i="8"/>
  <c r="D983" i="61"/>
  <c r="E124" i="8"/>
  <c r="K919" i="61"/>
  <c r="K921" i="61"/>
  <c r="K920" i="61"/>
  <c r="K922" i="61"/>
  <c r="K918" i="61"/>
  <c r="I919" i="61"/>
  <c r="I922" i="61"/>
  <c r="I921" i="61"/>
  <c r="I920" i="61"/>
  <c r="I918" i="61"/>
  <c r="H919" i="61"/>
  <c r="H922" i="61"/>
  <c r="H920" i="61"/>
  <c r="H921" i="61"/>
  <c r="H918" i="61"/>
  <c r="D115" i="8"/>
  <c r="F9" i="51"/>
  <c r="C49" i="51"/>
  <c r="G29" i="51"/>
  <c r="G49" i="51"/>
  <c r="C29" i="51"/>
  <c r="I9" i="51"/>
  <c r="F49" i="51"/>
  <c r="H9" i="51"/>
  <c r="E49" i="51"/>
  <c r="D49" i="51"/>
  <c r="H49" i="51"/>
  <c r="D9" i="51"/>
  <c r="G9" i="51"/>
  <c r="D29" i="51"/>
  <c r="E29" i="51"/>
  <c r="F29" i="51"/>
  <c r="D10" i="51"/>
  <c r="D36" i="8"/>
  <c r="D895" i="61" s="1"/>
  <c r="C118" i="8" l="1"/>
  <c r="C119" i="8"/>
  <c r="C117" i="8"/>
  <c r="F100" i="8"/>
  <c r="E107" i="8"/>
  <c r="E101" i="8"/>
  <c r="E102" i="8"/>
  <c r="E106" i="8"/>
  <c r="E108" i="8"/>
  <c r="D103" i="8"/>
  <c r="D109" i="8"/>
  <c r="D122" i="8"/>
  <c r="D974" i="61"/>
  <c r="D976" i="61" s="1"/>
  <c r="E986" i="61"/>
  <c r="F127" i="8"/>
  <c r="F986" i="61" s="1"/>
  <c r="E983" i="61"/>
  <c r="F124" i="8"/>
  <c r="F983" i="61" s="1"/>
  <c r="E115" i="8"/>
  <c r="D17" i="51"/>
  <c r="D18" i="51" s="1"/>
  <c r="D20" i="51" s="1"/>
  <c r="D24" i="51" s="1"/>
  <c r="K7" i="51" s="1"/>
  <c r="E10" i="51"/>
  <c r="E36" i="8"/>
  <c r="E895" i="61" s="1"/>
  <c r="F107" i="8" l="1"/>
  <c r="F101" i="8"/>
  <c r="F102" i="8"/>
  <c r="F106" i="8"/>
  <c r="F108" i="8"/>
  <c r="D118" i="8"/>
  <c r="D119" i="8"/>
  <c r="D117" i="8"/>
  <c r="E103" i="8"/>
  <c r="E109" i="8" s="1"/>
  <c r="E974" i="61"/>
  <c r="E976" i="61" s="1"/>
  <c r="F10" i="51"/>
  <c r="F17" i="51" s="1"/>
  <c r="F18" i="51" s="1"/>
  <c r="F20" i="51" s="1"/>
  <c r="F24" i="51" s="1"/>
  <c r="K9" i="51" s="1"/>
  <c r="F115" i="8"/>
  <c r="E17" i="51"/>
  <c r="E18" i="51" s="1"/>
  <c r="E20" i="51" s="1"/>
  <c r="E24" i="51" s="1"/>
  <c r="K8" i="51" s="1"/>
  <c r="F36" i="8"/>
  <c r="F895" i="61" s="1"/>
  <c r="E119" i="8" l="1"/>
  <c r="E118" i="8"/>
  <c r="E117" i="8"/>
  <c r="E122" i="8"/>
  <c r="F103" i="8"/>
  <c r="F109" i="8" s="1"/>
  <c r="F122" i="8"/>
  <c r="F974" i="61"/>
  <c r="F976" i="61" s="1"/>
  <c r="G10" i="51"/>
  <c r="G36" i="8"/>
  <c r="G895" i="61" s="1"/>
  <c r="F118" i="8" l="1"/>
  <c r="F119" i="8"/>
  <c r="F117" i="8"/>
  <c r="H10" i="51"/>
  <c r="H17" i="51" s="1"/>
  <c r="H18" i="51" s="1"/>
  <c r="H20" i="51" s="1"/>
  <c r="H24" i="51" s="1"/>
  <c r="K11" i="51" s="1"/>
  <c r="G17" i="51"/>
  <c r="G18" i="51" s="1"/>
  <c r="G20" i="51" s="1"/>
  <c r="G24" i="51" s="1"/>
  <c r="K10" i="51" s="1"/>
  <c r="H36" i="8"/>
  <c r="H895" i="61" s="1"/>
  <c r="I10" i="51" l="1"/>
  <c r="I36" i="8"/>
  <c r="I895" i="61" s="1"/>
  <c r="C30" i="51" l="1"/>
  <c r="C37" i="51" s="1"/>
  <c r="C38" i="51" s="1"/>
  <c r="C40" i="51" s="1"/>
  <c r="C44" i="51" s="1"/>
  <c r="K13" i="51" s="1"/>
  <c r="I17" i="51"/>
  <c r="I18" i="51" s="1"/>
  <c r="I20" i="51" s="1"/>
  <c r="I24" i="51" s="1"/>
  <c r="K12" i="51" s="1"/>
  <c r="J36" i="8"/>
  <c r="J895" i="61" s="1"/>
  <c r="D30" i="51" l="1"/>
  <c r="K36" i="8"/>
  <c r="K895" i="61" s="1"/>
  <c r="E30" i="51" l="1"/>
  <c r="E37" i="51" s="1"/>
  <c r="E38" i="51" s="1"/>
  <c r="E40" i="51" s="1"/>
  <c r="E44" i="51" s="1"/>
  <c r="K15" i="51" s="1"/>
  <c r="D37" i="51"/>
  <c r="D38" i="51" s="1"/>
  <c r="D40" i="51" s="1"/>
  <c r="D44" i="51" s="1"/>
  <c r="K14" i="51" s="1"/>
  <c r="B65" i="8"/>
  <c r="B924" i="61" s="1"/>
  <c r="F30" i="51" l="1"/>
  <c r="C65" i="8"/>
  <c r="C924" i="61" s="1"/>
  <c r="G30" i="51" l="1"/>
  <c r="G37" i="51" s="1"/>
  <c r="G38" i="51" s="1"/>
  <c r="G40" i="51" s="1"/>
  <c r="G44" i="51" s="1"/>
  <c r="K17" i="51" s="1"/>
  <c r="F37" i="51"/>
  <c r="F38" i="51" s="1"/>
  <c r="F40" i="51" s="1"/>
  <c r="F44" i="51" s="1"/>
  <c r="K16" i="51" s="1"/>
  <c r="D65" i="8"/>
  <c r="D924" i="61" s="1"/>
  <c r="H30" i="51" l="1"/>
  <c r="E65" i="8"/>
  <c r="E924" i="61" s="1"/>
  <c r="I30" i="51" l="1"/>
  <c r="I37" i="51" s="1"/>
  <c r="I38" i="51" s="1"/>
  <c r="I40" i="51" s="1"/>
  <c r="I44" i="51" s="1"/>
  <c r="K19" i="51" s="1"/>
  <c r="H37" i="51"/>
  <c r="H38" i="51" s="1"/>
  <c r="H40" i="51" s="1"/>
  <c r="H44" i="51" s="1"/>
  <c r="K18" i="51" s="1"/>
  <c r="F65" i="8"/>
  <c r="F924" i="61" s="1"/>
  <c r="C50" i="51" l="1"/>
  <c r="G65" i="8"/>
  <c r="G924" i="61" s="1"/>
  <c r="D50" i="51" l="1"/>
  <c r="D57" i="51" s="1"/>
  <c r="D58" i="51" s="1"/>
  <c r="D60" i="51" s="1"/>
  <c r="D64" i="51" s="1"/>
  <c r="K21" i="51" s="1"/>
  <c r="C57" i="51"/>
  <c r="C58" i="51" s="1"/>
  <c r="C60" i="51" s="1"/>
  <c r="C64" i="51" s="1"/>
  <c r="K20" i="51" s="1"/>
  <c r="H65" i="8"/>
  <c r="H924" i="61" s="1"/>
  <c r="E50" i="51" l="1"/>
  <c r="I65" i="8"/>
  <c r="I924" i="61" s="1"/>
  <c r="F50" i="51" l="1"/>
  <c r="F57" i="51" s="1"/>
  <c r="F58" i="51" s="1"/>
  <c r="F60" i="51" s="1"/>
  <c r="F64" i="51" s="1"/>
  <c r="K23" i="51" s="1"/>
  <c r="E57" i="51"/>
  <c r="E58" i="51" s="1"/>
  <c r="E60" i="51" s="1"/>
  <c r="E64" i="51" s="1"/>
  <c r="K22" i="51" s="1"/>
  <c r="J65" i="8"/>
  <c r="J924" i="61" l="1"/>
  <c r="K65" i="8"/>
  <c r="H50" i="51" s="1"/>
  <c r="G50" i="51"/>
  <c r="K924" i="61" l="1"/>
  <c r="C87" i="55"/>
  <c r="H57" i="51"/>
  <c r="H58" i="51" s="1"/>
  <c r="H60" i="51" s="1"/>
  <c r="G57" i="51"/>
  <c r="G58" i="51" s="1"/>
  <c r="G60" i="51" s="1"/>
  <c r="G64" i="51" s="1"/>
  <c r="K24" i="51" s="1"/>
  <c r="F60" i="54"/>
  <c r="O8" i="51"/>
  <c r="L93" i="49"/>
  <c r="L63" i="49"/>
  <c r="B94" i="8"/>
  <c r="B953" i="61" s="1"/>
  <c r="O14" i="51" l="1"/>
  <c r="O33" i="51" s="1"/>
  <c r="H63" i="51" s="1"/>
  <c r="H64" i="51" s="1"/>
  <c r="K25" i="51" s="1"/>
  <c r="G66" i="51" s="1"/>
  <c r="N85" i="49" s="1"/>
  <c r="C94" i="8"/>
  <c r="C953" i="61" s="1"/>
  <c r="D94" i="8" l="1"/>
  <c r="D953" i="61" s="1"/>
  <c r="E94" i="8" l="1"/>
  <c r="E953" i="61" s="1"/>
  <c r="F94" i="8" l="1"/>
  <c r="F953" i="61" s="1"/>
  <c r="G94" i="8" l="1"/>
  <c r="G953" i="61" s="1"/>
  <c r="H94" i="8" l="1"/>
  <c r="H953" i="61" s="1"/>
  <c r="I94" i="8" l="1"/>
  <c r="I953" i="61" s="1"/>
  <c r="J94" i="8" l="1"/>
  <c r="J953" i="61" s="1"/>
  <c r="K94" i="8" l="1"/>
  <c r="O29" i="11"/>
  <c r="O1460" i="61" s="1"/>
  <c r="R1460" i="61" l="1"/>
  <c r="O1835" i="61"/>
  <c r="O1437" i="61" s="1"/>
  <c r="K953" i="61"/>
  <c r="B123" i="8"/>
  <c r="R29" i="11"/>
  <c r="O404" i="11"/>
  <c r="O6" i="11" l="1"/>
  <c r="O1834" i="61"/>
  <c r="B982" i="61"/>
  <c r="C123" i="8"/>
  <c r="C982" i="61" l="1"/>
  <c r="D123" i="8"/>
  <c r="D982" i="61" l="1"/>
  <c r="E123" i="8"/>
  <c r="E982" i="61" l="1"/>
  <c r="F123" i="8"/>
  <c r="F982"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<sst xmlns="http://schemas.openxmlformats.org/spreadsheetml/2006/main" count="12861" uniqueCount="4756">
  <si>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</si>
  <si>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</si>
  <si>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</si>
  <si>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</si>
  <si>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</si>
  <si>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</si>
  <si>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</si>
  <si>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</si>
  <si>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</si>
  <si>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</si>
  <si>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</si>
  <si>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</si>
  <si>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</si>
  <si>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</si>
  <si>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</si>
  <si>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</si>
  <si>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</si>
  <si>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</si>
  <si>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</si>
  <si>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</si>
  <si>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</si>
  <si>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</si>
  <si>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</si>
  <si>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</si>
  <si>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</si>
  <si>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</si>
  <si>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</si>
  <si>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</si>
  <si>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</si>
  <si>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</si>
  <si>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</si>
  <si>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</si>
  <si>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</si>
  <si>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</si>
  <si>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</si>
  <si>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</si>
  <si>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</si>
  <si>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</si>
  <si>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</si>
  <si>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</si>
  <si>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</si>
  <si>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</si>
  <si>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</si>
  <si>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</si>
  <si>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</si>
  <si>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</si>
  <si>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</si>
  <si>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</si>
  <si>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</si>
  <si>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</si>
  <si>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</si>
  <si>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</si>
  <si>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</si>
  <si>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</si>
  <si>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</si>
  <si>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</si>
  <si>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</si>
  <si>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</si>
  <si>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</si>
  <si>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</si>
  <si>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</si>
  <si>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</si>
  <si>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</si>
  <si>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</si>
  <si>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</si>
  <si>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</si>
  <si>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</si>
  <si>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</si>
  <si>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</si>
  <si>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</si>
  <si>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</si>
  <si>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</si>
  <si>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</si>
  <si>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</si>
  <si>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</si>
  <si>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</si>
  <si>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</si>
  <si>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</si>
  <si>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</si>
  <si>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</si>
  <si>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</si>
  <si>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</si>
  <si>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</si>
  <si>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</si>
  <si>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</si>
  <si>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</si>
  <si>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</si>
  <si>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</si>
  <si>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</si>
  <si>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</si>
  <si>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</si>
  <si>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</si>
  <si>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</si>
  <si>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</si>
  <si>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</si>
  <si>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</si>
  <si>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</si>
  <si>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</si>
  <si>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</si>
  <si>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</si>
  <si>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</si>
  <si>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</si>
  <si>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</si>
  <si>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</si>
  <si>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</si>
  <si>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</si>
  <si>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</si>
  <si>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</si>
  <si>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</si>
  <si>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</si>
  <si>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</si>
  <si>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</si>
  <si>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</si>
  <si>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</si>
  <si>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</si>
  <si>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</si>
  <si>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</si>
  <si>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</si>
  <si>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</si>
  <si>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</si>
  <si>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</si>
  <si>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</si>
  <si>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</si>
  <si>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</si>
  <si>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</si>
  <si>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</si>
  <si>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</si>
  <si>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</si>
  <si>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</si>
  <si>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</si>
  <si>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</si>
  <si>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</si>
  <si>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</si>
  <si>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</si>
  <si>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</si>
  <si>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</si>
  <si>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</si>
  <si>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</si>
  <si>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</si>
  <si>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</si>
  <si>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</si>
  <si>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</si>
  <si>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</si>
  <si>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</si>
  <si>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</si>
  <si>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</si>
  <si>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</si>
  <si>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</si>
  <si>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</si>
  <si>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</si>
  <si>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</si>
  <si>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</si>
  <si>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</si>
  <si>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</si>
  <si>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</si>
  <si>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</si>
  <si>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</si>
  <si>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</si>
  <si>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</si>
  <si>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</si>
  <si>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</si>
  <si>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</si>
  <si>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</si>
  <si>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</si>
  <si>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</si>
  <si>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</si>
  <si>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</si>
  <si>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</si>
  <si>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</si>
  <si>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</si>
  <si>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</si>
  <si>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</si>
  <si>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</si>
  <si>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</si>
  <si>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</si>
  <si>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</si>
  <si>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</si>
  <si>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</si>
  <si>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</si>
  <si>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</si>
  <si>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</si>
  <si>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</si>
  <si>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</si>
  <si>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</si>
  <si>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</si>
  <si>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</si>
  <si>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</si>
  <si>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</si>
  <si>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</si>
  <si>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</si>
  <si>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</si>
  <si>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</si>
  <si>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</si>
  <si>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</si>
  <si>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</si>
  <si>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</si>
  <si>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</si>
  <si>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</si>
  <si>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</si>
  <si>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</si>
  <si>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</si>
  <si>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</si>
  <si>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</si>
  <si>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</si>
  <si>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</si>
  <si>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</si>
  <si>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</si>
  <si>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</si>
  <si>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</si>
  <si>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</si>
  <si>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</si>
  <si>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</si>
  <si>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</si>
  <si>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</si>
  <si>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</si>
  <si>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</si>
  <si>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</si>
  <si>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</si>
  <si>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</si>
  <si>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</si>
  <si>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</si>
  <si>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</si>
  <si>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</si>
  <si>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</si>
  <si>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</si>
  <si>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</si>
  <si>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</si>
  <si>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</si>
  <si>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</si>
  <si>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</si>
  <si>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</si>
  <si>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</si>
  <si>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</si>
  <si>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</si>
  <si>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</si>
  <si>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</si>
  <si>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</si>
  <si>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</si>
  <si>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</si>
  <si>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</si>
  <si>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</si>
  <si>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</si>
  <si>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</si>
  <si>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</si>
  <si>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</si>
  <si>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</si>
  <si>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</si>
  <si>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</si>
  <si>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</si>
  <si>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</si>
  <si>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</si>
  <si>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</si>
  <si>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</si>
  <si>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</si>
  <si>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</si>
  <si>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</si>
  <si>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</si>
  <si>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</si>
  <si>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</si>
  <si>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</si>
  <si>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</si>
  <si>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</si>
  <si>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</si>
  <si>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</si>
  <si>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</si>
  <si>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</si>
  <si>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</si>
  <si>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</si>
  <si>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</si>
  <si>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</si>
  <si>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</si>
  <si>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</si>
  <si>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</si>
  <si>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</si>
  <si>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</si>
  <si>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</si>
  <si>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</si>
  <si>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</si>
  <si>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</si>
  <si>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</si>
  <si>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</si>
  <si>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</si>
  <si>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</si>
  <si>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</si>
  <si>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</si>
  <si>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</si>
  <si>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</si>
  <si>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</si>
  <si>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</si>
  <si>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</si>
  <si>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</si>
  <si>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</si>
  <si>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</si>
  <si>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</si>
  <si>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</si>
  <si>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</si>
  <si>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</si>
  <si>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</si>
  <si>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</si>
  <si>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</si>
  <si>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</si>
  <si>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</si>
  <si>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</si>
  <si>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</si>
  <si>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</si>
  <si>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</si>
  <si>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</si>
  <si>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</si>
  <si>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</si>
  <si>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</si>
  <si>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</si>
  <si>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</si>
  <si>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</si>
  <si>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</si>
  <si>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</si>
  <si>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</si>
  <si>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</si>
  <si>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</si>
  <si>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</si>
  <si>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</si>
  <si>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</si>
  <si>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</si>
  <si>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</si>
  <si>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</si>
  <si>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</si>
  <si>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</si>
  <si>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</si>
  <si>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</si>
  <si>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</si>
  <si>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</si>
  <si>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</si>
  <si>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</si>
  <si>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</si>
  <si>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</si>
  <si>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</si>
  <si>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</si>
  <si>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</si>
  <si>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</si>
  <si>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</si>
  <si>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</si>
  <si>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</si>
  <si>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</si>
  <si>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</si>
  <si>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</si>
  <si>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</si>
  <si>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</si>
  <si>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</si>
  <si>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</si>
  <si>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</si>
  <si>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</si>
  <si>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</si>
  <si>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</si>
  <si>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</si>
  <si>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</si>
  <si>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</si>
  <si>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</si>
  <si>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</si>
  <si>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</si>
  <si>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</si>
  <si>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</si>
  <si>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</si>
  <si>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</si>
  <si>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</si>
  <si>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</si>
  <si>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</si>
  <si>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</si>
  <si>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</si>
  <si>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</si>
  <si>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</si>
  <si>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</si>
  <si>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</si>
  <si>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</si>
  <si>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</si>
  <si>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</si>
  <si>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</si>
  <si>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</si>
  <si>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</si>
  <si>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</si>
  <si>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</si>
  <si>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</si>
  <si>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</si>
  <si>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</si>
  <si>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</si>
  <si>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</si>
  <si>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</si>
  <si>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</si>
  <si>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</si>
  <si>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</si>
  <si>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</si>
  <si>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</si>
  <si>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</si>
  <si>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</si>
  <si>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</si>
  <si>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</si>
  <si>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</si>
  <si>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</si>
  <si>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</si>
  <si>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</si>
  <si>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</si>
  <si>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</si>
  <si>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</si>
  <si>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</si>
  <si>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</si>
  <si>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</si>
  <si>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</si>
  <si>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</si>
  <si>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</si>
  <si>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</si>
  <si>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</si>
  <si>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</si>
  <si>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</si>
  <si>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</si>
  <si>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</si>
  <si>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</si>
  <si>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</si>
  <si>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</si>
  <si>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</si>
  <si>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</si>
  <si>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</si>
  <si>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</si>
  <si>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</si>
  <si>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</si>
  <si>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</si>
  <si>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</si>
  <si>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</si>
  <si>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</si>
  <si>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</si>
  <si>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</si>
  <si>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</si>
  <si>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</si>
  <si>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</si>
  <si>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</si>
  <si>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</si>
  <si>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</si>
  <si>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</si>
  <si>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</si>
  <si>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</si>
  <si>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</si>
  <si>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</si>
  <si>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</si>
  <si>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</si>
  <si>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</si>
  <si>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</si>
  <si>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</si>
  <si>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</si>
  <si>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</si>
  <si>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</si>
  <si>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</si>
  <si>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</si>
  <si>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</si>
  <si>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</si>
  <si>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</si>
  <si>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</si>
  <si>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</si>
  <si>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</si>
  <si>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</si>
  <si>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</si>
  <si>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</si>
  <si>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</si>
  <si>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</si>
  <si>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</si>
  <si>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</si>
  <si>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</si>
  <si>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</si>
  <si>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</si>
  <si>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</si>
  <si>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</si>
  <si>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</si>
  <si>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</si>
  <si>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</si>
  <si>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</si>
  <si>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</si>
  <si>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</si>
  <si>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</si>
  <si>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</si>
  <si>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</si>
  <si>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</si>
  <si>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</si>
  <si>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</si>
  <si>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</si>
  <si>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</si>
  <si>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</si>
  <si>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</si>
  <si>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</si>
  <si>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</si>
  <si>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</si>
  <si>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</si>
  <si>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</si>
  <si>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</si>
  <si>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</si>
  <si>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</si>
  <si>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</si>
  <si>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</si>
  <si>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</si>
  <si>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</si>
  <si>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</si>
  <si>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</si>
  <si>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</si>
  <si>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</si>
  <si>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</si>
  <si>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</si>
  <si>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</si>
  <si>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</si>
  <si>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</si>
  <si>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</si>
  <si>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</si>
  <si>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</si>
  <si>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</si>
  <si>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</si>
  <si>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</si>
  <si>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</si>
  <si>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</si>
  <si>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</si>
  <si>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</si>
  <si>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</si>
  <si>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</si>
  <si>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</si>
  <si>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</si>
  <si>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</si>
  <si>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</si>
  <si>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</si>
  <si>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</si>
  <si>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</si>
  <si>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</si>
  <si>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</si>
  <si>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</si>
  <si>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</si>
  <si>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</si>
  <si>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</si>
  <si>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</si>
  <si>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</si>
  <si>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</si>
  <si>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</si>
  <si>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</si>
  <si>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</si>
  <si>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</si>
  <si>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</si>
  <si>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</si>
  <si>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</si>
  <si>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</si>
  <si>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</si>
  <si>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</si>
  <si>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</si>
  <si>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</si>
  <si>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</si>
  <si>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</si>
  <si>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</si>
  <si>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</si>
  <si>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</si>
  <si>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</si>
  <si>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</si>
  <si>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</si>
  <si>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</si>
  <si>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</si>
  <si>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</si>
  <si>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</si>
  <si>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</si>
  <si>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</si>
  <si>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</si>
  <si>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</si>
  <si>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</si>
  <si>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</si>
  <si>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</si>
  <si>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</si>
  <si>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</si>
  <si>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</si>
  <si>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</si>
  <si>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</si>
  <si>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</si>
  <si>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</si>
  <si>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</si>
  <si>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</si>
  <si>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</si>
  <si>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</si>
  <si>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</si>
  <si>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</si>
  <si>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</si>
  <si>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</si>
  <si>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</si>
  <si>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</si>
  <si>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</si>
  <si>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</si>
  <si>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</si>
  <si>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</si>
  <si>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</si>
  <si>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</si>
  <si>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</si>
  <si>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</si>
  <si>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</si>
  <si>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</si>
  <si>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</si>
  <si>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</si>
  <si>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</si>
  <si>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</si>
  <si>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</si>
  <si>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</si>
  <si>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</si>
  <si>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</si>
  <si>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</si>
  <si>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</si>
  <si>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</si>
  <si>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</si>
  <si>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</si>
  <si>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</si>
  <si>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</si>
  <si>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</si>
  <si>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</si>
  <si>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</si>
  <si>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</si>
  <si>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</si>
  <si>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</si>
  <si>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</si>
  <si>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</si>
  <si>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</si>
  <si>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</si>
  <si>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</si>
  <si>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</si>
  <si>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</si>
  <si>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</si>
  <si>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</si>
  <si>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</si>
  <si>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</si>
  <si>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</si>
  <si>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</si>
  <si>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</si>
  <si>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</si>
  <si>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</si>
  <si>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</si>
  <si>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</si>
  <si>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</si>
  <si>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</si>
  <si>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</si>
  <si>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</si>
  <si>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</si>
  <si>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</si>
  <si>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</si>
  <si>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</si>
  <si>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</si>
  <si>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</si>
  <si>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</si>
  <si>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</si>
  <si>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</si>
  <si>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</si>
  <si>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</si>
  <si>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</si>
  <si>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</si>
  <si>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</si>
  <si>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</si>
  <si>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</si>
  <si>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</si>
  <si>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</si>
  <si>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</si>
  <si>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</si>
  <si>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</si>
  <si>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</si>
  <si>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</si>
  <si>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</si>
  <si>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</si>
  <si>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</si>
  <si>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</si>
  <si>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</si>
  <si>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</si>
  <si>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</si>
  <si>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</si>
  <si>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</si>
  <si>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</si>
  <si>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</si>
  <si>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</si>
  <si>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</si>
  <si>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</si>
  <si>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</si>
  <si>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</si>
  <si>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</si>
  <si>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</si>
  <si>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</si>
  <si>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</si>
  <si>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</si>
  <si>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</si>
  <si>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</si>
  <si>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</si>
  <si>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</si>
  <si>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</si>
  <si>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</si>
  <si>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</si>
  <si>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</si>
  <si>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</si>
  <si>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</si>
  <si>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</si>
  <si>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</si>
  <si>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</si>
  <si>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</si>
  <si>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</si>
  <si>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</si>
  <si>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</si>
  <si>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</si>
  <si>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</si>
  <si>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</si>
  <si>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</si>
  <si>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</si>
  <si>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</si>
  <si>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</si>
  <si>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</si>
  <si>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</si>
  <si>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</si>
  <si>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</si>
  <si>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</si>
  <si>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</si>
  <si>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</si>
  <si>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</si>
  <si>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</si>
  <si>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</si>
  <si>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</si>
  <si>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</si>
  <si>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</si>
  <si>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</si>
  <si>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</si>
  <si>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</si>
  <si>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</si>
  <si>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</si>
  <si>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</si>
  <si>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</si>
  <si>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</si>
  <si>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</si>
  <si>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</si>
  <si>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</si>
  <si>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</si>
  <si>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</si>
  <si>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</si>
  <si>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</si>
  <si>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</si>
  <si>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</si>
  <si>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</si>
  <si>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</si>
  <si>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</si>
  <si>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</si>
  <si>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</si>
  <si>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</si>
  <si>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</si>
  <si>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</si>
  <si>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</si>
  <si>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</si>
  <si>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</si>
  <si>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</si>
  <si>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</si>
  <si>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</si>
  <si>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</si>
  <si>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</si>
  <si>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</si>
  <si>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</si>
  <si>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</si>
  <si>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</si>
  <si>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</si>
  <si>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</si>
  <si>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</si>
  <si>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</si>
  <si>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</si>
  <si>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</si>
  <si>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</si>
  <si>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</si>
  <si>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</si>
  <si>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</si>
  <si>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</si>
  <si>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</si>
  <si>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</si>
  <si>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</si>
  <si>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</si>
  <si>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</si>
  <si>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</si>
  <si>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</si>
  <si>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</si>
  <si>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</si>
  <si>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</si>
  <si>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</si>
  <si>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</si>
  <si>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</si>
  <si>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</si>
  <si>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</si>
  <si>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</si>
  <si>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</si>
  <si>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</si>
  <si>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</si>
  <si>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</si>
  <si>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</si>
  <si>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</si>
  <si>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</si>
  <si>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</si>
  <si>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</si>
  <si>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</si>
  <si>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</si>
  <si>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</si>
  <si>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</si>
  <si>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</si>
  <si>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</si>
  <si>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</si>
  <si>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</si>
  <si>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</si>
  <si>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</si>
  <si>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</si>
  <si>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</si>
  <si>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</si>
  <si>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</si>
  <si>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</si>
  <si>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</si>
  <si>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</si>
  <si>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</si>
  <si>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</si>
  <si>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</si>
  <si>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</si>
  <si>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</si>
  <si>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</si>
  <si>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</si>
  <si>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</si>
  <si>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</si>
  <si>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</si>
  <si>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</si>
  <si>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</si>
  <si>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</si>
  <si>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</si>
  <si>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</si>
  <si>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</si>
  <si>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</si>
  <si>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</si>
  <si>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</si>
  <si>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</si>
  <si>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</si>
  <si>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</si>
  <si>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</si>
  <si>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</si>
  <si>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</si>
  <si>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</si>
  <si>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</si>
  <si>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</si>
  <si>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</si>
  <si>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</si>
  <si>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</si>
  <si>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</si>
  <si>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</si>
  <si>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</si>
  <si>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</si>
  <si>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</si>
  <si>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</si>
  <si>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</si>
  <si>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</si>
  <si>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</si>
  <si>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</si>
  <si>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</si>
  <si>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</si>
  <si>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</si>
  <si>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</si>
  <si>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</si>
  <si>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</si>
  <si>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</si>
  <si>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</si>
  <si>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</si>
  <si>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</si>
  <si>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</si>
  <si>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</si>
  <si>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</si>
  <si>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</si>
  <si>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</si>
  <si>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</si>
  <si>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</si>
  <si>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</si>
  <si>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</si>
  <si>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</si>
  <si>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</si>
  <si>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</si>
  <si>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</si>
  <si>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</si>
  <si>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</si>
  <si>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</si>
  <si>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</si>
  <si>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</si>
  <si>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</si>
  <si>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</si>
  <si>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</si>
  <si>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</si>
  <si>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</si>
  <si>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</si>
  <si>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</si>
  <si>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</si>
  <si>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</si>
  <si>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</si>
  <si>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</si>
  <si>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</si>
  <si>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</si>
  <si>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</si>
  <si>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</si>
  <si>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</si>
  <si>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</si>
  <si>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</si>
  <si>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</si>
  <si>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</si>
  <si>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</si>
  <si>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</si>
  <si>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</si>
  <si>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</si>
  <si>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</si>
  <si>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</si>
  <si>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</si>
  <si>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</si>
  <si>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</si>
  <si>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</si>
  <si>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</si>
  <si>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</si>
  <si>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</si>
  <si>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</si>
  <si>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</si>
  <si>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</si>
  <si>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</si>
  <si>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</si>
  <si>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</si>
  <si>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</si>
  <si>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</si>
  <si>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</si>
  <si>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</si>
  <si>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</si>
  <si>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</si>
  <si>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</si>
  <si>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</si>
  <si>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</si>
  <si>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</si>
  <si>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</si>
  <si>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</si>
  <si>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</si>
  <si>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</si>
  <si>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</si>
  <si>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</si>
  <si>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</si>
  <si>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</si>
  <si>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</si>
  <si>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</si>
  <si>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</si>
  <si>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</si>
  <si>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</si>
  <si>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</si>
  <si>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</si>
  <si>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</si>
  <si>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</si>
  <si>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</si>
  <si>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</si>
  <si>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</si>
  <si>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</si>
  <si>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</si>
  <si>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</si>
  <si>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</si>
  <si>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</si>
  <si>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</si>
  <si>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</si>
  <si>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</si>
  <si>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</si>
  <si>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</si>
  <si>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</si>
  <si>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</si>
  <si>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</si>
  <si>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</si>
  <si>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</si>
  <si>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</si>
  <si>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</si>
  <si>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</si>
  <si>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</si>
  <si>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</si>
  <si>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</si>
  <si>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</si>
  <si>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</si>
  <si>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</si>
  <si>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</si>
  <si>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</si>
  <si>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</si>
  <si>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</si>
  <si>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</si>
  <si>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</si>
  <si>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</si>
  <si>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</si>
  <si>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</si>
  <si>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</si>
  <si>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</si>
  <si>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</si>
  <si>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</si>
  <si>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</si>
  <si>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</si>
  <si>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</si>
  <si>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</si>
  <si>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</si>
  <si>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</si>
  <si>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</si>
  <si>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</si>
  <si>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</si>
  <si>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</si>
  <si>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</si>
  <si>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</si>
  <si>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</si>
  <si>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</si>
  <si>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</si>
  <si>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</si>
  <si>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</si>
  <si>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</si>
  <si>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</si>
  <si>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</si>
  <si>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</si>
  <si>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</si>
  <si>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</si>
  <si>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</si>
  <si>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</si>
  <si>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</si>
  <si>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</si>
  <si>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</si>
  <si>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</si>
  <si>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</si>
  <si>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</si>
  <si>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</si>
  <si>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</si>
  <si>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</si>
  <si>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</si>
  <si>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</si>
  <si>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</si>
  <si>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</si>
  <si>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</si>
  <si>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</si>
  <si>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</si>
  <si>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</si>
  <si>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</si>
  <si>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</si>
  <si>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</si>
  <si>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</si>
  <si>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</si>
  <si>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</si>
  <si>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</si>
  <si>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</si>
  <si>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</si>
  <si>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</si>
  <si>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</si>
  <si>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</si>
  <si>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</si>
  <si>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</si>
  <si>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</si>
  <si>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</si>
  <si>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</si>
  <si>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</si>
  <si>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</si>
  <si>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</si>
  <si>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</si>
  <si>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</si>
  <si>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</si>
  <si>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</si>
  <si>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</si>
  <si>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</si>
  <si>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</si>
  <si>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</si>
  <si>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</si>
  <si>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</si>
  <si>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</si>
  <si>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</si>
  <si>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</si>
  <si>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</si>
  <si>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</si>
  <si>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</si>
  <si>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</si>
  <si>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</si>
  <si>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</si>
  <si>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</si>
  <si>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</si>
  <si>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</si>
  <si>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</si>
  <si>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</si>
  <si>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</si>
  <si>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</si>
  <si>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</si>
  <si>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</si>
  <si>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</si>
  <si>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</si>
  <si>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</si>
  <si>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</si>
  <si>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</si>
  <si>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</si>
  <si>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</si>
  <si>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</si>
  <si>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</si>
  <si>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</si>
  <si>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</si>
  <si>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</si>
  <si>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</si>
  <si>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</si>
  <si>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</si>
  <si>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</si>
  <si>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</si>
  <si>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</si>
  <si>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</si>
  <si>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</si>
  <si>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</si>
  <si>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</si>
  <si>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</si>
  <si>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</si>
  <si>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</si>
  <si>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</si>
  <si>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</si>
  <si>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</si>
  <si>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</si>
  <si>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</si>
  <si>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</si>
  <si>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</si>
  <si>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</si>
  <si>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</si>
  <si>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</si>
  <si>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</si>
  <si>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</si>
  <si>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</si>
  <si>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</si>
  <si>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</si>
  <si>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</si>
  <si>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</si>
  <si>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</si>
  <si>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</si>
  <si>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</si>
  <si>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</si>
  <si>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</si>
  <si>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</si>
  <si>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</si>
  <si>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</si>
  <si>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</si>
  <si>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</si>
  <si>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</si>
  <si>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</si>
  <si>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</si>
  <si>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</si>
  <si>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</si>
  <si>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</si>
  <si>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</si>
  <si>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</si>
  <si>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</si>
  <si>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</si>
  <si>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</si>
  <si>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</si>
  <si>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</si>
  <si>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</si>
  <si>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</si>
  <si>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</si>
  <si>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</si>
  <si>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</si>
  <si>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</si>
  <si>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</si>
  <si>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</si>
  <si>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</si>
  <si>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</si>
  <si>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</si>
  <si>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</si>
  <si>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</si>
  <si>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</si>
  <si>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</si>
  <si>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</si>
  <si>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</si>
  <si>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</si>
  <si>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</si>
  <si>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</si>
  <si>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</si>
  <si>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</si>
  <si>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</si>
  <si>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</si>
  <si>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</si>
  <si>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</si>
  <si>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</si>
  <si>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</si>
  <si>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</si>
  <si>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</si>
  <si>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</si>
  <si>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</si>
  <si>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</si>
  <si>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</si>
  <si>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</si>
  <si>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</si>
  <si>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</si>
  <si>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</si>
  <si>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</si>
  <si>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</si>
  <si>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</si>
  <si>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</si>
  <si>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</si>
  <si>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</si>
  <si>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</si>
  <si>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</si>
  <si>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</si>
  <si>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</si>
  <si>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</si>
  <si>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</si>
  <si>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</si>
  <si>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</si>
  <si>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</si>
  <si>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</si>
  <si>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</si>
  <si>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</si>
  <si>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</si>
  <si>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</si>
  <si>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</si>
  <si>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</si>
  <si>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</si>
  <si>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</si>
  <si>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</si>
  <si>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</si>
  <si>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</si>
  <si>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</si>
  <si>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</si>
  <si>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</si>
  <si>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</si>
  <si>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</si>
  <si>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</si>
  <si>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</si>
  <si>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</si>
  <si>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</si>
  <si>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</si>
  <si>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</si>
  <si>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</si>
  <si>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</si>
  <si>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</si>
  <si>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</si>
  <si>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</si>
  <si>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</si>
  <si>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</si>
  <si>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</si>
  <si>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</si>
  <si>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</si>
  <si>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</si>
  <si>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</si>
  <si>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</si>
  <si>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</si>
  <si>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</si>
  <si>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</si>
  <si>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</si>
  <si>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</si>
  <si>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</si>
  <si>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</si>
  <si>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</si>
  <si>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</si>
  <si>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</si>
  <si>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</si>
  <si>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</si>
  <si>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</si>
  <si>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</si>
  <si>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</si>
  <si>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</si>
  <si>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</si>
  <si>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</si>
  <si>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</si>
  <si>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</si>
  <si>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</si>
  <si>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</si>
  <si>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</si>
  <si>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</si>
  <si>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</si>
  <si>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</si>
  <si>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</si>
  <si>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</si>
  <si>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</si>
  <si>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</si>
  <si>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</si>
  <si>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</si>
  <si>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</si>
  <si>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</si>
  <si>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</si>
  <si>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</si>
  <si>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</si>
  <si>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</si>
  <si>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</si>
  <si>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</si>
  <si>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</si>
  <si>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</si>
  <si>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</si>
  <si>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</si>
  <si>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</si>
  <si>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</si>
  <si>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</si>
  <si>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</si>
  <si>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</si>
  <si>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</si>
  <si>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</si>
  <si>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</si>
  <si>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</si>
  <si>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</si>
  <si>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</si>
  <si>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</si>
  <si>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</si>
  <si>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</si>
  <si>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</si>
  <si>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</si>
  <si>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</si>
  <si>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</si>
  <si>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</si>
  <si>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</si>
  <si>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</si>
  <si>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</si>
  <si>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</si>
  <si>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</si>
  <si>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</si>
  <si>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</si>
  <si>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</si>
  <si>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</si>
  <si>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</si>
  <si>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</si>
  <si>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</si>
  <si>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</si>
  <si>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</si>
  <si>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</si>
  <si>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</si>
  <si>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</si>
  <si>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</si>
  <si>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</si>
  <si>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</si>
  <si>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</si>
  <si>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</si>
  <si>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</si>
  <si>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</si>
  <si>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</si>
  <si>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</si>
  <si>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</si>
  <si>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</si>
  <si>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</si>
  <si>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</si>
  <si>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</si>
  <si>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</si>
  <si>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</si>
  <si>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</si>
  <si>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</si>
  <si>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</si>
  <si>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</si>
  <si>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</si>
  <si>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</si>
  <si>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</si>
  <si>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</si>
  <si>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</si>
  <si>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</si>
  <si>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</si>
  <si>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</si>
  <si>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</si>
  <si>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</si>
  <si>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</si>
  <si>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</si>
  <si>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</si>
  <si>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</si>
  <si>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</si>
  <si>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</si>
  <si>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</si>
  <si>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</si>
  <si>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</si>
  <si>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</si>
  <si>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</si>
  <si>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</si>
  <si>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</si>
  <si>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</si>
  <si>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</si>
  <si>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</si>
  <si>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</si>
  <si>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</si>
  <si>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</si>
  <si>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</si>
  <si>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</si>
  <si>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</si>
  <si>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</si>
  <si>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</si>
  <si>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</si>
  <si>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</si>
  <si>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</si>
  <si>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</si>
  <si>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</si>
  <si>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</si>
  <si>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</si>
  <si>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</si>
  <si>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</si>
  <si>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</si>
  <si>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</si>
  <si>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</si>
  <si>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</si>
  <si>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</si>
  <si>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</si>
  <si>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</si>
  <si>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</si>
  <si>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</si>
  <si>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</si>
  <si>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</si>
  <si>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</si>
  <si>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</si>
  <si>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</si>
  <si>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</si>
  <si>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</si>
  <si>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</si>
  <si>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</si>
  <si>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</si>
  <si>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</si>
  <si>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</si>
  <si>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</si>
  <si>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</si>
  <si>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</si>
  <si>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</si>
  <si>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</si>
  <si>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</si>
  <si>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</si>
  <si>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</si>
  <si>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</si>
  <si>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</si>
  <si>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</si>
  <si>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</si>
  <si>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</si>
  <si>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</si>
  <si>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</si>
  <si>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</si>
  <si>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</si>
  <si>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</si>
  <si>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</si>
  <si>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</si>
  <si>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</si>
  <si>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</si>
  <si>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</si>
  <si>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</si>
  <si>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</si>
  <si>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</si>
  <si>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</si>
  <si>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</si>
  <si>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</si>
  <si>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</si>
  <si>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</si>
  <si>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</si>
  <si>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</si>
  <si>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</si>
  <si>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</si>
  <si>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</si>
  <si>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</si>
  <si>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</si>
  <si>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</si>
  <si>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</si>
  <si>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</si>
  <si>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</si>
  <si>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</si>
  <si>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</si>
  <si>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</si>
  <si>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</si>
  <si>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</si>
  <si>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</si>
  <si>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</si>
  <si>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</si>
  <si>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</si>
  <si>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</si>
  <si>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</si>
  <si>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</si>
  <si>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</si>
  <si>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</si>
  <si>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</si>
  <si>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</si>
  <si>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</si>
  <si>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</si>
  <si>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</si>
  <si>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</si>
  <si>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</si>
  <si>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</si>
  <si>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</si>
  <si>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</si>
  <si>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</si>
  <si>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</si>
  <si>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</si>
  <si>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</si>
  <si>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</si>
  <si>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</si>
  <si>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</si>
  <si>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</si>
  <si>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</si>
  <si>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</si>
  <si>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</si>
  <si>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</si>
  <si>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</si>
  <si>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</si>
  <si>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</si>
  <si>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</si>
  <si>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</si>
  <si>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</si>
  <si>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</si>
  <si>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</si>
  <si>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</si>
  <si>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</si>
  <si>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</si>
  <si>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</si>
  <si>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</si>
  <si>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</si>
  <si>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</si>
  <si>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</si>
  <si>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</si>
  <si>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</si>
  <si>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</si>
  <si>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</si>
  <si>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</si>
  <si>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</si>
  <si>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</si>
  <si>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</si>
  <si>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</si>
  <si>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</si>
  <si>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</si>
  <si>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</si>
  <si>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</si>
  <si>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</si>
  <si>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</si>
  <si>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</si>
  <si>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</si>
  <si>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</si>
  <si>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</si>
  <si>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</si>
  <si>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</si>
  <si>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</si>
  <si>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</si>
  <si>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</si>
  <si>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</si>
  <si>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</si>
  <si>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</si>
  <si>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</si>
  <si>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</si>
  <si>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</si>
  <si>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</si>
  <si>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</si>
  <si>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</si>
  <si>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</si>
  <si>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</si>
  <si>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</si>
  <si>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</si>
  <si>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</si>
  <si>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</si>
  <si>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</si>
  <si>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</si>
  <si>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</si>
  <si>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</si>
  <si>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</si>
  <si>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</si>
  <si>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</si>
  <si>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</si>
  <si>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</si>
  <si>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</si>
  <si>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</si>
  <si>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</si>
  <si>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</si>
  <si>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</si>
  <si>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</si>
  <si>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</si>
  <si>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</si>
  <si>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</si>
  <si>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</si>
  <si>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</si>
  <si>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</si>
  <si>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</si>
  <si>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</si>
  <si>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</si>
  <si>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</si>
  <si>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</si>
  <si>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</si>
  <si>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</si>
  <si>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</si>
  <si>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</si>
  <si>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</si>
  <si>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</si>
  <si>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</si>
  <si>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</si>
  <si>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</si>
  <si>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</si>
  <si>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</si>
  <si>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</si>
  <si>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</si>
  <si>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</si>
  <si>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</si>
  <si>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</si>
  <si>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</si>
  <si>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</si>
  <si>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</si>
  <si>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</si>
  <si>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</si>
  <si>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</si>
  <si>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</si>
  <si>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</si>
  <si>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</si>
  <si>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</si>
  <si>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</si>
  <si>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</si>
  <si>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</si>
  <si>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</si>
  <si>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</si>
  <si>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</si>
  <si>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</si>
  <si>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</si>
  <si>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</si>
  <si>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</si>
  <si>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</si>
  <si>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</si>
  <si>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</si>
  <si>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</si>
  <si>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</si>
  <si>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</si>
  <si>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</si>
  <si>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</si>
  <si>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</si>
  <si>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</si>
  <si>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</si>
  <si>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</si>
  <si>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</si>
  <si>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</si>
  <si>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</si>
  <si>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</si>
  <si>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</si>
  <si>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</si>
  <si>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</si>
  <si>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</si>
  <si>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</si>
  <si>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</si>
  <si>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</si>
  <si>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</si>
  <si>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</si>
  <si>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</si>
  <si>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</si>
  <si>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</si>
  <si>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</si>
  <si>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</si>
  <si>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</si>
  <si>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</si>
  <si>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</si>
  <si>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</si>
  <si>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</si>
  <si>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</si>
  <si>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</si>
  <si>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</si>
  <si>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</si>
  <si>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</si>
  <si>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</si>
  <si>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</si>
  <si>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</si>
  <si>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</si>
  <si>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</si>
  <si>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</si>
  <si>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</si>
  <si>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</si>
  <si>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</si>
  <si>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</si>
  <si>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</si>
  <si>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</si>
  <si>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</si>
  <si>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</si>
  <si>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</si>
  <si>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</si>
  <si>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</si>
  <si>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</si>
  <si>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</si>
  <si>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</si>
  <si>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</si>
  <si>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</si>
  <si>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</si>
  <si>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</si>
  <si>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</si>
  <si>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</si>
  <si>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</si>
  <si>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</si>
  <si>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</si>
  <si>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</si>
  <si>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</si>
  <si>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</si>
  <si>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</si>
  <si>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</si>
  <si>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</si>
  <si>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</si>
  <si>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</si>
  <si>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</si>
  <si>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</si>
  <si>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</si>
  <si>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</si>
  <si>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</si>
  <si>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</si>
  <si>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</si>
  <si>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</si>
  <si>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</si>
  <si>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</si>
  <si>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</si>
  <si>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</si>
  <si>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</si>
  <si>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</si>
  <si>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</si>
  <si>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</si>
  <si>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</si>
  <si>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</si>
  <si>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</si>
  <si>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</si>
  <si>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</si>
  <si>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</si>
  <si>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</si>
  <si>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</si>
  <si>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</si>
  <si>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</si>
  <si>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</si>
  <si>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</si>
  <si>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</si>
  <si>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</si>
  <si>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</si>
  <si>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</si>
  <si>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</si>
  <si>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</si>
  <si>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</si>
  <si>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</si>
  <si>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</si>
  <si>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</si>
  <si>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</si>
  <si>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</si>
  <si>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</si>
  <si>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</si>
  <si>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</si>
  <si>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</si>
  <si>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</si>
  <si>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</si>
  <si>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</si>
  <si>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</si>
  <si>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</si>
  <si>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</si>
  <si>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</si>
  <si>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</si>
  <si>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</si>
  <si>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</si>
  <si>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</si>
  <si>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</si>
  <si>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</si>
  <si>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</si>
  <si>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</si>
  <si>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</si>
  <si>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</si>
  <si>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</si>
  <si>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</si>
  <si>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</si>
  <si>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</si>
  <si>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</si>
  <si>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</si>
  <si>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</si>
  <si>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</si>
  <si>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</si>
  <si>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</si>
  <si>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</si>
  <si>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</si>
  <si>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</si>
  <si>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</si>
  <si>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</si>
  <si>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</si>
  <si>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</si>
  <si>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</si>
  <si>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</si>
  <si>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</si>
  <si>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</si>
  <si>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</si>
  <si>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</si>
  <si>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</si>
  <si>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</si>
  <si>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</si>
  <si>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</si>
  <si>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</si>
  <si>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</si>
  <si>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</si>
  <si>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</si>
  <si>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</si>
  <si>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</si>
  <si>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</si>
  <si>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</si>
  <si>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</si>
  <si>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</si>
  <si>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</si>
  <si>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</si>
  <si>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</si>
  <si>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</si>
  <si>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</si>
  <si>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</si>
  <si>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</si>
  <si>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</si>
  <si>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</si>
  <si>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</si>
  <si>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</si>
  <si>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</si>
  <si>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</si>
  <si>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</si>
  <si>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</si>
  <si>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</si>
  <si>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</si>
  <si>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</si>
  <si>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</si>
  <si>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</si>
  <si>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</si>
  <si>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</si>
  <si>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</si>
  <si>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</si>
  <si>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</si>
  <si>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</si>
  <si>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</si>
  <si>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</si>
  <si>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</si>
  <si>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</si>
  <si>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</si>
  <si>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</si>
  <si>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</si>
  <si>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</si>
  <si>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</si>
  <si>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</si>
  <si>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</si>
  <si>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</si>
  <si>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</si>
  <si>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</si>
  <si>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</si>
  <si>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</si>
  <si>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</si>
  <si>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</si>
  <si>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</si>
  <si>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</si>
  <si>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</si>
  <si>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</si>
  <si>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</si>
  <si>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</si>
  <si>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</si>
  <si>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</si>
  <si>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</si>
  <si>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</si>
  <si>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</si>
  <si>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</si>
  <si>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</si>
  <si>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</si>
  <si>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</si>
  <si>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</si>
  <si>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</si>
  <si>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</si>
  <si>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</si>
  <si>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</si>
  <si>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</si>
  <si>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</si>
  <si>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</si>
  <si>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</si>
  <si>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</si>
  <si>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</si>
  <si>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</si>
  <si>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</si>
  <si>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</si>
  <si>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</si>
  <si>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</si>
  <si>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</si>
  <si>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</si>
  <si>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</si>
  <si>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</si>
  <si>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</si>
  <si>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</si>
  <si>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</si>
  <si>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</si>
  <si>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</si>
  <si>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</si>
  <si>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</si>
  <si>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</si>
  <si>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</si>
  <si>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</si>
  <si>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</si>
  <si>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</si>
  <si>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</si>
  <si>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</si>
  <si>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</si>
  <si>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</si>
  <si>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</si>
  <si>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</si>
  <si>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</si>
  <si>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</si>
  <si>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</si>
  <si>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</si>
  <si>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</si>
  <si>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</si>
  <si>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</si>
  <si>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</si>
  <si>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</si>
  <si>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</si>
  <si>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</si>
  <si>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</si>
  <si>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</si>
  <si>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</si>
  <si>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</si>
  <si>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</si>
  <si>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</si>
  <si>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</si>
  <si>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</si>
  <si>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</si>
  <si>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</si>
  <si>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</si>
  <si>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</si>
  <si>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</si>
  <si>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</si>
  <si>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</si>
  <si>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</si>
  <si>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</si>
  <si>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</si>
  <si>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</si>
  <si>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</si>
  <si>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</si>
  <si>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</si>
  <si>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</si>
  <si>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</si>
  <si>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</si>
  <si>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</si>
  <si>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</si>
  <si>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</si>
  <si>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</si>
  <si>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</si>
  <si>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</si>
  <si>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</si>
  <si>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</si>
  <si>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</si>
  <si>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</si>
  <si>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</si>
  <si>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</si>
  <si>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</si>
  <si>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</si>
  <si>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</si>
  <si>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</si>
  <si>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</si>
  <si>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</si>
  <si>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</si>
  <si>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</si>
  <si>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</si>
  <si>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</si>
  <si>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</si>
  <si>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</si>
  <si>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</si>
  <si>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</si>
  <si>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</si>
  <si>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</si>
  <si>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</si>
  <si>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</si>
  <si>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</si>
  <si>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</si>
  <si>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</si>
  <si>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</si>
  <si>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</si>
  <si>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</si>
  <si>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</si>
  <si>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</si>
  <si>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</si>
  <si>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</si>
  <si>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</si>
  <si>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</si>
  <si>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</si>
  <si>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</si>
  <si>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</si>
  <si>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</si>
  <si>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</si>
  <si>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</si>
  <si>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</si>
  <si>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</si>
  <si>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</si>
  <si>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</si>
  <si>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</si>
  <si>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</si>
  <si>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</si>
  <si>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</si>
  <si>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</si>
  <si>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</si>
  <si>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</si>
  <si>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</si>
  <si>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</si>
  <si>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</si>
  <si>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</si>
  <si>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</si>
  <si>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</si>
  <si>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</si>
  <si>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</si>
  <si>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</si>
  <si>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</si>
  <si>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</si>
  <si>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</si>
  <si>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</si>
  <si>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</si>
  <si>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</si>
  <si>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</si>
  <si>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</si>
  <si>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</si>
  <si>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</si>
  <si>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</si>
  <si>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</si>
  <si>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</si>
  <si>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</si>
  <si>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</si>
  <si>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</si>
  <si>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</si>
  <si>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</si>
  <si>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</si>
  <si>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</si>
  <si>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</si>
  <si>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</si>
  <si>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</si>
  <si>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</si>
  <si>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</si>
  <si>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</si>
  <si>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</si>
  <si>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</si>
  <si>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</si>
  <si>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</si>
  <si>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</si>
  <si>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</si>
  <si>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</si>
  <si>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</si>
  <si>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</si>
  <si>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</si>
  <si>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</si>
  <si>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</si>
  <si>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</si>
  <si>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</si>
  <si>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</si>
  <si>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</si>
  <si>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</si>
  <si>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</si>
  <si>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</si>
  <si>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</si>
  <si>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</si>
  <si>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</si>
  <si>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</si>
  <si>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</si>
  <si>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</si>
  <si>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</si>
  <si>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</si>
  <si>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</si>
  <si>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</si>
  <si>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</si>
  <si>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</si>
  <si>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</si>
  <si>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</si>
  <si>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</si>
  <si>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</si>
  <si>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</si>
  <si>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</si>
  <si>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</si>
  <si>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</si>
  <si>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</si>
  <si>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</si>
  <si>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</si>
  <si>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</si>
  <si>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</si>
  <si>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</si>
  <si>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</si>
  <si>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</si>
  <si>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</si>
  <si>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</si>
  <si>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</si>
  <si>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</si>
  <si>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</si>
  <si>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</si>
  <si>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</si>
  <si>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</si>
  <si>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</si>
  <si>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</si>
  <si>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</si>
  <si>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</si>
  <si>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</si>
  <si>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</si>
  <si>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</si>
  <si>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</si>
  <si>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</si>
  <si>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</si>
  <si>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</si>
  <si>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</si>
  <si>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</si>
  <si>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</si>
  <si>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</si>
  <si>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</si>
  <si>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</si>
  <si>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</si>
  <si>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</si>
  <si>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</si>
  <si>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</si>
  <si>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</si>
  <si>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</si>
  <si>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</si>
  <si>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</si>
  <si>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</si>
  <si>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</si>
  <si>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</si>
  <si>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</si>
  <si>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</si>
  <si>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</si>
  <si>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</si>
  <si>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</si>
  <si>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</si>
  <si>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</si>
  <si>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</si>
  <si>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</si>
  <si>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</si>
  <si>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</si>
  <si>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</si>
  <si>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</si>
  <si>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</si>
  <si>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</si>
  <si>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</si>
  <si>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</si>
  <si>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</si>
  <si>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</si>
  <si>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</si>
  <si>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</si>
  <si>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</si>
  <si>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</si>
  <si>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</si>
  <si>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</si>
  <si>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</si>
  <si>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</si>
  <si>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</si>
  <si>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</si>
  <si>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</si>
  <si>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</si>
  <si>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</si>
  <si>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</si>
  <si>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</si>
  <si>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</si>
  <si>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</si>
  <si>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</si>
  <si>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</si>
  <si>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</si>
  <si>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</si>
  <si>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</si>
  <si>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</si>
  <si>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</si>
  <si>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</si>
  <si>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</si>
  <si>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</si>
  <si>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</si>
  <si>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</si>
  <si>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</si>
  <si>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</si>
  <si>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</si>
  <si>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</si>
  <si>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</si>
  <si>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</si>
  <si>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</si>
  <si>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</si>
  <si>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</si>
  <si>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</si>
  <si>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</si>
  <si>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</si>
  <si>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</si>
  <si>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</si>
  <si>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</si>
  <si>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</si>
  <si>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</si>
  <si>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</si>
  <si>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</si>
  <si>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</si>
  <si>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</si>
  <si>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</si>
  <si>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</si>
  <si>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</si>
  <si>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</si>
  <si>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</si>
  <si>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</si>
  <si>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</si>
  <si>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</si>
  <si>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</si>
  <si>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</si>
  <si>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</si>
  <si>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</si>
  <si>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</si>
  <si>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</si>
  <si>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</si>
  <si>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</si>
  <si>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</si>
  <si>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</si>
  <si>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</si>
  <si>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</si>
  <si>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</si>
  <si>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</si>
  <si>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</si>
  <si>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</si>
  <si>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</si>
  <si>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</si>
  <si>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</si>
  <si>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</si>
  <si>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</si>
  <si>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</si>
  <si>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</si>
  <si>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</si>
  <si>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</si>
  <si>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</si>
  <si>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</si>
  <si>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</si>
  <si>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</si>
  <si>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</si>
  <si>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</si>
  <si>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</si>
  <si>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</si>
  <si>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</si>
  <si>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</si>
  <si>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</si>
  <si>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</si>
  <si>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</si>
  <si>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</si>
  <si>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</si>
  <si>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</si>
  <si>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</si>
  <si>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</si>
  <si>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</si>
  <si>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</si>
  <si>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</si>
  <si>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</si>
  <si>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</si>
  <si>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</si>
  <si>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</si>
  <si>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</si>
  <si>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</si>
  <si>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</si>
  <si>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</si>
  <si>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</si>
  <si>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</si>
  <si>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</si>
  <si>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</si>
  <si>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</si>
  <si>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</si>
  <si>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</si>
  <si>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</si>
  <si>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</si>
  <si>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</si>
  <si>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</si>
  <si>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</si>
  <si>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</si>
  <si>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</si>
  <si>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</si>
  <si>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</si>
  <si>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</si>
  <si>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</si>
  <si>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</si>
  <si>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</si>
  <si>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</si>
  <si>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</si>
  <si>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</si>
  <si>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</si>
  <si>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</si>
  <si>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</si>
  <si>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</si>
  <si>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</si>
  <si>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</si>
  <si>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</si>
  <si>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</si>
  <si>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</si>
  <si>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</si>
  <si>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</si>
  <si>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</si>
  <si>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</si>
  <si>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</si>
  <si>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</si>
  <si>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</si>
  <si>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</si>
  <si>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</si>
  <si>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</si>
  <si>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</si>
  <si>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</si>
  <si>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</si>
  <si>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</si>
  <si>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</si>
  <si>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</si>
  <si>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</si>
  <si>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</si>
  <si>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</si>
  <si>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</si>
  <si>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</si>
  <si>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</si>
  <si>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</si>
  <si>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</si>
  <si>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</si>
  <si>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</si>
  <si>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</si>
  <si>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</si>
  <si>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</si>
  <si>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</si>
  <si>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</si>
  <si>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</si>
  <si>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</si>
  <si>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</si>
  <si>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</si>
  <si>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</si>
  <si>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</si>
  <si>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</si>
  <si>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</si>
  <si>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</si>
  <si>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</si>
  <si>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</si>
  <si>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</si>
  <si>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</si>
  <si>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</si>
  <si>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</si>
  <si>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</si>
  <si>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</si>
  <si>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</si>
  <si>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</si>
  <si>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</si>
  <si>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</si>
  <si>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</si>
  <si>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</si>
  <si>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</si>
  <si>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</si>
  <si>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</si>
  <si>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</si>
  <si>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</si>
  <si>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</si>
  <si>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</si>
  <si>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</si>
  <si>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</si>
  <si>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</si>
  <si>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</si>
  <si>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</si>
  <si>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</si>
  <si>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</si>
  <si>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</si>
  <si>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</si>
  <si>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</si>
  <si>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</si>
  <si>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</si>
  <si>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</si>
  <si>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</si>
  <si>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</si>
  <si>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</si>
  <si>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</si>
  <si>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</si>
  <si>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</si>
  <si>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</si>
  <si>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</si>
  <si>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</si>
  <si>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</si>
  <si>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</si>
  <si>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</si>
  <si>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</si>
  <si>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</si>
  <si>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</si>
  <si>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</si>
  <si>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</si>
  <si>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</si>
  <si>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</si>
  <si>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</si>
  <si>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</si>
  <si>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</si>
  <si>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</si>
  <si>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</si>
  <si>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</si>
  <si>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</si>
  <si>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</si>
  <si>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</si>
  <si>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</si>
  <si>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</si>
  <si>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</si>
  <si>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</si>
  <si>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</si>
  <si>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</si>
  <si>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</si>
  <si>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</si>
  <si>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</si>
  <si>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</si>
  <si>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</si>
  <si>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</si>
  <si>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</si>
  <si>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</si>
  <si>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</si>
  <si>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</si>
  <si>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</si>
  <si>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</si>
  <si>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</si>
  <si>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</si>
  <si>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</si>
  <si>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</si>
  <si>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</si>
  <si>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</si>
  <si>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</si>
  <si>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</si>
  <si>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</si>
  <si>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</si>
  <si>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</si>
  <si>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</si>
  <si>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</si>
  <si>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</si>
  <si>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</si>
  <si>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</si>
  <si>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</si>
  <si>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</si>
  <si>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</si>
  <si>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</si>
  <si>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</si>
  <si>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</si>
  <si>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</si>
  <si>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</si>
  <si>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</si>
  <si>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</si>
  <si>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</si>
  <si>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</si>
  <si>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</si>
  <si>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</si>
  <si>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</si>
  <si>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</si>
  <si>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</si>
  <si>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</si>
  <si>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</si>
  <si>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</si>
  <si>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</si>
  <si>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</si>
  <si>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</si>
  <si>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</si>
  <si>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</si>
  <si>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</si>
  <si>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</si>
  <si>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</si>
  <si>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</si>
  <si>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</si>
  <si>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</si>
  <si>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</si>
  <si>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</si>
  <si>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</si>
  <si>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</si>
  <si>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</si>
  <si>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</si>
  <si>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</si>
  <si>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</si>
  <si>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</si>
  <si>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</si>
  <si>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</si>
  <si>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</si>
  <si>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</si>
  <si>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</si>
  <si>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</si>
  <si>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</si>
  <si>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</si>
  <si>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</si>
  <si>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</si>
  <si>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</si>
  <si>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</si>
  <si>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</si>
  <si>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</si>
  <si>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</si>
  <si>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</si>
  <si>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</si>
  <si>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</si>
  <si>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</si>
  <si>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</si>
  <si>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</si>
  <si>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</si>
  <si>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</si>
  <si>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</si>
  <si>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</si>
  <si>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</si>
  <si>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</si>
  <si>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</si>
  <si>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</si>
  <si>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</si>
  <si>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</si>
  <si>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</si>
  <si>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</si>
  <si>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</si>
  <si>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</si>
  <si>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</si>
  <si>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</si>
  <si>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</si>
  <si>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</si>
  <si>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</si>
  <si>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</si>
  <si>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</si>
  <si>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</si>
  <si>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</si>
  <si>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</si>
  <si>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</si>
  <si>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</si>
  <si>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</si>
  <si>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</si>
  <si>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</si>
  <si>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</si>
  <si>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</si>
  <si>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</si>
  <si>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</si>
  <si>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</si>
  <si>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</si>
  <si>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</si>
  <si>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</si>
  <si>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</si>
  <si>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</si>
  <si>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</si>
  <si>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</si>
  <si>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</si>
  <si>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</si>
  <si>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</si>
  <si>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</si>
  <si>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</si>
  <si>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</si>
  <si>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</si>
  <si>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</si>
  <si>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</si>
  <si>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</si>
  <si>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</si>
  <si>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</si>
  <si>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</si>
  <si>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</si>
  <si>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</si>
  <si>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</si>
  <si>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</si>
  <si>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</si>
  <si>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</si>
  <si>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</si>
  <si>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</si>
  <si>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</si>
  <si>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</si>
  <si>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</si>
  <si>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</si>
  <si>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</si>
  <si>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</si>
  <si>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</si>
  <si>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</si>
  <si>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</si>
  <si>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</si>
  <si>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</si>
  <si>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</si>
  <si>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</si>
  <si>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</si>
  <si>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</si>
  <si>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</si>
  <si>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</si>
  <si>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</si>
  <si>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</si>
  <si>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</si>
  <si>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</si>
  <si>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</si>
  <si>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</si>
  <si>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</si>
  <si>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</si>
  <si>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</si>
  <si>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</si>
  <si>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</si>
  <si>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</si>
  <si>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</si>
  <si>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</si>
  <si>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</si>
  <si>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</si>
  <si>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</si>
  <si>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</si>
  <si>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</si>
  <si>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</si>
  <si>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</si>
  <si>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</si>
  <si>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</si>
  <si>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</si>
  <si>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</si>
  <si>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</si>
  <si>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</si>
  <si>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</si>
  <si>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</si>
  <si>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</si>
  <si>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</si>
  <si>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</si>
  <si>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</si>
  <si>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</si>
  <si>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</si>
  <si>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</si>
  <si>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</si>
  <si>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</si>
  <si>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</si>
  <si>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</si>
  <si>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</si>
  <si>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</si>
  <si>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</si>
  <si>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</si>
  <si>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</si>
  <si>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</si>
  <si>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</si>
  <si>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</si>
  <si>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</si>
  <si>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</si>
  <si>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</si>
  <si>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</si>
  <si>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</si>
  <si>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</si>
  <si>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</si>
  <si>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</si>
  <si>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</si>
  <si>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</si>
  <si>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</si>
  <si>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</si>
  <si>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</si>
  <si>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</si>
  <si>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</si>
  <si>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</si>
  <si>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</si>
  <si>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</si>
  <si>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</si>
  <si>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</si>
  <si>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</si>
  <si>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</si>
  <si>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</si>
  <si>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</si>
  <si>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</si>
  <si>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</si>
  <si>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</si>
  <si>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</si>
  <si>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</si>
  <si>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</si>
  <si>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</si>
  <si>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</si>
  <si>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</si>
  <si>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</si>
  <si>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</si>
  <si>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</si>
  <si>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</si>
  <si>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</si>
  <si>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</si>
  <si>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</si>
  <si>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</si>
  <si>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</si>
  <si>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</si>
  <si>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</si>
  <si>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</si>
  <si>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</si>
  <si>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</si>
  <si>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</si>
  <si>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</si>
  <si>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</si>
  <si>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</si>
  <si>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</si>
  <si>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</si>
  <si>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</si>
  <si>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</si>
  <si>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</si>
  <si>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</si>
  <si>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</si>
  <si>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</si>
  <si>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</si>
  <si>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</si>
  <si>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</si>
  <si>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</si>
  <si>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</si>
  <si>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</si>
  <si>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</si>
  <si>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</si>
  <si>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</si>
  <si>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</si>
  <si>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</si>
  <si>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</si>
  <si>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</si>
  <si>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</si>
  <si>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</si>
  <si>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</si>
  <si>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</si>
  <si>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</si>
  <si>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</si>
  <si>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</si>
  <si>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</si>
  <si>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</si>
  <si>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</si>
  <si>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</si>
  <si>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</si>
  <si>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</si>
  <si>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</si>
  <si>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</si>
  <si>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</si>
  <si>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</si>
  <si>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</si>
  <si>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</si>
  <si>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</si>
  <si>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</si>
  <si>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</si>
  <si>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</si>
  <si>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</si>
  <si>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</si>
  <si>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</si>
  <si>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</si>
  <si>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</si>
  <si>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</si>
  <si>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</si>
  <si>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</si>
  <si>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</si>
  <si>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</si>
  <si>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</si>
  <si>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</si>
  <si>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</si>
  <si>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</si>
  <si>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</si>
  <si>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</si>
  <si>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</si>
  <si>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</si>
  <si>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</si>
  <si>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</si>
  <si>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</si>
  <si>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</si>
  <si>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</si>
  <si>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</si>
  <si>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</si>
  <si>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</si>
  <si>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</si>
  <si>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</si>
  <si>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</si>
  <si>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</si>
  <si>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</si>
  <si>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</si>
  <si>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</si>
  <si>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</si>
  <si>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</si>
  <si>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</si>
  <si>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</si>
  <si>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</si>
  <si>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</si>
  <si>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</si>
  <si>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</si>
  <si>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</si>
  <si>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</si>
  <si>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</si>
  <si>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</si>
  <si>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</si>
  <si>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</si>
  <si>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</si>
  <si>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</si>
  <si>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</si>
  <si>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</si>
  <si>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</si>
  <si>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</si>
  <si>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</si>
  <si>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</si>
  <si>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</si>
  <si>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</si>
  <si>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</si>
  <si>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</si>
  <si>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</si>
  <si>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</si>
  <si>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</si>
  <si>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</si>
  <si>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</si>
  <si>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</si>
  <si>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</si>
  <si>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</si>
  <si>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</si>
  <si>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</si>
  <si>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</si>
  <si>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</si>
  <si>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</si>
  <si>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</si>
  <si>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</si>
  <si>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</si>
  <si>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</si>
  <si>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</si>
  <si>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</si>
  <si>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</si>
  <si>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Site Analysis Packet as defined in EarthCraft Communities Guidebook was submitted and reviewed by both DCA and EarthCraft Communities administrators at Pre-application?</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</si>
  <si>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</si>
  <si>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</si>
  <si>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</si>
  <si>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</si>
  <si>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</si>
  <si>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</si>
  <si>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</si>
  <si>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</si>
  <si>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</si>
  <si>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</si>
  <si>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</si>
  <si>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</si>
  <si>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</si>
  <si>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</si>
  <si>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</si>
  <si>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</si>
  <si>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</si>
  <si>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</si>
  <si>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</si>
  <si>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</si>
  <si>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</si>
  <si>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</si>
  <si>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</si>
  <si>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</si>
  <si>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</si>
  <si>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</si>
  <si>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</si>
  <si>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</si>
  <si>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</si>
  <si>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</si>
  <si>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</si>
  <si>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</si>
  <si>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</si>
  <si>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</si>
  <si>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</si>
  <si>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</si>
  <si>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</si>
  <si>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</si>
  <si>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</si>
  <si>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</si>
  <si>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</si>
  <si>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</si>
  <si>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</si>
  <si>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</si>
  <si>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</si>
  <si>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</si>
  <si>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</si>
  <si>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</si>
  <si>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</si>
  <si>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</si>
  <si>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</si>
  <si>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</si>
  <si>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</si>
  <si>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</si>
  <si>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</si>
  <si>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</si>
  <si>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</si>
  <si>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</si>
  <si>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</si>
  <si>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</si>
  <si>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</si>
  <si>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</si>
  <si>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</si>
  <si>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</si>
  <si>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</si>
  <si>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</si>
  <si>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</si>
  <si>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</si>
  <si>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</si>
  <si>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</si>
  <si>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</si>
  <si>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</si>
  <si>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</si>
  <si>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</si>
  <si>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</si>
  <si>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</si>
  <si>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</si>
  <si>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</si>
  <si>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</si>
  <si>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</si>
  <si>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</si>
  <si>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</si>
  <si>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</si>
  <si>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</si>
  <si>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</si>
  <si>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</si>
  <si>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</si>
  <si>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</si>
  <si>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</si>
  <si>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</si>
  <si>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</si>
  <si>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</si>
  <si>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</si>
  <si>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</si>
  <si>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</si>
  <si>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</si>
  <si>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</si>
  <si>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</si>
  <si>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</si>
  <si>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</si>
  <si>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</si>
  <si>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</si>
  <si>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</si>
  <si>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</si>
  <si>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</si>
  <si>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</si>
  <si>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</si>
  <si>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</si>
  <si>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</si>
  <si>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</si>
  <si>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</si>
  <si>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</si>
  <si>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</si>
  <si>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</si>
  <si>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</si>
  <si>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</si>
  <si>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</si>
  <si>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</si>
  <si>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</si>
  <si>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</si>
  <si>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</si>
  <si>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</si>
  <si>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</si>
  <si>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</si>
  <si>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</si>
  <si>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</si>
  <si>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</si>
  <si>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</si>
  <si>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</si>
  <si>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</si>
  <si>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</si>
  <si>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</si>
  <si>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</si>
  <si>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</si>
  <si>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</si>
  <si>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</si>
  <si>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</si>
  <si>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</si>
  <si>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</si>
  <si>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</si>
  <si>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</si>
  <si>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</si>
  <si>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</si>
  <si>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</si>
  <si>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</si>
  <si>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</si>
  <si>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</si>
  <si>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</si>
  <si>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</si>
  <si>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</si>
  <si>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</si>
  <si>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</si>
  <si>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</si>
  <si>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</si>
  <si>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</si>
  <si>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</si>
  <si>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</si>
  <si>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</si>
  <si>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</si>
  <si>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</si>
  <si>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</si>
  <si>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</si>
  <si>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</si>
  <si>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</si>
  <si>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</si>
  <si>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</si>
  <si>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</si>
  <si>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</si>
  <si>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</si>
  <si>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</si>
  <si>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</si>
  <si>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</si>
  <si>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</si>
  <si>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</si>
  <si>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</si>
  <si>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II. Cost Limits</t>
  </si>
  <si>
    <t>A</t>
  </si>
  <si>
    <t>Leveraging</t>
  </si>
  <si>
    <t>Copy of Other Services approval by DCA, if applicable</t>
  </si>
  <si>
    <t>Section B</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</si>
  <si>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</si>
  <si>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</si>
  <si>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</si>
  <si>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</si>
  <si>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</si>
  <si>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</si>
  <si>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Verification of annexation and improvements, if applicable</t>
  </si>
  <si>
    <t>Pre-approval of amenities not included in Architectural Manual, if applicable</t>
  </si>
  <si>
    <t>XV. Rehab Standards</t>
  </si>
  <si>
    <t>Section A</t>
  </si>
  <si>
    <t>Copy of rehabilitation standards waiver, if applicable</t>
  </si>
  <si>
    <t>Section C</t>
  </si>
  <si>
    <t>11"x17" Conceptual Site Development Plan</t>
  </si>
  <si>
    <t>Location and vicinity map (identify all parcels for scattered site)</t>
  </si>
  <si>
    <t>Site maps and color photographs</t>
  </si>
  <si>
    <t>Aerial photos of proposed site</t>
  </si>
  <si>
    <t>Copy of architectural standards waiver, if applicable</t>
  </si>
  <si>
    <t>General Partner organizational documents, including Operating Agreement</t>
  </si>
  <si>
    <t>Documentation that organizational entities are registered to do business in GA</t>
  </si>
  <si>
    <t>Section F</t>
  </si>
  <si>
    <t>Evidence of CHDO Predevelopment Loan, if applicable</t>
  </si>
  <si>
    <t>Projects operated as assisted living facilities require a legal opinion regarding Credit eligibility</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</si>
  <si>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</si>
  <si>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</si>
  <si>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</si>
  <si>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</si>
  <si>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</si>
  <si>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</si>
  <si>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IV. Transportation</t>
  </si>
  <si>
    <t>V. Brownfield</t>
  </si>
  <si>
    <t>Proposed scope of work for cleanup of a site, if applicable</t>
  </si>
  <si>
    <t>Detailed budget for clean up, if applicable</t>
  </si>
  <si>
    <t>Timeline for clean up, if applicable</t>
  </si>
  <si>
    <t>VI. Sustainable Developments</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</si>
  <si>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</si>
  <si>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</si>
  <si>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</si>
  <si>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</si>
  <si>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</si>
  <si>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</si>
  <si>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</si>
  <si>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</si>
  <si>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</si>
  <si>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</si>
  <si>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</si>
  <si>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</si>
  <si>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</si>
  <si>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</si>
  <si>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</si>
  <si>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</si>
  <si>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</si>
  <si>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</si>
  <si>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</si>
  <si>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</si>
  <si>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</si>
  <si>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</si>
  <si>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</si>
  <si>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</si>
  <si>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</si>
  <si>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</si>
  <si>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</si>
  <si>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</si>
  <si>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</si>
  <si>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</si>
  <si>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</si>
  <si>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</si>
  <si>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</si>
  <si>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Form Nbr and/or Form Name</t>
  </si>
  <si>
    <t>I. Feasibility</t>
  </si>
  <si>
    <t>VI. Appraisal</t>
  </si>
  <si>
    <t>VII. Environmental</t>
  </si>
  <si>
    <t>Section 2</t>
  </si>
  <si>
    <t>III. Desirable/ Undesirable</t>
  </si>
  <si>
    <t>VII. Stable Communities</t>
  </si>
  <si>
    <t>Section A-2</t>
  </si>
  <si>
    <t>10</t>
  </si>
  <si>
    <t>Section A-1</t>
  </si>
  <si>
    <t>QAP Sect or Manual</t>
  </si>
  <si>
    <t>Sub-Section</t>
  </si>
  <si>
    <t>% New Construction</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</si>
  <si>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</si>
  <si>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</si>
  <si>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</si>
  <si>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</si>
  <si>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</si>
  <si>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</si>
  <si>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</si>
  <si>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</si>
  <si>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</si>
  <si>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</si>
  <si>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</si>
  <si>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</si>
  <si>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</si>
  <si>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</si>
  <si>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</si>
  <si>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</si>
  <si>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</si>
  <si>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</si>
  <si>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</si>
  <si>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</si>
  <si>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</si>
  <si>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</si>
  <si>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</si>
  <si>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</si>
  <si>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</si>
  <si>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</si>
  <si>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</si>
  <si>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</si>
  <si>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</si>
  <si>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</si>
  <si>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</si>
  <si>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</si>
  <si>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</si>
  <si>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</si>
  <si>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</si>
  <si>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</si>
  <si>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</si>
  <si>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</si>
  <si>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</si>
  <si>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</si>
  <si>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</si>
  <si>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</si>
  <si>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</si>
  <si>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</si>
  <si>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</si>
  <si>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</si>
  <si>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</si>
  <si>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</si>
  <si>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</si>
  <si>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</si>
  <si>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</si>
  <si>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</si>
  <si>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</si>
  <si>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</si>
  <si>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</si>
  <si>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</si>
  <si>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</si>
  <si>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</si>
  <si>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</si>
  <si>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</si>
  <si>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</si>
  <si>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</si>
  <si>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</si>
  <si>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</si>
  <si>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</si>
  <si>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</si>
  <si>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</si>
  <si>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</si>
  <si>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</si>
  <si>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</si>
  <si>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</si>
  <si>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</si>
  <si>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</si>
  <si>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</si>
  <si>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</si>
  <si>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</si>
  <si>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</si>
  <si>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</si>
  <si>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</si>
  <si>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</si>
  <si>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</si>
  <si>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</si>
  <si>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</si>
  <si>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</si>
  <si>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</si>
  <si>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</si>
  <si>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</si>
  <si>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</si>
  <si>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</si>
  <si>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</si>
  <si>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</si>
  <si>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</si>
  <si>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</si>
  <si>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</si>
  <si>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</si>
  <si>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</si>
  <si>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</si>
  <si>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</si>
  <si>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</si>
  <si>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</si>
  <si>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</si>
  <si>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</si>
  <si>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</si>
  <si>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</si>
  <si>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</si>
  <si>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</si>
  <si>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</si>
  <si>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</si>
  <si>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</si>
  <si>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Legal Description</t>
  </si>
  <si>
    <t>Comitment for funding</t>
  </si>
  <si>
    <t>Proof of ownership and easements</t>
  </si>
  <si>
    <t>Explanation or copy of applicable zoning ordinance</t>
  </si>
  <si>
    <t>HOME funds: see HOME/HUD Environmental Guidance</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</si>
  <si>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</si>
  <si>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</si>
  <si>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HOME Site and Neighborhood Standards Certification</t>
  </si>
  <si>
    <t>Affirmatively Furthering Fair Housing Marketing Plan</t>
  </si>
  <si>
    <t>03   Map of area targeted by plan identifying location of project</t>
  </si>
  <si>
    <t>02   Documentation that the proposed project is included in the targeted area</t>
  </si>
  <si>
    <t>Section E</t>
  </si>
  <si>
    <t>01  Master Plan with complete project concept showing all phases</t>
  </si>
  <si>
    <t xml:space="preserve">IX. Phased/ Previous Projects </t>
  </si>
  <si>
    <t>Focused Service commitments for the proposed projects</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</si>
  <si>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</si>
  <si>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</si>
  <si>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</si>
  <si>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</si>
  <si>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</si>
  <si>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</si>
  <si>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</si>
  <si>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</si>
  <si>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</si>
  <si>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</si>
  <si>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</si>
  <si>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</si>
  <si>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</si>
  <si>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</si>
  <si>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</si>
  <si>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</si>
  <si>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</si>
  <si>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</si>
  <si>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</si>
  <si>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</si>
  <si>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</si>
  <si>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</si>
  <si>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</si>
  <si>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</si>
  <si>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</si>
  <si>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</si>
  <si>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</si>
  <si>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</si>
  <si>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</si>
  <si>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</si>
  <si>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</si>
  <si>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</si>
  <si>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</si>
  <si>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</si>
  <si>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</si>
  <si>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</si>
  <si>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</si>
  <si>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</si>
  <si>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</si>
  <si>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</si>
  <si>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</si>
  <si>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</si>
  <si>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</si>
  <si>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</si>
  <si>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</si>
  <si>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</si>
  <si>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</si>
  <si>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</si>
  <si>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</si>
  <si>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</si>
  <si>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</si>
  <si>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</si>
  <si>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</si>
  <si>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</si>
  <si>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</si>
  <si>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</si>
  <si>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</si>
  <si>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</si>
  <si>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</si>
  <si>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</si>
  <si>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</si>
  <si>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</si>
  <si>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</si>
  <si>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</si>
  <si>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</si>
  <si>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</si>
  <si>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</si>
  <si>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</si>
  <si>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</si>
  <si>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</si>
  <si>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</si>
  <si>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</si>
  <si>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</si>
  <si>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</si>
  <si>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</si>
  <si>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</si>
  <si>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</si>
  <si>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</si>
  <si>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</si>
  <si>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</si>
  <si>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</si>
  <si>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</si>
  <si>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</si>
  <si>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</si>
  <si>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</si>
  <si>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</si>
  <si>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</si>
  <si>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XV</t>
  </si>
  <si>
    <t>B</t>
  </si>
  <si>
    <t>Executed criminal and credit background check release forms</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</si>
  <si>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</si>
  <si>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</si>
  <si>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</si>
  <si>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</si>
  <si>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</si>
  <si>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</si>
  <si>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</si>
  <si>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</si>
  <si>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</si>
  <si>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</si>
  <si>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</si>
  <si>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</si>
  <si>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</si>
  <si>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</si>
  <si>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</si>
  <si>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</si>
  <si>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</si>
  <si>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</si>
  <si>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</si>
  <si>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</si>
  <si>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</si>
  <si>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</si>
  <si>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</si>
  <si>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</si>
  <si>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</si>
  <si>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</si>
  <si>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</si>
  <si>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</si>
  <si>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</si>
  <si>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</si>
  <si>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</si>
  <si>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</si>
  <si>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</si>
  <si>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</si>
  <si>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</si>
  <si>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</si>
  <si>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</si>
  <si>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</si>
  <si>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</si>
  <si>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</si>
  <si>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</si>
  <si>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</si>
  <si>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</si>
  <si>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</si>
  <si>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</si>
  <si>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</si>
  <si>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</si>
  <si>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</si>
  <si>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</si>
  <si>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</si>
  <si>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</si>
  <si>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</si>
  <si>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</si>
  <si>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</si>
  <si>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</si>
  <si>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</si>
  <si>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</si>
  <si>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</si>
  <si>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</si>
  <si>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</si>
  <si>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</si>
  <si>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</si>
  <si>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</si>
  <si>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</si>
  <si>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</si>
  <si>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</si>
  <si>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</si>
  <si>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</si>
  <si>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</si>
  <si>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</si>
  <si>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</si>
  <si>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</si>
  <si>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</si>
  <si>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</si>
  <si>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</si>
  <si>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</si>
  <si>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</si>
  <si>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</si>
  <si>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</si>
  <si>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</si>
  <si>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</si>
  <si>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</si>
  <si>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</si>
  <si>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</si>
  <si>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</si>
  <si>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</si>
  <si>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</si>
  <si>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</si>
  <si>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</si>
  <si>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</si>
  <si>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</si>
  <si>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</si>
  <si>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</si>
  <si>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</si>
  <si>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</si>
  <si>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</si>
  <si>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</si>
  <si>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</si>
  <si>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</si>
  <si>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</si>
  <si>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</si>
  <si>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</si>
  <si>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</si>
  <si>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</si>
  <si>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</si>
  <si>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</si>
  <si>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</si>
  <si>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</si>
  <si>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</si>
  <si>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</si>
  <si>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</si>
  <si>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</si>
  <si>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</si>
  <si>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</si>
  <si>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</si>
  <si>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</si>
  <si>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</si>
  <si>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</si>
  <si>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</si>
  <si>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</si>
  <si>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</si>
  <si>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</si>
  <si>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</si>
  <si>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</si>
  <si>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</si>
  <si>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</si>
  <si>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</si>
  <si>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</si>
  <si>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</si>
  <si>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</si>
  <si>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</si>
  <si>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</si>
  <si>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</si>
  <si>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</si>
  <si>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</si>
  <si>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</si>
  <si>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</si>
  <si>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</si>
  <si>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</si>
  <si>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</si>
  <si>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</si>
  <si>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</si>
  <si>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</si>
  <si>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</si>
  <si>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</si>
  <si>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</si>
  <si>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</si>
  <si>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</si>
  <si>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</si>
  <si>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</si>
  <si>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</si>
  <si>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</si>
  <si>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</si>
  <si>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</si>
  <si>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</si>
  <si>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</si>
  <si>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</si>
  <si>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</si>
  <si>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</si>
  <si>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</si>
  <si>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</si>
  <si>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</si>
  <si>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</si>
  <si>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</si>
  <si>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</si>
  <si>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</si>
  <si>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</si>
  <si>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</si>
  <si>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</si>
  <si>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</si>
  <si>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</si>
  <si>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</si>
  <si>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</si>
  <si>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</si>
  <si>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</si>
  <si>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</si>
  <si>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</si>
  <si>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</si>
  <si>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</si>
  <si>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</si>
  <si>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</si>
  <si>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</si>
  <si>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</si>
  <si>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</si>
  <si>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</si>
  <si>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</si>
  <si>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</si>
  <si>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</si>
  <si>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</si>
  <si>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</si>
  <si>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</si>
  <si>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</si>
  <si>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</si>
  <si>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</si>
  <si>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</si>
  <si>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</si>
  <si>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</si>
  <si>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</si>
  <si>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</si>
  <si>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</si>
  <si>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</si>
  <si>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</si>
  <si>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</si>
  <si>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</si>
  <si>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</si>
  <si>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</si>
  <si>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</si>
  <si>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</si>
  <si>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</si>
  <si>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</si>
  <si>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</si>
  <si>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</si>
  <si>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</si>
  <si>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</si>
  <si>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</si>
  <si>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</si>
  <si>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</si>
  <si>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</si>
  <si>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</si>
  <si>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</si>
  <si>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</si>
  <si>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</si>
  <si>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</si>
  <si>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</si>
  <si>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</si>
  <si>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</si>
  <si>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</si>
  <si>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</si>
  <si>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</si>
  <si>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</si>
  <si>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</si>
  <si>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</si>
  <si>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</si>
  <si>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</si>
  <si>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</si>
  <si>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</si>
  <si>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</si>
  <si>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</si>
  <si>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</si>
  <si>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</si>
  <si>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</si>
  <si>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</si>
  <si>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</si>
  <si>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</si>
  <si>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</si>
  <si>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</si>
  <si>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</si>
  <si>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</si>
  <si>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</si>
  <si>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</si>
  <si>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</si>
  <si>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</si>
  <si>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</si>
  <si>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</si>
  <si>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</si>
  <si>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</si>
  <si>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</si>
  <si>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</si>
  <si>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</si>
  <si>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</si>
  <si>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</si>
  <si>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</si>
  <si>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</si>
  <si>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</si>
  <si>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</si>
  <si>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</si>
  <si>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</si>
  <si>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</si>
  <si>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</si>
  <si>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</si>
  <si>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</si>
  <si>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</si>
  <si>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</si>
  <si>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</si>
  <si>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</si>
  <si>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</si>
  <si>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</si>
  <si>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</si>
  <si>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</si>
  <si>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</si>
  <si>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</si>
  <si>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</si>
  <si>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</si>
  <si>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</si>
  <si>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</si>
  <si>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</si>
  <si>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</si>
  <si>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</si>
  <si>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</si>
  <si>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</si>
  <si>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</si>
  <si>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</si>
  <si>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</si>
  <si>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</si>
  <si>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</si>
  <si>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</si>
  <si>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</si>
  <si>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</si>
  <si>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</si>
  <si>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</si>
  <si>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</si>
  <si>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</si>
  <si>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</si>
  <si>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</si>
  <si>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</si>
  <si>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</si>
  <si>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</si>
  <si>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</si>
  <si>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</si>
  <si>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</si>
  <si>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</si>
  <si>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</si>
  <si>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</si>
  <si>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</si>
  <si>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</si>
  <si>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</si>
  <si>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</si>
  <si>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</si>
  <si>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</si>
  <si>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</si>
  <si>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</si>
  <si>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</si>
  <si>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</si>
  <si>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</si>
  <si>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</si>
  <si>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</si>
  <si>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</si>
  <si>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</si>
  <si>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</si>
  <si>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</si>
  <si>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</si>
  <si>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</si>
  <si>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</si>
  <si>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</si>
  <si>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</si>
  <si>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</si>
  <si>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</si>
  <si>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</si>
  <si>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</si>
  <si>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</si>
  <si>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</si>
  <si>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</si>
  <si>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</si>
  <si>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</si>
  <si>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</si>
  <si>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</si>
  <si>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</si>
  <si>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</si>
  <si>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</si>
  <si>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</si>
  <si>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</si>
  <si>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</si>
  <si>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</si>
  <si>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</si>
  <si>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</si>
  <si>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</si>
  <si>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</si>
  <si>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</si>
  <si>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</si>
  <si>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</si>
  <si>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</si>
  <si>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</si>
  <si>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</si>
  <si>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</si>
  <si>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</si>
  <si>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</si>
  <si>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</si>
  <si>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</si>
  <si>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</si>
  <si>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</si>
  <si>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</si>
  <si>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</si>
  <si>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</si>
  <si>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</si>
  <si>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</si>
  <si>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</si>
  <si>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</si>
  <si>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</si>
  <si>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</si>
  <si>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</si>
  <si>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</si>
  <si>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</si>
  <si>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</si>
  <si>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</si>
  <si>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</si>
  <si>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</si>
  <si>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</si>
  <si>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</si>
  <si>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</si>
  <si>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</si>
  <si>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</si>
  <si>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</si>
  <si>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</si>
  <si>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</si>
  <si>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</si>
  <si>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</si>
  <si>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</si>
  <si>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</si>
  <si>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</si>
  <si>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</si>
  <si>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</si>
  <si>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</si>
  <si>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</si>
  <si>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</si>
  <si>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</si>
  <si>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</si>
  <si>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</si>
  <si>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</si>
  <si>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</si>
  <si>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</si>
  <si>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</si>
  <si>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</si>
  <si>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</si>
  <si>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</si>
  <si>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</si>
  <si>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</si>
  <si>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</si>
  <si>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</si>
  <si>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</si>
  <si>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</si>
  <si>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</si>
  <si>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</si>
  <si>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</si>
  <si>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</si>
  <si>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</si>
  <si>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</si>
  <si>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</si>
  <si>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</si>
  <si>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</si>
  <si>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</si>
  <si>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</si>
  <si>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</si>
  <si>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</si>
  <si>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</si>
  <si>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</si>
  <si>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</si>
  <si>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</si>
  <si>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</si>
  <si>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</si>
  <si>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</si>
  <si>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</si>
  <si>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</si>
  <si>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</si>
  <si>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</si>
  <si>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</si>
  <si>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</si>
  <si>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</si>
  <si>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</si>
  <si>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</si>
  <si>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</si>
  <si>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</si>
  <si>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</si>
  <si>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</si>
  <si>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</si>
  <si>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</si>
  <si>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</si>
  <si>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</si>
  <si>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</si>
  <si>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</si>
  <si>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</si>
  <si>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</si>
  <si>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</si>
  <si>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</si>
  <si>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</si>
  <si>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</si>
  <si>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</si>
  <si>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</si>
  <si>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</si>
  <si>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</si>
  <si>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</si>
  <si>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</si>
  <si>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</si>
  <si>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</si>
  <si>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</si>
  <si>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</si>
  <si>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</si>
  <si>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</si>
  <si>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</si>
  <si>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</si>
  <si>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</si>
  <si>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</si>
  <si>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</si>
  <si>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</si>
  <si>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</si>
  <si>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</si>
  <si>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</si>
  <si>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</si>
  <si>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</si>
  <si>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</si>
  <si>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</si>
  <si>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</si>
  <si>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</si>
  <si>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</si>
  <si>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</si>
  <si>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</si>
  <si>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</si>
  <si>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</si>
  <si>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</si>
  <si>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</si>
  <si>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</si>
  <si>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</si>
  <si>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</si>
  <si>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</si>
  <si>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</si>
  <si>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</si>
  <si>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</si>
  <si>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</si>
  <si>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</si>
  <si>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</si>
  <si>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</si>
  <si>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</si>
  <si>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</si>
  <si>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</si>
  <si>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</si>
  <si>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</si>
  <si>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</si>
  <si>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</si>
  <si>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</si>
  <si>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</si>
  <si>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</si>
  <si>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</si>
  <si>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</si>
  <si>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</si>
  <si>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</si>
  <si>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</si>
  <si>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</si>
  <si>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</si>
  <si>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</si>
  <si>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</si>
  <si>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</si>
  <si>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</si>
  <si>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</si>
  <si>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</si>
  <si>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</si>
  <si>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</si>
  <si>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</si>
  <si>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</si>
  <si>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</si>
  <si>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</si>
  <si>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</si>
  <si>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</si>
  <si>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</si>
  <si>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</si>
  <si>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</si>
  <si>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</si>
  <si>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</si>
  <si>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</si>
  <si>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</si>
  <si>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</si>
  <si>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</si>
  <si>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</si>
  <si>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</si>
  <si>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</si>
  <si>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</si>
  <si>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</si>
  <si>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</si>
  <si>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</si>
  <si>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</si>
  <si>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</si>
  <si>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</si>
  <si>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</si>
  <si>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</si>
  <si>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</si>
  <si>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</si>
  <si>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</si>
  <si>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</si>
  <si>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</si>
  <si>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</si>
  <si>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</si>
  <si>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</si>
  <si>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</si>
  <si>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</si>
  <si>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</si>
  <si>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</si>
  <si>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</si>
  <si>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</si>
  <si>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</si>
  <si>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</si>
  <si>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</si>
  <si>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</si>
  <si>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</si>
  <si>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</si>
  <si>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</si>
  <si>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</si>
  <si>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</si>
  <si>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</si>
  <si>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</si>
  <si>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</si>
  <si>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</si>
  <si>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</si>
  <si>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</si>
  <si>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</si>
  <si>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</si>
  <si>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</si>
  <si>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</si>
  <si>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</si>
  <si>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</si>
  <si>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</si>
  <si>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</si>
  <si>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</si>
  <si>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</si>
  <si>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</si>
  <si>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</si>
  <si>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</si>
  <si>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</si>
  <si>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</si>
  <si>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</si>
  <si>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</si>
  <si>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</si>
  <si>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</si>
  <si>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</si>
  <si>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</si>
  <si>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</si>
  <si>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</si>
  <si>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</si>
  <si>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</si>
  <si>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</si>
  <si>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</si>
  <si>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</si>
  <si>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</si>
  <si>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</si>
  <si>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</si>
  <si>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</si>
  <si>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</si>
  <si>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</si>
  <si>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</si>
  <si>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</si>
  <si>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</si>
  <si>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</si>
  <si>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</si>
  <si>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</si>
  <si>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</si>
  <si>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</si>
  <si>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</si>
  <si>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</si>
  <si>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</si>
  <si>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</si>
  <si>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</si>
  <si>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</si>
  <si>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</si>
  <si>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</si>
  <si>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</si>
  <si>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</si>
  <si>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</si>
  <si>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</si>
  <si>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</si>
  <si>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</si>
  <si>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</si>
  <si>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</si>
  <si>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</si>
  <si>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</si>
  <si>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</si>
  <si>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</si>
  <si>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</si>
  <si>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</si>
  <si>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</si>
  <si>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</si>
  <si>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</si>
  <si>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</si>
  <si>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</si>
  <si>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</si>
  <si>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</si>
  <si>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</si>
  <si>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</si>
  <si>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</si>
  <si>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</si>
  <si>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</si>
  <si>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</si>
  <si>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</si>
  <si>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</si>
  <si>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</si>
  <si>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</si>
  <si>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</si>
  <si>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</si>
  <si>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</si>
  <si>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</si>
  <si>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</si>
  <si>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</si>
  <si>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</si>
  <si>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</si>
  <si>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</si>
  <si>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</si>
  <si>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</si>
  <si>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</si>
  <si>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</si>
  <si>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</si>
  <si>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</si>
  <si>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Statement concerning all criminal convictions, indictments, and pending criminal investigations of all mbrs of GP and development entities</t>
  </si>
  <si>
    <t>11</t>
  </si>
  <si>
    <t>12</t>
  </si>
  <si>
    <t>13</t>
  </si>
  <si>
    <t>Disclosure statement for any Project Team member that has withdrawn or been involuntarily removed from a HOME or Tax Credit project.</t>
  </si>
  <si>
    <t>Disclosure statement for any pending litigation</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</si>
  <si>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</si>
  <si>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</si>
  <si>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</si>
  <si>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</si>
  <si>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</si>
  <si>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</si>
  <si>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</si>
  <si>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</si>
  <si>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Approved Plan for Cleanup from GEPD</t>
  </si>
  <si>
    <t>VIII. Revitalization / Redevelopment Plans</t>
  </si>
  <si>
    <t>05   Details regarding community input and public hearing held prior to adoption of the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</si>
  <si>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</si>
  <si>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</si>
  <si>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</si>
  <si>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</si>
  <si>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</si>
  <si>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</si>
  <si>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</si>
  <si>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</si>
  <si>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</si>
  <si>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</si>
  <si>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</si>
  <si>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</si>
  <si>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</si>
  <si>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</si>
  <si>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</si>
  <si>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</si>
  <si>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</si>
  <si>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</si>
  <si>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</si>
  <si>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</si>
  <si>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</si>
  <si>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</si>
  <si>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</si>
  <si>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</si>
  <si>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</si>
  <si>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</si>
  <si>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</si>
  <si>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</si>
  <si>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Supporting Documentation for State Designated Basis Boost, if applicable</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</si>
  <si>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</si>
  <si>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</si>
  <si>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</si>
  <si>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</si>
  <si>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</si>
  <si>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</si>
  <si>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</si>
  <si>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</si>
  <si>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</si>
  <si>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</si>
  <si>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</si>
  <si>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</si>
  <si>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</si>
  <si>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</si>
  <si>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</si>
  <si>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</si>
  <si>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</si>
  <si>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</si>
  <si>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</si>
  <si>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</si>
  <si>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</si>
  <si>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01  PBRA agreement, including most recent rent and utility allowance adjustment, if applicable; HUD designation as High Priority, if applicable</t>
  </si>
  <si>
    <t>Physical Needs Assessment</t>
  </si>
  <si>
    <t>DCA Rehabilitation Work Scope form</t>
  </si>
  <si>
    <t>Sect A-F</t>
  </si>
  <si>
    <t>43</t>
  </si>
  <si>
    <t>14</t>
  </si>
  <si>
    <t>15</t>
  </si>
  <si>
    <t>16</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</si>
  <si>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</si>
  <si>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</si>
  <si>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</si>
  <si>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</si>
  <si>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</si>
  <si>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</si>
  <si>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</si>
  <si>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</si>
  <si>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</si>
  <si>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</si>
  <si>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</si>
  <si>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</si>
  <si>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</si>
  <si>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</si>
  <si>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</si>
  <si>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</si>
  <si>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</si>
  <si>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</si>
  <si>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</si>
  <si>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</si>
  <si>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</si>
  <si>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</si>
  <si>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</si>
  <si>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 xml:space="preserve">Assumption of Existing Debt, if applicable </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</si>
  <si>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</si>
  <si>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</si>
  <si>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</si>
  <si>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</si>
  <si>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</si>
  <si>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</si>
  <si>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</si>
  <si>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</si>
  <si>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</si>
  <si>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</si>
  <si>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</si>
  <si>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</si>
  <si>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</si>
  <si>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</si>
  <si>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</si>
  <si>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</si>
  <si>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</si>
  <si>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</si>
  <si>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</si>
  <si>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</si>
  <si>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</si>
  <si>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</si>
  <si>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</si>
  <si>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</si>
  <si>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</si>
  <si>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</si>
  <si>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</si>
  <si>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</si>
  <si>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</si>
  <si>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</si>
  <si>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</si>
  <si>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</si>
  <si>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</si>
  <si>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</si>
  <si>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</si>
  <si>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</si>
  <si>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</si>
  <si>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</si>
  <si>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</si>
  <si>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</si>
  <si>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</si>
  <si>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</si>
  <si>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</si>
  <si>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</si>
  <si>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</si>
  <si>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</si>
  <si>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</si>
  <si>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</si>
  <si>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</si>
  <si>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</si>
  <si>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</si>
  <si>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</si>
  <si>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</si>
  <si>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</si>
  <si>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</si>
  <si>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</si>
  <si>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</si>
  <si>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</si>
  <si>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</si>
  <si>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</si>
  <si>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</si>
  <si>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</si>
  <si>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</si>
  <si>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</si>
  <si>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</si>
  <si>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</si>
  <si>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</si>
  <si>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</si>
  <si>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</si>
  <si>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</si>
  <si>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</si>
  <si>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</si>
  <si>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</si>
  <si>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</si>
  <si>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</si>
  <si>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</si>
  <si>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</si>
  <si>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</si>
  <si>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</si>
  <si>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</si>
  <si>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</si>
  <si>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</si>
  <si>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</si>
  <si>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</si>
  <si>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</si>
  <si>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</si>
  <si>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</si>
  <si>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</si>
  <si>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</si>
  <si>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</si>
  <si>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</si>
  <si>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</si>
  <si>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</si>
  <si>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</si>
  <si>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</si>
  <si>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</si>
  <si>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</si>
  <si>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</si>
  <si>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</si>
  <si>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</si>
  <si>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</si>
  <si>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</si>
  <si>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</si>
  <si>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</si>
  <si>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</si>
  <si>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</si>
  <si>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XXIV. Required Legal Opinions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</si>
  <si>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</si>
  <si>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</si>
  <si>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</si>
  <si>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</si>
  <si>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</si>
  <si>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</si>
  <si>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</si>
  <si>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</si>
  <si>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</si>
  <si>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</si>
  <si>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</si>
  <si>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</si>
  <si>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</si>
  <si>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</si>
  <si>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</si>
  <si>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</si>
  <si>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</si>
  <si>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</si>
  <si>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</si>
  <si>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</si>
  <si>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</si>
  <si>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</si>
  <si>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</si>
  <si>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</si>
  <si>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</si>
  <si>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</si>
  <si>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</si>
  <si>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</si>
  <si>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</si>
  <si>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</si>
  <si>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</si>
  <si>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</si>
  <si>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</si>
  <si>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</si>
  <si>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</si>
  <si>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</si>
  <si>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</si>
  <si>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</si>
  <si>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</si>
  <si>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</si>
  <si>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</si>
  <si>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</si>
  <si>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</si>
  <si>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</si>
  <si>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</si>
  <si>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</si>
  <si>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</si>
  <si>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</si>
  <si>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</si>
  <si>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</si>
  <si>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</si>
  <si>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</si>
  <si>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</si>
  <si>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</si>
  <si>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</si>
  <si>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</si>
  <si>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</si>
  <si>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</si>
  <si>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</si>
  <si>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</si>
  <si>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</si>
  <si>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</si>
  <si>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</si>
  <si>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</si>
  <si>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</si>
  <si>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</si>
  <si>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</si>
  <si>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</si>
  <si>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</si>
  <si>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</si>
  <si>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</si>
  <si>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</si>
  <si>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</si>
  <si>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For Rehab developments - </t>
    </r>
    <r>
      <rPr>
        <sz val="8"/>
        <rFont val="Arial"/>
        <family val="2"/>
      </rPr>
      <t>Applicant has</t>
    </r>
    <r>
      <rPr>
        <b/>
        <sz val="8"/>
        <rFont val="Arial"/>
        <family val="2"/>
      </rPr>
      <t xml:space="preserve"> </t>
    </r>
    <r>
      <rPr>
        <sz val="8"/>
        <rFont val="Arial"/>
        <family val="2"/>
      </rPr>
      <t>submitted an Energy Audit Report identifying the Applicant’s ability to meet the selected sustainable development standard?</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</si>
  <si>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</si>
  <si>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</si>
  <si>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</si>
  <si>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</si>
  <si>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</si>
  <si>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</si>
  <si>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</si>
  <si>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</si>
  <si>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</si>
  <si>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</si>
  <si>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</si>
  <si>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</si>
  <si>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</si>
  <si>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</si>
  <si>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</si>
  <si>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</si>
  <si>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</si>
  <si>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</si>
  <si>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</si>
  <si>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</si>
  <si>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</si>
  <si>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</si>
  <si>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</si>
  <si>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</si>
  <si>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</si>
  <si>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</si>
  <si>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</si>
  <si>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</si>
  <si>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</si>
  <si>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</si>
  <si>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</si>
  <si>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</si>
  <si>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</si>
  <si>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</si>
  <si>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</si>
  <si>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</si>
  <si>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</si>
  <si>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</si>
  <si>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</si>
  <si>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</si>
  <si>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</si>
  <si>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</si>
  <si>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</si>
  <si>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</si>
  <si>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</si>
  <si>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</si>
  <si>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</si>
  <si>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</si>
  <si>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</si>
  <si>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</si>
  <si>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</si>
  <si>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</si>
  <si>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</si>
  <si>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</si>
  <si>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</si>
  <si>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</si>
  <si>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</si>
  <si>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r>
      <rPr>
        <b/>
        <sz val="7"/>
        <rFont val="Arial"/>
        <family val="2"/>
      </rPr>
      <t>Units:</t>
    </r>
    <r>
      <rPr>
        <sz val="7"/>
        <rFont val="Arial"/>
        <family val="2"/>
      </rPr>
      <t xml:space="preserve"> Total</t>
    </r>
  </si>
  <si>
    <t xml:space="preserve">                  Adaptive Reuse</t>
  </si>
  <si>
    <t xml:space="preserve">                  New Construction</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</si>
  <si>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</si>
  <si>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</si>
  <si>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</si>
  <si>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</si>
  <si>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</si>
  <si>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</si>
  <si>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</si>
  <si>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</si>
  <si>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</si>
  <si>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</si>
  <si>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</si>
  <si>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</si>
  <si>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</si>
  <si>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</si>
  <si>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</si>
  <si>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</si>
  <si>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</si>
  <si>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</si>
  <si>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</si>
  <si>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</si>
  <si>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</si>
  <si>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</si>
  <si>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</si>
  <si>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</si>
  <si>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</si>
  <si>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</si>
  <si>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</si>
  <si>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</si>
  <si>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</si>
  <si>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</si>
  <si>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</si>
  <si>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</si>
  <si>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</si>
  <si>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</si>
  <si>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</si>
  <si>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</si>
  <si>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</si>
  <si>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</si>
  <si>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</si>
  <si>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</si>
  <si>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</si>
  <si>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</si>
  <si>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</si>
  <si>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</si>
  <si>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</si>
  <si>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</si>
  <si>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</si>
  <si>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</si>
  <si>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</si>
  <si>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</si>
  <si>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</si>
  <si>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</si>
  <si>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</si>
  <si>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</si>
  <si>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</si>
  <si>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</si>
  <si>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</si>
  <si>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</si>
  <si>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</si>
  <si>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</si>
  <si>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</si>
  <si>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</si>
  <si>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</si>
  <si>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</si>
  <si>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</si>
  <si>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</si>
  <si>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</si>
  <si>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</si>
  <si>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</si>
  <si>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</si>
  <si>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</si>
  <si>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</si>
  <si>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</si>
  <si>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</si>
  <si>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</si>
  <si>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</si>
  <si>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</si>
  <si>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</si>
  <si>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</si>
  <si>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</si>
  <si>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</si>
  <si>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</si>
  <si>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</si>
  <si>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</si>
  <si>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</si>
  <si>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</si>
  <si>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</si>
  <si>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</si>
  <si>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</si>
  <si>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</si>
  <si>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</si>
  <si>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</si>
  <si>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</si>
  <si>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</si>
  <si>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</si>
  <si>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</si>
  <si>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</si>
  <si>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</si>
  <si>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</si>
  <si>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</si>
  <si>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</si>
  <si>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</si>
  <si>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</si>
  <si>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</si>
  <si>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</si>
  <si>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Participant Name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</si>
  <si>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</si>
  <si>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</si>
  <si>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</si>
  <si>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</si>
  <si>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</si>
  <si>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</si>
  <si>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</si>
  <si>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</si>
  <si>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</si>
  <si>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</si>
  <si>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</si>
  <si>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Letter from verifiable authorized public water/sanitary sewer/storm sewer authority that includes project location and confirms that utilities will be available</t>
  </si>
  <si>
    <t>XII. Public Water / Sanitary Sewer / Storm Sewer</t>
  </si>
  <si>
    <t>V. Market Feasibility (Mkt Study)</t>
  </si>
  <si>
    <t>XIII. Local Government Support and Community Engagement</t>
  </si>
  <si>
    <t>Public Notice of meetings and presentations</t>
  </si>
  <si>
    <t>Evidence of public meetings (e.g., agenda, meeting minutes, etc.) regarding the proposed project to local government and residents of surrounding community</t>
  </si>
  <si>
    <t>Evidence of public presentations (e.g., PowerPoint printout, brochure) regarding the proposed project to local government and residents of surrounding community</t>
  </si>
  <si>
    <t>Resolutions of support or letters of support from Local Government officials (optional)</t>
  </si>
  <si>
    <r>
      <t xml:space="preserve">XVI. Site </t>
    </r>
    <r>
      <rPr>
        <sz val="8"/>
        <rFont val="Arial"/>
        <family val="2"/>
      </rPr>
      <t>Info and Conceptual Site Development Plan</t>
    </r>
  </si>
  <si>
    <t>XX. Qualifications for Project Participants</t>
  </si>
  <si>
    <t xml:space="preserve">DCA Experience Form. Determinations of Experience will only need to be submitted once. </t>
  </si>
  <si>
    <t>DCA Capacity Form. Must be submitted for each Application</t>
  </si>
  <si>
    <t>Performance workbook or update (includes Questionnaire and Compliance History Form). Must be submitted for each Application round.</t>
  </si>
  <si>
    <t>All Development fee sharing arrangements.  All individuals or entities that receive a portion of the Developer fee are part of Developer structure.</t>
  </si>
  <si>
    <t xml:space="preserve">All Guarantor agreements </t>
  </si>
  <si>
    <t xml:space="preserve">All consulting agreements - direct or indirect, paid or unpaid </t>
  </si>
  <si>
    <t>21</t>
  </si>
  <si>
    <t>22</t>
  </si>
  <si>
    <t>23</t>
  </si>
  <si>
    <t>IRS Form 8609 or occupancy permit for each project listed for Project Team Experience</t>
  </si>
  <si>
    <t>Partnership Agreement or letter from Syndicator certifying role and interest of the Certified Entity and/or Principal for each Successful Tax Credit Project used to meet this requirement</t>
  </si>
  <si>
    <t>Copy of Significant Adverse Event waiver approval from DCA, if applicable</t>
  </si>
  <si>
    <t>Section G</t>
  </si>
  <si>
    <t>Evidence of full time employment in the tax credit industry for a minimum period of five years</t>
  </si>
  <si>
    <t>Evidence of material participation in the successful development of at least two tax credit projects during that period (Ownership interest not req'd)</t>
  </si>
  <si>
    <t>Resumes</t>
  </si>
  <si>
    <t>Completed release to allow DCA to perform a personal credit check and a criminal background check</t>
  </si>
  <si>
    <t>Business plan which outlines how proposed Project Team will address different areas required for successful development of a tax credit project</t>
  </si>
  <si>
    <t>26</t>
  </si>
  <si>
    <t>27</t>
  </si>
  <si>
    <t>28</t>
  </si>
  <si>
    <t>29</t>
  </si>
  <si>
    <t>30</t>
  </si>
  <si>
    <t>31</t>
  </si>
  <si>
    <t>Evidence of sufficient liquidity to attract syndication either through the assets of the Project Team or through a guarantor</t>
  </si>
  <si>
    <t>Narrative of proposed project and organizational structure</t>
  </si>
  <si>
    <t>DCA Performance Workbook for General Partner(s) and Developer(s), including:</t>
  </si>
  <si>
    <t>DCA Compliance History Form</t>
  </si>
  <si>
    <t>Supporting documentation related to foreclosures, suspension, or debarment by governmental or quasi-governmental entity, as well as any “yes” answers in the performance workbook</t>
  </si>
  <si>
    <r>
      <t>Completed Performance Questionnaire</t>
    </r>
    <r>
      <rPr>
        <sz val="8"/>
        <color rgb="FFFF0000"/>
        <rFont val="Arial"/>
        <family val="2"/>
      </rPr>
      <t xml:space="preserve"> (MP/EE: Is this the same form as the Compliance Questionnaire this year?)</t>
    </r>
  </si>
  <si>
    <r>
      <t xml:space="preserve">Completed Compliance Questionnaire </t>
    </r>
    <r>
      <rPr>
        <sz val="8"/>
        <color rgb="FFFF0000"/>
        <rFont val="Arial"/>
        <family val="2"/>
      </rPr>
      <t>(MP/EE: Is this the same form as the Performance Questionnaire this year?)</t>
    </r>
  </si>
  <si>
    <t>35</t>
  </si>
  <si>
    <t>Declaration of No Participation in adverse development</t>
  </si>
  <si>
    <t>XXII. Eligibility for Credit Under the Nonprofit Set Aside</t>
  </si>
  <si>
    <t>44</t>
  </si>
  <si>
    <t>XXI. Compliance History Summary</t>
  </si>
  <si>
    <t>If joint venture, copy of Agreement confirming interest and Developer Fee</t>
  </si>
  <si>
    <t>XXIII. Eligibility for HOME Loans Under the CHDO Set Aside</t>
  </si>
  <si>
    <t>For non profit projects,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</si>
  <si>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</si>
  <si>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Any other documents required in DCA Relocation Manual</t>
  </si>
  <si>
    <t>Was a pre-application submitted for this Determination at the Pre-Application Stage?</t>
  </si>
  <si>
    <t xml:space="preserve">If 'Yes", has there been any change in Project Team? </t>
  </si>
  <si>
    <t>Base Score</t>
  </si>
  <si>
    <t>Deductions</t>
  </si>
  <si>
    <t>Additions</t>
  </si>
  <si>
    <t>Documentation evidencing the desirable activity/characteristic that will be located in sites under construction</t>
  </si>
  <si>
    <t xml:space="preserve">Evidence of mitigation of undesirable from third party by September 1, 2016, if applicable </t>
  </si>
  <si>
    <t>Documentation evidencing the mitigation of undesirable activity/characteristic(s) by owner by the Placed-In-Service date.  Include site control and evidence of resources.</t>
  </si>
  <si>
    <t>01   Narrative submitted and signed by a representative of the transit agency describing the strategic plan for the proposed site</t>
  </si>
  <si>
    <t>01   Map showing the location of the transit stop in relation to the proposed development site and clearly indicating off-site Paved Pedestrian Walkways used to access the transit stop</t>
  </si>
  <si>
    <t>02   Documentation showing the local transit agency’s ownership of the land</t>
  </si>
  <si>
    <t>04   Documentation that clearly demonstrates how the public is made aware of the transit service and schedule (web address is sufficient documentation)</t>
  </si>
  <si>
    <t>An opinion letter from an attorney, a PE, or a PG that the property appears to meet the requirements for issuance of a GEPD No Further Action or Limitation of Liability letter.  The opinion letter must also outline the steps and timeline for obtaining the EPD letter.</t>
  </si>
  <si>
    <t>02  Map clearly showing the census tract of the proposed site and, if applicable, distance from site entrance to census tract.</t>
  </si>
  <si>
    <t>03  Copy of original Loan Agreement and any amendments and modifications to it</t>
  </si>
  <si>
    <t>02  Copy of original Promissory Note and any amendments and modifications to it</t>
  </si>
  <si>
    <t xml:space="preserve">01  Letter signed by an officer of the lender whose debt is being assumed </t>
  </si>
  <si>
    <t>01  Copy of Executed Earthcraft Communities Memorandum of Participation for the development where the project is located, signed by applicant</t>
  </si>
  <si>
    <t>03  Certificate of Participation in DCA’s Green Building for Affordable Housing Training Course</t>
  </si>
  <si>
    <t>04  Performance Institute (BPI) Building Analyst or other equivalent energy audit certification. Rehabs only.</t>
  </si>
  <si>
    <t>01  Current scoring worksheet for the development that includes the minimum score under the program to qualify for the designation and master site plan for the development.  The worksheet must include the comments from the LEED AP consultant.</t>
  </si>
  <si>
    <t>02  Certificate of Participation in DCA’s Green Building for Affordable Housing Training Course</t>
  </si>
  <si>
    <t>01  Draft scoring worksheet including minimum score under the program to qualify for the designation</t>
  </si>
  <si>
    <t>05  Energy Audit Report completed by a qualified Building Performance Institute (BPI) Building Analyst or other equivalent energy audit certification. Rehabs only.</t>
  </si>
  <si>
    <t>04  Certificate of Participation in DCA’s Green Building for Affordable Housing Training Course.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</si>
  <si>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</si>
  <si>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02  Documentation of the project's registration in the LEED database</t>
  </si>
  <si>
    <t>03  Energy Audit Report completed by a qualified Building Performance Institute (BPI) Building Analyst, HERS rater, or other equivalent energy audit certification. Rehabs only.</t>
  </si>
  <si>
    <t>01  Each page of FFIEC census demonstrating project meets requirements for point category</t>
  </si>
  <si>
    <t>02  Map clearly showing the census tract of the proposed site.</t>
  </si>
  <si>
    <t>02   Evidence of adoption and reauthorizations/renewals demonstrating the plan is active</t>
  </si>
  <si>
    <t>04   Website address where information regarding the plan can be located (must be identical to that entered into core application Scoring tab),or (for Section A) a copy of the document and a comment explaining how the document was obtained.</t>
  </si>
  <si>
    <t>06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</si>
  <si>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07   A copy of the full revitalization plan</t>
  </si>
  <si>
    <t>01   CHOICE Neighborhood Implementation grant award</t>
  </si>
  <si>
    <t>Copy of strategy documents meeting the QAP requirements</t>
  </si>
  <si>
    <t>Copy of 2014 and 2015 recent annual audits completed by an independent auditor for the Nonprofit</t>
  </si>
  <si>
    <t>Letter executed by the GICH community’s primary or secondary contact on record with the University of Georgia Housing and Demographic Research Center as of May 1, 2016., committing the formal support of the majority of GICH members</t>
  </si>
  <si>
    <t>Evidence that census tract is eligible for AND has received designation as a Military Zone</t>
  </si>
  <si>
    <t>Section A3</t>
  </si>
  <si>
    <t>Commitment for PBRA executed by authorized regulatory agency.</t>
  </si>
  <si>
    <t>Project rent roll for each of the 6 months prior to Application submission (December to May) that clearly indicates each occupied and each vacant unit, along with identifying total units.</t>
  </si>
  <si>
    <t>Most recent CCRPI report for each school</t>
  </si>
  <si>
    <t>A document identifying the exact address entered into the search box</t>
  </si>
  <si>
    <t>If properties located outside of Georgia, documentation from state HFA that documents the development and ownership of the required number of tax credit properties</t>
  </si>
  <si>
    <t>Other MSA</t>
  </si>
  <si>
    <t>City of Atlanta</t>
  </si>
  <si>
    <t>If proposing a Senior project or Special Needs project, Applicant agrees to provide the following additional required Amenities:</t>
  </si>
  <si>
    <r>
      <t>Pre-Application Number</t>
    </r>
    <r>
      <rPr>
        <sz val="10"/>
        <color rgb="FFFF0000"/>
        <rFont val="Arial Narrow"/>
        <family val="2"/>
      </rPr>
      <t xml:space="preserve"> </t>
    </r>
    <r>
      <rPr>
        <sz val="8"/>
        <color rgb="FFFF0000"/>
        <rFont val="Arial Narrow"/>
        <family val="2"/>
      </rPr>
      <t>(if applicable)  -  use format 2016PA-###</t>
    </r>
  </si>
  <si>
    <t>II. Deeper Targeting</t>
  </si>
  <si>
    <t>Commitment for PBRA executed by authorized regulatory agency</t>
  </si>
  <si>
    <t>45</t>
  </si>
  <si>
    <t>Site map(s) indicating location of desirable/undesirable activity/characteristic with a key/legend</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</si>
  <si>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</si>
  <si>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</si>
  <si>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</si>
  <si>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</si>
  <si>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</si>
  <si>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</si>
  <si>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</si>
  <si>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</si>
  <si>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</si>
  <si>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</si>
  <si>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</si>
  <si>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</si>
  <si>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</si>
  <si>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</si>
  <si>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&lt;&lt;Select Pool&gt;&gt;</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</si>
  <si>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</si>
  <si>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</si>
  <si>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</si>
  <si>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</si>
  <si>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</si>
  <si>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</si>
  <si>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</si>
  <si>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</si>
  <si>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</si>
  <si>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</si>
  <si>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</si>
  <si>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</si>
  <si>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</si>
  <si>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</si>
  <si>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</si>
  <si>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</si>
  <si>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</si>
  <si>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</si>
  <si>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</si>
  <si>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</si>
  <si>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</si>
  <si>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</si>
  <si>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</si>
  <si>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</si>
  <si>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</si>
  <si>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</si>
  <si>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</si>
  <si>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</si>
  <si>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02   Photograph (preferably color) of the transit stop accompanied by description of the stop’s location.</t>
  </si>
  <si>
    <t>03   Documentation and, if available, web address (URL) from transit authority showing cost of service, relevant transit route, and schedule</t>
  </si>
  <si>
    <t>05  On-site Paved Pedestrian Walkways and pedestrian site entrance must be identified on the site plan (if applicable)</t>
  </si>
  <si>
    <t>02  Active version (not locked or static PDF) of draft scoring worksheet for the development illustrating compliance with minimum score required under the program to obtain certification under sustainable building program selected. This worksheet must include the comments from the EarthCraft design review.</t>
  </si>
  <si>
    <t xml:space="preserve">01  Map clearly showing the demographic cluster of the proposed site with the site location marked </t>
  </si>
  <si>
    <t>XI. Extend Affordability Commitment</t>
  </si>
  <si>
    <t>Viable homeownership strategy for residents who will inhabit the units</t>
  </si>
  <si>
    <t>02  Documentation that site control was established for all phases when the initial phase is closed</t>
  </si>
  <si>
    <t>Copy of the long-term ground-lease agreement</t>
  </si>
  <si>
    <t xml:space="preserve">Commitment for PBRA executed by authorized regulatory agency
</t>
  </si>
  <si>
    <t>Administrative Plan outlining this tenant selection preference</t>
  </si>
  <si>
    <t>Letter to HUD Senior Advisor on Housing and Services sent from PHA, utilizing DCA’s extension request model template, copying the DCA Commissioner</t>
  </si>
  <si>
    <t>Preliminary Commitments for all financing and equity, see QAP for detail</t>
  </si>
  <si>
    <t>04  Copy of original Mortgage, Deed to Secure Debt, or Trust, or such other security instrument providing security for the loan, and any amendments and modifications to it</t>
  </si>
  <si>
    <t>Explanation if TDC exceeds DCA’s per unit cost limit (when the extra expense is covered by a nonprofit)</t>
  </si>
  <si>
    <t>Letter from verifiable authorized utility authorities that includes the project location and confirms that utilities will be available.</t>
  </si>
  <si>
    <t>Evidence of such easements and commitments from the utility provider, if applicable and not included in letter above</t>
  </si>
  <si>
    <t>Evidence of the easements and commitments from the water and sewer authorities, if applicable and not included in letter above</t>
  </si>
  <si>
    <t>Complete organizational charts for Owner and Developer entity that clearly show all principals including individuals involved in the ownership and development of the project.</t>
  </si>
  <si>
    <t>MP/EE?: Letter from project team stating all past and present DCA funded properties have been registered in Mitas and Georgia Housing Search</t>
  </si>
  <si>
    <t xml:space="preserve">Complete Organizational Chart </t>
  </si>
  <si>
    <t xml:space="preserve">Opinion of a third party attorney who specializes in tax law on the non-profit's current federal tax exempt qualification status </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</si>
  <si>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</si>
  <si>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</si>
  <si>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</si>
  <si>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</si>
  <si>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</si>
  <si>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</si>
  <si>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</si>
  <si>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</si>
  <si>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</si>
  <si>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</si>
  <si>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</si>
  <si>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</si>
  <si>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</si>
  <si>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</si>
  <si>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Documentation, explanation and / or calculation for real estate tax expense and insurance expense projection</t>
  </si>
  <si>
    <t>Three years' audited operating statements, if applicable (e.g., for rehab projects)</t>
  </si>
  <si>
    <t xml:space="preserve">Copy of operating expense waiver, if applicable </t>
  </si>
  <si>
    <t>Detailed Replacement Reserve analysis and plan (for detached single-family housing)</t>
  </si>
  <si>
    <t>Owner-paid utility amounts are captured in the operating Expense Budget in the Part VI tab.</t>
  </si>
  <si>
    <t>Core Application including Project Narrative (all in Microsoft Excel)</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</si>
  <si>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</si>
  <si>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</si>
  <si>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</si>
  <si>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&lt;&lt;Enter Participant 's Company here&gt;</t>
  </si>
  <si>
    <t>From scoring tab</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</si>
  <si>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</si>
  <si>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</si>
  <si>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</si>
  <si>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</si>
  <si>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</si>
  <si>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</si>
  <si>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</si>
  <si>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</si>
  <si>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</si>
  <si>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</si>
  <si>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</si>
  <si>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</si>
  <si>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</si>
  <si>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</si>
  <si>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</si>
  <si>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</si>
  <si>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</si>
  <si>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</si>
  <si>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</si>
  <si>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</si>
  <si>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</si>
  <si>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</si>
  <si>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</si>
  <si>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</si>
  <si>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</si>
  <si>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</si>
  <si>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</si>
  <si>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</si>
  <si>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</si>
  <si>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</si>
  <si>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</si>
  <si>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</si>
  <si>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</si>
  <si>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</si>
  <si>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</si>
  <si>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</si>
  <si>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</si>
  <si>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</si>
  <si>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</si>
  <si>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</si>
  <si>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</si>
  <si>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</si>
  <si>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</si>
  <si>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</si>
  <si>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</si>
  <si>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</si>
  <si>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t>Are any commitments submitted as “Under Consideration” which need final approval before July 8, 2016?</t>
  </si>
  <si>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</si>
  <si>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</si>
  <si>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2016?</t>
  </si>
  <si>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</si>
  <si>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</si>
  <si>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</si>
  <si>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</si>
  <si>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</si>
  <si>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</si>
  <si>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</si>
  <si>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</si>
  <si>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</si>
  <si>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</si>
  <si>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</si>
  <si>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</si>
  <si>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</si>
  <si>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</si>
  <si>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</si>
  <si>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</si>
  <si>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</si>
  <si>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</si>
  <si>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t xml:space="preserve">For Rehab developments - </t>
    </r>
    <r>
      <rPr>
        <sz val="8"/>
        <color theme="0"/>
        <rFont val="Arial"/>
        <family val="2"/>
      </rPr>
      <t>Applicant has</t>
    </r>
    <r>
      <rPr>
        <b/>
        <sz val="8"/>
        <color theme="0"/>
        <rFont val="Arial"/>
        <family val="2"/>
      </rPr>
      <t xml:space="preserve"> </t>
    </r>
    <r>
      <rPr>
        <sz val="8"/>
        <color theme="0"/>
        <rFont val="Arial"/>
        <family val="2"/>
      </rPr>
      <t>submitted an Energy Audit Report identifying the Applicant’s ability to meet the selected sustainable development standard?</t>
    </r>
  </si>
  <si>
    <r>
      <rPr>
        <b/>
        <sz val="8"/>
        <color theme="0"/>
        <rFont val="Arial"/>
        <family val="2"/>
      </rPr>
      <t>DCA’s Green Building for Affordable Housing Training Course</t>
    </r>
    <r>
      <rPr>
        <sz val="8"/>
        <color theme="0"/>
        <rFont val="Arial"/>
        <family val="2"/>
      </rPr>
      <t xml:space="preserve"> - Participation Certificate obtained?</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</si>
  <si>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</si>
  <si>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</si>
  <si>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</si>
  <si>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</si>
  <si>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</si>
  <si>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</si>
  <si>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</si>
  <si>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</si>
  <si>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</si>
  <si>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</si>
  <si>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</si>
  <si>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</si>
  <si>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</si>
  <si>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t>as a Percent of TDC:</t>
  </si>
  <si>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</si>
  <si>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</si>
  <si>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</si>
  <si>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</si>
  <si>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</si>
  <si>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</si>
  <si>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Nbr of Jobs w/in the 2-mile radius with workers who travel over 10 miles to work:</t>
  </si>
  <si>
    <t>Percentage of Jobs w/in the 2-mile radius w/ workers travelling over 10 miles to work:</t>
  </si>
  <si>
    <t>Scoring Section 14 - DCA Community Initiatives: GICH Project Narrative</t>
  </si>
  <si>
    <t>Tax Exempt Bond / 4% credit</t>
  </si>
  <si>
    <t>Ken Blankenship</t>
  </si>
  <si>
    <t>Manager</t>
  </si>
  <si>
    <t>3715 Northside Parkway Bldg 200 Ste 175</t>
  </si>
  <si>
    <t>ken@prestwickcompanies.com</t>
  </si>
  <si>
    <t>Gateway Capitol View</t>
  </si>
  <si>
    <t>66.01</t>
  </si>
  <si>
    <t>1374 Murphy Avenue</t>
  </si>
  <si>
    <t>33.717639, -84.42391,964</t>
  </si>
  <si>
    <t>http://www.atlantaga.gov/</t>
  </si>
  <si>
    <t>Kasim Reed</t>
  </si>
  <si>
    <t>Mayor</t>
  </si>
  <si>
    <t>55 Trinity Avenue, Suite 2500</t>
  </si>
  <si>
    <t>133 Peachtree Street, NE, Suite 2900</t>
  </si>
  <si>
    <t>Dawn Luke</t>
  </si>
  <si>
    <t>SVP</t>
  </si>
  <si>
    <t>dluke@investatlanta.com</t>
  </si>
  <si>
    <t>Capital View Senior Residences I LP</t>
  </si>
  <si>
    <t>3715 Northside Pkwy Bldg 200 Ste 175</t>
  </si>
  <si>
    <t>For Profit</t>
  </si>
  <si>
    <t>Capital View Gateway Senior GP, LLC</t>
  </si>
  <si>
    <t>3715 Northside Pkwy, Bldg 200, Ste 175</t>
  </si>
  <si>
    <t>Direct Tax Credits</t>
  </si>
  <si>
    <t>2860 W. Highway 54</t>
  </si>
  <si>
    <t>Paul Smith</t>
  </si>
  <si>
    <t>President</t>
  </si>
  <si>
    <t>www.directtaxcredits.com</t>
  </si>
  <si>
    <t>paul@directtaxcredits.com</t>
  </si>
  <si>
    <t>Prestwick Development Company, LLC</t>
  </si>
  <si>
    <t>Prestwick Construction Company, lLC</t>
  </si>
  <si>
    <t>Ray Dotson</t>
  </si>
  <si>
    <t>www.prestwickcompanies.com</t>
  </si>
  <si>
    <t>ray@prestwickcompanies.com</t>
  </si>
  <si>
    <t>LEDIC Management Company</t>
  </si>
  <si>
    <t>2650 Thousand Oaks Blvd</t>
  </si>
  <si>
    <t>Terri Benskin</t>
  </si>
  <si>
    <t>COO</t>
  </si>
  <si>
    <t>www.ledic.com</t>
  </si>
  <si>
    <t>terri.benskin@ledic.com</t>
  </si>
  <si>
    <t>Arnall Golden Gregory</t>
  </si>
  <si>
    <t>Jeff Adams</t>
  </si>
  <si>
    <t>Partner</t>
  </si>
  <si>
    <t>171 17th Street</t>
  </si>
  <si>
    <t>www.agg.com</t>
  </si>
  <si>
    <t>jeffadams@agg.com</t>
  </si>
  <si>
    <t>Cohn Reznick</t>
  </si>
  <si>
    <t>Timothy Kemper</t>
  </si>
  <si>
    <t>2560 Lenox Road, Suite 2800</t>
  </si>
  <si>
    <t>Parnter</t>
  </si>
  <si>
    <t>www.cohnreznick</t>
  </si>
  <si>
    <t>timothy.kemper@cohnreznick.com</t>
  </si>
  <si>
    <t>Geheber Lewis Associates LLC</t>
  </si>
  <si>
    <t>Fred Geheber</t>
  </si>
  <si>
    <t>643 11th Street</t>
  </si>
  <si>
    <t>www.glatl.com</t>
  </si>
  <si>
    <t>fgeheber@glaatl.com</t>
  </si>
  <si>
    <t>The members of the General Parntner entity, Capital View Senior Residences GP, LLC are also members of Prestwick Construction Company, LLC.</t>
  </si>
  <si>
    <t>Members of Prestwick Development Company, LLC are also members of both the GP entity and members of Prestwick Construction Company, LLC,  the contractor for the project.</t>
  </si>
  <si>
    <t>Members of Prestwick Construction Company, LLC are also members of both the GP entity and members of Prestwick Construction Company, LLC,  the contractor for the project.</t>
  </si>
  <si>
    <t>Walker and Dunlap</t>
  </si>
  <si>
    <t>Amortizing</t>
  </si>
  <si>
    <t>DCA HOME Loan</t>
  </si>
  <si>
    <t>Prestwick</t>
  </si>
  <si>
    <t>Accessibility Consultant, Materials Testing, Post Comp Radon</t>
  </si>
  <si>
    <t>Cost Review</t>
  </si>
  <si>
    <t>DDA/QCT</t>
  </si>
  <si>
    <t>3+ Story</t>
  </si>
  <si>
    <t>PHA PBRA</t>
  </si>
  <si>
    <t>Benefits, payroll taxes, WC</t>
  </si>
  <si>
    <t>Other Admin, Software, Compliance Fee</t>
  </si>
  <si>
    <t>Credit Reports</t>
  </si>
  <si>
    <t>Other(see comments)</t>
  </si>
  <si>
    <t>Within City Limits</t>
  </si>
  <si>
    <t>The Project Based Rental Assistance approval will be on the Atlanta Housing Authority Board agenda in May.  The Tax Exempt Bond Resolution will be on the Invest Atlanta Board agenda on April 21 for approval.</t>
  </si>
  <si>
    <t>Agree</t>
  </si>
  <si>
    <t>Birthday parties, holiday theme parties, resident forums, etc.</t>
  </si>
  <si>
    <t>Computer classes, health education classes, and money management classes.</t>
  </si>
  <si>
    <t>LEDIC Management will identify the needs of the community and provide social and recreational programming as well as semi-monthly classes.</t>
  </si>
  <si>
    <t>Real Property Research Group</t>
  </si>
  <si>
    <t>6-7 months</t>
  </si>
  <si>
    <t>2013-051</t>
  </si>
  <si>
    <t>Boynton Village</t>
  </si>
  <si>
    <t>2013-053</t>
  </si>
  <si>
    <t>Centennial Place 1</t>
  </si>
  <si>
    <t>LIHTC current occupancy is 98.4%.</t>
  </si>
  <si>
    <t>No appraisal is required.  There is not an identity of interest between the buyer and the seller.</t>
  </si>
  <si>
    <t>Geotechnical &amp; Environmental Consulting, Inc</t>
  </si>
  <si>
    <t>Railway, Road, Aircraft</t>
  </si>
  <si>
    <t>This project includes PBRA from the Atlanta Housing Authority, therefore items f 2) and F 3) were included in this application.</t>
  </si>
  <si>
    <t>Contract/Option</t>
  </si>
  <si>
    <t>Capital View Senior Residences I, LP</t>
  </si>
  <si>
    <t>The entity with site control and the applicant is Capital View Senior Residences I, LP</t>
  </si>
  <si>
    <t>See Tab 9 for more information on site access.</t>
  </si>
  <si>
    <t>The site is zoned for the intended use.  Please see Tab 10 for additional zoning information.</t>
  </si>
  <si>
    <t>Georgia Power</t>
  </si>
  <si>
    <t>The proposed project will be 100% electric.  No gas.</t>
  </si>
  <si>
    <t>Please see Tab 12 for water/sewer letters.</t>
  </si>
  <si>
    <t>Beginning 4/30/15</t>
  </si>
  <si>
    <t>Atlanta Journal Constitution (Print and Online</t>
  </si>
  <si>
    <t>See Tab 13 in the Application for more details.  The project was presented at multiple public meetings including Capitol View Neighborhood Association, NPU-X, and the City of Atlanta's Community Development and Human Resources committee.  A resolution of support was provided by Councilmember Joyce Sheperd.</t>
  </si>
  <si>
    <t>Room</t>
  </si>
  <si>
    <t>On-site laundry</t>
  </si>
  <si>
    <t>Fitness Center</t>
  </si>
  <si>
    <t>Computer Center</t>
  </si>
  <si>
    <t>Please see site plan in Tab 16.</t>
  </si>
  <si>
    <t>Community Garden</t>
  </si>
  <si>
    <t>Arts and Crafts Room</t>
  </si>
  <si>
    <t>Covered Porch</t>
  </si>
  <si>
    <t>Applicant was deemed qualified without conditions on their pre-application qualification determination request.  The required documentation showing this change is included in Tab 20.</t>
  </si>
  <si>
    <t>The DCA Performance workbook is submitted with the HOME consent package.</t>
  </si>
  <si>
    <t>No legal opinions required.</t>
  </si>
  <si>
    <t>The site is currently undeveloped and vacant.</t>
  </si>
  <si>
    <t>The project is shovel ready.</t>
  </si>
  <si>
    <t>Atlanta Housing Authority/Zeffert and Associates</t>
  </si>
  <si>
    <t>DCA HOME LOAN</t>
  </si>
  <si>
    <t>Community and Southern Bank</t>
  </si>
  <si>
    <t>The private utility allowance is a part of the Atlanta Housing Authority PBRA approval process. All tenants will be billed for their water and sewer usage. The owner will be repsonsible for paying the water and sewer bill.</t>
  </si>
  <si>
    <t>Floating</t>
  </si>
  <si>
    <t xml:space="preserve">Developer/Sponsor:  Prestwick Development Company
LP:  Capitol View Senior Residences I, LP
GP:  Capitol View Gateway Senior GP, LLC
Location:  1374 Murphy Avenue, Atlanta, GA 30310 
 Fulton County (Census Tract – 0066.01)
Prestwick will develop a market quality product consistent with The Manor at Scott’s Crossing and Gateway East Point in Fulton County in the Capitol View Neighborhood. The exclusive age 55 year and older senior living complex will showcase 162 units (139 one bedroom and 23 two bedroom). The rent for each unit will be subsidized through a Project-Based Rental Assistance agreement with the Atlanta Housing Authority.  
All units will be in a four story “U”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arts and crafts room, interior gathering areas and a laundry room. We will also offer a covered porch / picnic area and other green space.  Resident activities will be ongoing and designed to meet the needs of the changing community.  
The site's best amenity, however, might be its access to public transportation. Located across the street from the Oakland City MARTA Station and within the Atlanta BeltLine Redevelopment Plan area,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
</t>
  </si>
  <si>
    <t>Tax &amp; Insurance Escrows</t>
  </si>
  <si>
    <t>*To all Applicants: Real estate taxes shown in Operating Budget should be prior to any tax abatement.  Please provide methodology for real estate tax calculation.  
**To all Applicants: Please provide methodology for insurance calculation.  See Tab 1, item 6 for insurance calculation information. 
All units are PBRA units. The tenant paid portion of the rent will not exceed the maximum tax credit rent for that particular unit.  The tax calculation can be found in Tab 010600 - The NOI multiplied by the Cap Rate equals the Fair Market Value.  The FMV is multiplied by the 40% assessment ratio and then multiplied by the mileage rate.</t>
  </si>
  <si>
    <t>2016-508</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</si>
</sst>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5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7"/>
      <name val="Garamond"/>
      <family val="1"/>
    </font>
    <font>
      <b/>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7"/>
      <name val="Arial"/>
      <family val="2"/>
    </font>
    <font>
      <b/>
      <sz val="14"/>
      <color rgb="FFFF0000"/>
      <name val="Arial"/>
      <family val="2"/>
    </font>
    <font>
      <b/>
      <i/>
      <u/>
      <sz val="9"/>
      <name val="Arial"/>
      <family val="2"/>
    </font>
    <font>
      <strike/>
      <sz val="8"/>
      <color theme="1"/>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sz val="7"/>
      <color theme="0"/>
      <name val="Garamond"/>
      <family val="1"/>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0" fillId="0" borderId="0" applyNumberFormat="0" applyFill="0" applyBorder="0" applyAlignment="0" applyProtection="0"/>
    <xf numFmtId="43" fontId="141" fillId="0" borderId="0" applyFont="0" applyFill="0" applyBorder="0" applyAlignment="0" applyProtection="0"/>
    <xf numFmtId="44" fontId="30" fillId="0" borderId="0" applyFont="0" applyFill="0" applyBorder="0" applyAlignment="0" applyProtection="0"/>
    <xf numFmtId="15" fontId="142" fillId="0" borderId="102" applyFont="0" applyFill="0" applyBorder="0" applyProtection="0">
      <alignment horizontal="center"/>
      <protection locked="0"/>
    </xf>
    <xf numFmtId="179" fontId="143" fillId="0" borderId="0" applyFont="0" applyFill="0" applyBorder="0" applyAlignment="0" applyProtection="0"/>
    <xf numFmtId="38" fontId="142" fillId="0" borderId="0" applyFill="0" applyBorder="0" applyAlignment="0" applyProtection="0"/>
    <xf numFmtId="180" fontId="144" fillId="0" borderId="0" applyFill="0" applyBorder="0" applyAlignment="0" applyProtection="0">
      <alignment horizontal="right"/>
    </xf>
    <xf numFmtId="37" fontId="145" fillId="0" borderId="102" applyNumberFormat="0" applyFont="0" applyFill="0" applyAlignment="0" applyProtection="0">
      <alignment horizontal="center" vertical="center"/>
    </xf>
    <xf numFmtId="37" fontId="146" fillId="0" borderId="0"/>
    <xf numFmtId="0" fontId="2" fillId="0" borderId="0"/>
    <xf numFmtId="0" fontId="2" fillId="0" borderId="0"/>
    <xf numFmtId="0" fontId="147" fillId="0" borderId="0" applyNumberFormat="0" applyFill="0" applyBorder="0" applyAlignment="0" applyProtection="0"/>
    <xf numFmtId="37" fontId="148" fillId="0" borderId="0" applyFill="0" applyBorder="0" applyAlignment="0" applyProtection="0"/>
    <xf numFmtId="9" fontId="141" fillId="0" borderId="0" applyFont="0" applyFill="0" applyBorder="0" applyAlignment="0" applyProtection="0"/>
  </cellStyleXfs>
  <cellXfs count="34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5" fillId="0" borderId="0" xfId="0" applyFont="1" applyFill="1" applyBorder="1" applyAlignment="1" applyProtection="1">
      <alignment horizontal="right"/>
    </xf>
    <xf numFmtId="0" fontId="100" fillId="0" borderId="0" xfId="0" applyFont="1" applyFill="1" applyBorder="1" applyAlignment="1" applyProtection="1">
      <alignment vertical="center"/>
    </xf>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0" fontId="91" fillId="0" borderId="0" xfId="0" applyFont="1" applyFill="1" applyBorder="1" applyAlignment="1" applyProtection="1">
      <alignment vertical="center"/>
    </xf>
    <xf numFmtId="0" fontId="104" fillId="0" borderId="0" xfId="0"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4"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7" fillId="0" borderId="0" xfId="12" applyFont="1"/>
    <xf numFmtId="0" fontId="118" fillId="0" borderId="0" xfId="12" applyFont="1"/>
    <xf numFmtId="0" fontId="118" fillId="0" borderId="0" xfId="12" applyFont="1" applyAlignment="1">
      <alignment horizontal="left"/>
    </xf>
    <xf numFmtId="0" fontId="118" fillId="0" borderId="0" xfId="12" applyFont="1" applyAlignment="1">
      <alignment horizontal="right"/>
    </xf>
    <xf numFmtId="0" fontId="120" fillId="0" borderId="0" xfId="12" applyFont="1" applyBorder="1"/>
    <xf numFmtId="0" fontId="120" fillId="0" borderId="0" xfId="12" applyFont="1" applyBorder="1" applyAlignment="1">
      <alignment horizontal="right"/>
    </xf>
    <xf numFmtId="0" fontId="120" fillId="0" borderId="0" xfId="12" applyFont="1"/>
    <xf numFmtId="0" fontId="120" fillId="0" borderId="86" xfId="12" applyFont="1" applyBorder="1" applyAlignment="1">
      <alignment horizontal="left"/>
    </xf>
    <xf numFmtId="0" fontId="120" fillId="0" borderId="86" xfId="12" applyFont="1" applyBorder="1"/>
    <xf numFmtId="49" fontId="118" fillId="0" borderId="0" xfId="12" applyNumberFormat="1" applyFont="1" applyAlignment="1">
      <alignment vertical="top"/>
    </xf>
    <xf numFmtId="49" fontId="118" fillId="0" borderId="0" xfId="12" applyNumberFormat="1" applyFont="1" applyAlignment="1">
      <alignment horizontal="left" vertical="top"/>
    </xf>
    <xf numFmtId="0" fontId="118" fillId="0" borderId="0" xfId="12" applyFont="1" applyAlignment="1">
      <alignment vertical="top"/>
    </xf>
    <xf numFmtId="0" fontId="118" fillId="0" borderId="0" xfId="12" applyFont="1" applyAlignment="1">
      <alignment horizontal="right" vertical="top"/>
    </xf>
    <xf numFmtId="49" fontId="118" fillId="0" borderId="0" xfId="12" quotePrefix="1" applyNumberFormat="1" applyFont="1" applyAlignment="1">
      <alignment vertical="top"/>
    </xf>
    <xf numFmtId="49" fontId="118" fillId="0" borderId="0" xfId="12" applyNumberFormat="1" applyFont="1" applyAlignment="1">
      <alignment horizontal="center" vertical="top"/>
    </xf>
    <xf numFmtId="0" fontId="118" fillId="0" borderId="0" xfId="12" applyFont="1" applyAlignment="1">
      <alignment horizontal="left" vertical="top"/>
    </xf>
    <xf numFmtId="49" fontId="118" fillId="0" borderId="0" xfId="12" quotePrefix="1" applyNumberFormat="1" applyFont="1" applyBorder="1" applyAlignment="1">
      <alignment vertical="top"/>
    </xf>
    <xf numFmtId="49" fontId="118" fillId="0" borderId="0" xfId="12" applyNumberFormat="1" applyFont="1" applyBorder="1" applyAlignment="1">
      <alignment vertical="top"/>
    </xf>
    <xf numFmtId="49" fontId="118" fillId="0" borderId="19" xfId="12" quotePrefix="1" applyNumberFormat="1" applyFont="1" applyBorder="1" applyAlignment="1">
      <alignment vertical="top"/>
    </xf>
    <xf numFmtId="49" fontId="118" fillId="0" borderId="19" xfId="12" applyNumberFormat="1" applyFont="1" applyBorder="1" applyAlignment="1">
      <alignment horizontal="left" vertical="top"/>
    </xf>
    <xf numFmtId="0" fontId="118" fillId="0" borderId="19" xfId="12" applyFont="1" applyBorder="1" applyAlignment="1">
      <alignment horizontal="right" vertical="top"/>
    </xf>
    <xf numFmtId="0" fontId="118" fillId="0" borderId="19" xfId="12" applyFont="1" applyBorder="1" applyAlignment="1">
      <alignment horizontal="left" vertical="top"/>
    </xf>
    <xf numFmtId="0" fontId="118" fillId="0" borderId="32" xfId="12" applyFont="1" applyBorder="1" applyAlignment="1">
      <alignment vertical="top"/>
    </xf>
    <xf numFmtId="0" fontId="118" fillId="0" borderId="19" xfId="12" applyFont="1" applyBorder="1" applyAlignment="1">
      <alignment vertical="top"/>
    </xf>
    <xf numFmtId="0" fontId="118" fillId="0" borderId="0" xfId="12" applyFont="1" applyFill="1" applyAlignment="1">
      <alignment vertical="top"/>
    </xf>
    <xf numFmtId="49" fontId="118"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98" fillId="0" borderId="19" xfId="12" applyFont="1" applyBorder="1" applyAlignment="1">
      <alignment vertical="top"/>
    </xf>
    <xf numFmtId="49" fontId="118" fillId="0" borderId="19" xfId="12" applyNumberFormat="1" applyFont="1" applyFill="1" applyBorder="1" applyAlignment="1">
      <alignment vertical="top"/>
    </xf>
    <xf numFmtId="0" fontId="118" fillId="0" borderId="0" xfId="12" applyFont="1" applyBorder="1" applyAlignment="1">
      <alignment vertical="top"/>
    </xf>
    <xf numFmtId="49" fontId="118" fillId="0" borderId="0" xfId="12" applyNumberFormat="1" applyFont="1"/>
    <xf numFmtId="49" fontId="118" fillId="0" borderId="0" xfId="12" applyNumberFormat="1" applyFont="1" applyAlignment="1">
      <alignment horizontal="left"/>
    </xf>
    <xf numFmtId="49" fontId="118" fillId="0" borderId="0" xfId="12" applyNumberFormat="1" applyFont="1" applyAlignment="1">
      <alignment horizontal="center"/>
    </xf>
    <xf numFmtId="0" fontId="118" fillId="0" borderId="0" xfId="12" applyFont="1" applyAlignment="1">
      <alignment horizontal="center"/>
    </xf>
    <xf numFmtId="0" fontId="123"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6" fillId="0" borderId="0" xfId="0" applyFont="1" applyFill="1" applyBorder="1" applyAlignment="1" applyProtection="1">
      <alignment horizontal="left" vertical="center"/>
    </xf>
    <xf numFmtId="0" fontId="118" fillId="10" borderId="12" xfId="12" applyFont="1" applyFill="1" applyBorder="1" applyAlignment="1" applyProtection="1">
      <alignment vertical="top"/>
      <protection locked="0"/>
    </xf>
    <xf numFmtId="0" fontId="118" fillId="10" borderId="89" xfId="12" applyFont="1" applyFill="1" applyBorder="1" applyAlignment="1" applyProtection="1">
      <alignment vertical="top"/>
      <protection locked="0"/>
    </xf>
    <xf numFmtId="0" fontId="118" fillId="10" borderId="87" xfId="12" applyFont="1" applyFill="1" applyBorder="1" applyAlignment="1" applyProtection="1">
      <alignment vertical="top"/>
      <protection locked="0"/>
    </xf>
    <xf numFmtId="49" fontId="118" fillId="0" borderId="0" xfId="12" applyNumberFormat="1" applyFont="1" applyBorder="1" applyAlignment="1">
      <alignment horizontal="left" vertical="top"/>
    </xf>
    <xf numFmtId="0" fontId="118" fillId="0" borderId="0" xfId="12" applyFont="1" applyBorder="1" applyAlignment="1">
      <alignment horizontal="right" vertical="top"/>
    </xf>
    <xf numFmtId="0" fontId="118" fillId="0" borderId="8" xfId="12" applyFont="1" applyBorder="1" applyAlignment="1">
      <alignment vertical="top"/>
    </xf>
    <xf numFmtId="49" fontId="118" fillId="0" borderId="0" xfId="12" applyNumberFormat="1" applyFont="1" applyBorder="1" applyAlignment="1">
      <alignment vertical="top" wrapText="1"/>
    </xf>
    <xf numFmtId="49" fontId="118" fillId="0" borderId="93" xfId="12" quotePrefix="1" applyNumberFormat="1" applyFont="1" applyBorder="1" applyAlignment="1">
      <alignment horizontal="center" vertical="top"/>
    </xf>
    <xf numFmtId="49" fontId="118" fillId="0" borderId="94" xfId="12" quotePrefix="1" applyNumberFormat="1" applyFont="1" applyBorder="1" applyAlignment="1">
      <alignment horizontal="center" vertical="top"/>
    </xf>
    <xf numFmtId="49" fontId="118" fillId="0" borderId="73" xfId="12" quotePrefix="1" applyNumberFormat="1" applyFont="1" applyBorder="1" applyAlignment="1">
      <alignment horizontal="center" vertical="top"/>
    </xf>
    <xf numFmtId="49" fontId="118" fillId="0" borderId="95" xfId="12" quotePrefix="1" applyNumberFormat="1" applyFont="1" applyBorder="1" applyAlignment="1">
      <alignment horizontal="center" vertical="top"/>
    </xf>
    <xf numFmtId="49" fontId="118" fillId="0" borderId="93" xfId="12" applyNumberFormat="1" applyFont="1" applyBorder="1" applyAlignment="1">
      <alignment horizontal="center" vertical="top"/>
    </xf>
    <xf numFmtId="49" fontId="118" fillId="0" borderId="96" xfId="12" quotePrefix="1" applyNumberFormat="1" applyFont="1" applyBorder="1" applyAlignment="1">
      <alignment horizontal="center" vertical="top"/>
    </xf>
    <xf numFmtId="49" fontId="118" fillId="10" borderId="23" xfId="12" applyNumberFormat="1" applyFont="1" applyFill="1" applyBorder="1" applyAlignment="1" applyProtection="1">
      <alignment horizontal="left" vertical="top"/>
      <protection locked="0"/>
    </xf>
    <xf numFmtId="49" fontId="118" fillId="10" borderId="25" xfId="12" applyNumberFormat="1" applyFont="1" applyFill="1" applyBorder="1" applyAlignment="1" applyProtection="1">
      <alignment horizontal="left" vertical="top"/>
      <protection locked="0"/>
    </xf>
    <xf numFmtId="49" fontId="118" fillId="10" borderId="24" xfId="12" applyNumberFormat="1" applyFont="1" applyFill="1" applyBorder="1" applyAlignment="1" applyProtection="1">
      <alignment horizontal="left" vertical="top"/>
      <protection locked="0"/>
    </xf>
    <xf numFmtId="0" fontId="118" fillId="0" borderId="88" xfId="12" applyFont="1" applyBorder="1" applyAlignment="1">
      <alignment vertical="top"/>
    </xf>
    <xf numFmtId="0" fontId="118" fillId="0" borderId="13" xfId="12" applyFont="1" applyBorder="1" applyAlignment="1">
      <alignment vertical="top"/>
    </xf>
    <xf numFmtId="49" fontId="118" fillId="10" borderId="16" xfId="12" quotePrefix="1" applyNumberFormat="1" applyFont="1" applyFill="1" applyBorder="1" applyAlignment="1" applyProtection="1">
      <alignment horizontal="center" vertical="top"/>
      <protection locked="0"/>
    </xf>
    <xf numFmtId="49" fontId="118" fillId="10" borderId="17" xfId="12" quotePrefix="1" applyNumberFormat="1" applyFont="1" applyFill="1" applyBorder="1" applyAlignment="1" applyProtection="1">
      <alignment horizontal="center" vertical="top"/>
      <protection locked="0"/>
    </xf>
    <xf numFmtId="49" fontId="118" fillId="0" borderId="13" xfId="12" applyNumberFormat="1" applyFont="1" applyBorder="1" applyAlignment="1">
      <alignment horizontal="left"/>
    </xf>
    <xf numFmtId="0" fontId="118" fillId="0" borderId="13" xfId="12" applyFont="1" applyBorder="1" applyAlignment="1"/>
    <xf numFmtId="49" fontId="118"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6" fillId="0" borderId="0" xfId="0" applyFont="1" applyFill="1" applyAlignment="1" applyProtection="1">
      <alignment vertical="center"/>
    </xf>
    <xf numFmtId="0" fontId="99" fillId="0" borderId="0" xfId="0" applyFont="1" applyBorder="1" applyAlignment="1" applyProtection="1">
      <alignment horizontal="right" vertical="center"/>
    </xf>
    <xf numFmtId="0" fontId="126"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22"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31" fillId="0" borderId="0" xfId="0" applyFont="1" applyFill="1" applyBorder="1" applyAlignment="1" applyProtection="1">
      <alignment horizontal="center" vertical="center"/>
    </xf>
    <xf numFmtId="0" fontId="118" fillId="0" borderId="0" xfId="12" applyFont="1" applyBorder="1" applyAlignment="1">
      <alignment horizontal="left" vertical="top"/>
    </xf>
    <xf numFmtId="49" fontId="118" fillId="0" borderId="20" xfId="12" quotePrefix="1" applyNumberFormat="1" applyFont="1" applyBorder="1" applyAlignment="1">
      <alignment vertical="top"/>
    </xf>
    <xf numFmtId="49" fontId="118" fillId="0" borderId="20" xfId="12" applyNumberFormat="1" applyFont="1" applyBorder="1" applyAlignment="1">
      <alignment horizontal="left" vertical="top"/>
    </xf>
    <xf numFmtId="0" fontId="118" fillId="0" borderId="20" xfId="12" applyFont="1" applyBorder="1" applyAlignment="1">
      <alignment vertical="top"/>
    </xf>
    <xf numFmtId="0" fontId="118" fillId="0" borderId="20" xfId="12" applyFont="1" applyBorder="1" applyAlignment="1">
      <alignment horizontal="right" vertical="top"/>
    </xf>
    <xf numFmtId="0" fontId="118" fillId="0" borderId="20" xfId="12" applyFont="1" applyBorder="1" applyAlignment="1">
      <alignment horizontal="left" vertical="top"/>
    </xf>
    <xf numFmtId="0" fontId="118" fillId="0" borderId="97" xfId="12" applyFont="1" applyBorder="1" applyAlignment="1">
      <alignment vertical="top"/>
    </xf>
    <xf numFmtId="49" fontId="118" fillId="0" borderId="41" xfId="12" applyNumberFormat="1" applyFont="1" applyBorder="1" applyAlignment="1">
      <alignment horizontal="left" vertical="top"/>
    </xf>
    <xf numFmtId="0" fontId="118" fillId="0" borderId="44" xfId="12" applyFont="1" applyBorder="1" applyAlignment="1">
      <alignment vertical="top"/>
    </xf>
    <xf numFmtId="0" fontId="118" fillId="0" borderId="40" xfId="12" applyFont="1" applyBorder="1" applyAlignment="1">
      <alignment vertical="top"/>
    </xf>
    <xf numFmtId="0" fontId="23" fillId="0" borderId="0" xfId="0" applyFont="1" applyFill="1" applyAlignment="1" applyProtection="1">
      <alignment horizontal="center"/>
    </xf>
    <xf numFmtId="0" fontId="133" fillId="0" borderId="0" xfId="0" applyFont="1" applyFill="1" applyBorder="1" applyAlignment="1" applyProtection="1">
      <alignment horizontal="left"/>
    </xf>
    <xf numFmtId="0" fontId="13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3" xfId="0" applyFont="1" applyFill="1" applyBorder="1" applyAlignment="1" applyProtection="1">
      <alignment horizontal="center" vertical="top"/>
    </xf>
    <xf numFmtId="0" fontId="122"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8" fillId="0" borderId="0" xfId="12" applyFont="1" applyFill="1" applyAlignment="1">
      <alignment horizontal="right" vertical="top" wrapText="1"/>
    </xf>
    <xf numFmtId="0" fontId="118" fillId="0" borderId="0" xfId="12" applyFont="1" applyFill="1" applyAlignment="1">
      <alignment horizontal="left" vertical="top" wrapText="1"/>
    </xf>
    <xf numFmtId="49" fontId="118" fillId="0" borderId="20" xfId="12" applyNumberFormat="1" applyFont="1" applyBorder="1" applyAlignment="1">
      <alignment vertical="top"/>
    </xf>
    <xf numFmtId="0" fontId="109"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93"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5" fillId="0" borderId="0" xfId="0" applyFont="1" applyFill="1" applyBorder="1" applyAlignment="1" applyProtection="1"/>
    <xf numFmtId="0" fontId="135" fillId="0" borderId="0" xfId="0" applyFont="1" applyFill="1" applyBorder="1" applyAlignment="1" applyProtection="1">
      <alignment vertical="center"/>
    </xf>
    <xf numFmtId="0" fontId="2" fillId="0" borderId="0" xfId="13"/>
    <xf numFmtId="0" fontId="157" fillId="0" borderId="0" xfId="13" applyFont="1" applyAlignment="1">
      <alignment horizontal="center"/>
    </xf>
    <xf numFmtId="0" fontId="158" fillId="0" borderId="0" xfId="13" applyFont="1"/>
    <xf numFmtId="0" fontId="158" fillId="0" borderId="0" xfId="13" applyFont="1" applyAlignment="1">
      <alignment horizontal="center"/>
    </xf>
    <xf numFmtId="177" fontId="158" fillId="0" borderId="0" xfId="13" applyNumberFormat="1" applyFont="1" applyAlignment="1">
      <alignment horizontal="center"/>
    </xf>
    <xf numFmtId="0" fontId="158"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5"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72"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5"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73" fillId="0" borderId="0" xfId="0" applyFont="1" applyFill="1" applyProtection="1"/>
    <xf numFmtId="0" fontId="178" fillId="0" borderId="0" xfId="0" applyFont="1" applyFill="1" applyAlignment="1" applyProtection="1">
      <alignment vertical="center"/>
    </xf>
    <xf numFmtId="0" fontId="176"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0"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5" fillId="0" borderId="0" xfId="0" applyFont="1" applyFill="1" applyBorder="1" applyAlignment="1" applyProtection="1">
      <alignment vertical="center"/>
    </xf>
    <xf numFmtId="0" fontId="175"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22"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1"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34" fillId="0" borderId="0" xfId="0" applyFont="1" applyProtection="1"/>
    <xf numFmtId="182" fontId="7" fillId="0" borderId="3" xfId="0" applyNumberFormat="1" applyFont="1" applyFill="1" applyBorder="1" applyAlignment="1" applyProtection="1">
      <alignment horizontal="center" vertical="center"/>
    </xf>
    <xf numFmtId="0" fontId="183" fillId="0" borderId="16" xfId="0" applyFont="1" applyFill="1" applyBorder="1" applyAlignment="1" applyProtection="1">
      <alignment horizontal="center" vertical="center"/>
    </xf>
    <xf numFmtId="0" fontId="183" fillId="0" borderId="17" xfId="0" applyFont="1" applyFill="1" applyBorder="1" applyAlignment="1" applyProtection="1">
      <alignment horizontal="center" vertical="center"/>
    </xf>
    <xf numFmtId="0" fontId="183" fillId="0" borderId="18" xfId="0" applyFont="1" applyFill="1" applyBorder="1" applyAlignment="1" applyProtection="1">
      <alignment horizontal="center" vertical="center"/>
    </xf>
    <xf numFmtId="0" fontId="123" fillId="0" borderId="16" xfId="0" applyFont="1" applyFill="1" applyBorder="1" applyAlignment="1" applyProtection="1">
      <alignment horizontal="center" vertical="center"/>
    </xf>
    <xf numFmtId="0" fontId="123" fillId="0" borderId="17" xfId="0" applyFont="1" applyFill="1" applyBorder="1" applyAlignment="1" applyProtection="1">
      <alignment horizontal="center" vertical="center"/>
    </xf>
    <xf numFmtId="0" fontId="123" fillId="0" borderId="18" xfId="0" applyFont="1" applyFill="1" applyBorder="1" applyAlignment="1" applyProtection="1">
      <alignment horizontal="center" vertical="center"/>
    </xf>
    <xf numFmtId="0" fontId="179"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18"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18" fillId="10" borderId="16" xfId="12" applyFont="1" applyFill="1" applyBorder="1" applyAlignment="1" applyProtection="1">
      <alignment vertical="top"/>
      <protection locked="0"/>
    </xf>
    <xf numFmtId="0" fontId="118" fillId="10" borderId="18" xfId="12" applyFont="1" applyFill="1" applyBorder="1" applyAlignment="1" applyProtection="1">
      <alignment vertical="top"/>
      <protection locked="0"/>
    </xf>
    <xf numFmtId="0" fontId="129" fillId="0" borderId="0" xfId="12" applyFont="1" applyBorder="1" applyAlignment="1">
      <alignment vertical="top"/>
    </xf>
    <xf numFmtId="49" fontId="98" fillId="0" borderId="20" xfId="12" applyNumberFormat="1" applyFont="1" applyFill="1" applyBorder="1" applyAlignment="1">
      <alignment vertical="top" wrapText="1"/>
    </xf>
    <xf numFmtId="49" fontId="98"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9" fillId="0" borderId="44" xfId="0" applyFont="1" applyFill="1" applyBorder="1" applyAlignment="1" applyProtection="1"/>
    <xf numFmtId="0" fontId="179" fillId="0" borderId="19" xfId="0" applyFont="1" applyFill="1" applyBorder="1" applyAlignment="1" applyProtection="1">
      <alignment horizontal="center"/>
    </xf>
    <xf numFmtId="0" fontId="179"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5"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38" fillId="0" borderId="0" xfId="13" quotePrefix="1" applyNumberFormat="1" applyFont="1" applyFill="1" applyAlignment="1" applyProtection="1">
      <alignment horizontal="left"/>
    </xf>
    <xf numFmtId="0" fontId="138" fillId="0" borderId="0" xfId="13" quotePrefix="1" applyFont="1" applyFill="1" applyAlignment="1" applyProtection="1">
      <alignment horizontal="lef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0" fillId="0" borderId="0" xfId="13" applyFont="1" applyAlignment="1">
      <alignment horizontal="center" vertical="center"/>
    </xf>
    <xf numFmtId="0" fontId="138" fillId="0" borderId="0" xfId="13" applyFont="1" applyProtection="1"/>
    <xf numFmtId="0" fontId="138" fillId="7" borderId="0" xfId="13" applyFont="1" applyFill="1" applyProtection="1"/>
    <xf numFmtId="0" fontId="139" fillId="0" borderId="0" xfId="13" applyFont="1" applyProtection="1"/>
    <xf numFmtId="0" fontId="4" fillId="0" borderId="0" xfId="13" applyFont="1" applyProtection="1"/>
    <xf numFmtId="0" fontId="138" fillId="0" borderId="0" xfId="13" applyFont="1" applyAlignment="1" applyProtection="1">
      <alignment horizontal="center"/>
    </xf>
    <xf numFmtId="6" fontId="138" fillId="0" borderId="0" xfId="13" applyNumberFormat="1" applyFont="1" applyProtection="1"/>
    <xf numFmtId="0" fontId="138" fillId="0" borderId="0" xfId="13" quotePrefix="1" applyFont="1" applyProtection="1"/>
    <xf numFmtId="38" fontId="138" fillId="0" borderId="0" xfId="13" applyNumberFormat="1" applyFont="1" applyProtection="1"/>
    <xf numFmtId="0" fontId="138" fillId="0" borderId="0" xfId="13" applyFont="1" applyAlignment="1" applyProtection="1"/>
    <xf numFmtId="0" fontId="138" fillId="0" borderId="0" xfId="13" applyFont="1" applyAlignment="1" applyProtection="1">
      <alignment horizontal="justify" vertical="top" wrapText="1"/>
    </xf>
    <xf numFmtId="0" fontId="138"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4"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2"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7" fillId="0" borderId="80" xfId="13" applyFont="1" applyBorder="1" applyAlignment="1" applyProtection="1">
      <alignment horizontal="center" vertical="center"/>
    </xf>
    <xf numFmtId="0" fontId="187" fillId="0" borderId="21" xfId="13" applyFont="1" applyBorder="1" applyAlignment="1" applyProtection="1">
      <alignment horizontal="center" vertical="center"/>
    </xf>
    <xf numFmtId="0" fontId="187"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2" fillId="0" borderId="0" xfId="13" applyFont="1" applyAlignment="1" applyProtection="1">
      <alignment vertical="center"/>
    </xf>
    <xf numFmtId="0" fontId="8" fillId="0" borderId="38" xfId="13" applyFont="1" applyBorder="1" applyAlignment="1" applyProtection="1">
      <alignment horizontal="center" vertical="top"/>
    </xf>
    <xf numFmtId="0" fontId="162" fillId="0" borderId="0" xfId="13" applyFont="1" applyAlignment="1" applyProtection="1">
      <alignment horizontal="left"/>
    </xf>
    <xf numFmtId="0" fontId="162" fillId="0" borderId="0" xfId="13" applyFont="1" applyAlignment="1" applyProtection="1">
      <alignment horizontal="left" vertical="top"/>
    </xf>
    <xf numFmtId="0" fontId="164" fillId="0" borderId="0" xfId="13" applyFont="1" applyAlignment="1" applyProtection="1">
      <alignment horizontal="left"/>
    </xf>
    <xf numFmtId="0" fontId="8" fillId="0" borderId="0" xfId="13" applyFont="1" applyFill="1" applyAlignment="1" applyProtection="1">
      <alignment horizontal="justify" vertical="top" wrapText="1"/>
    </xf>
    <xf numFmtId="0" fontId="153"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8" fillId="0" borderId="0" xfId="13" applyFont="1" applyAlignment="1" applyProtection="1">
      <alignment horizontal="centerContinuous"/>
    </xf>
    <xf numFmtId="0" fontId="138" fillId="0" borderId="0" xfId="13" applyFont="1" applyAlignment="1" applyProtection="1">
      <alignment horizontal="centerContinuous"/>
    </xf>
    <xf numFmtId="0" fontId="4" fillId="18" borderId="0" xfId="13" applyFont="1" applyFill="1" applyProtection="1"/>
    <xf numFmtId="0" fontId="138" fillId="18" borderId="0" xfId="13" applyFont="1" applyFill="1" applyProtection="1"/>
    <xf numFmtId="177" fontId="138" fillId="18" borderId="0" xfId="13" applyNumberFormat="1" applyFont="1" applyFill="1" applyAlignment="1" applyProtection="1">
      <alignment horizontal="left"/>
    </xf>
    <xf numFmtId="14" fontId="138" fillId="10" borderId="0" xfId="13" applyNumberFormat="1" applyFont="1" applyFill="1" applyBorder="1" applyAlignment="1" applyProtection="1">
      <alignment horizontal="left"/>
    </xf>
    <xf numFmtId="0" fontId="138" fillId="0" borderId="0" xfId="13" applyFont="1" applyFill="1" applyProtection="1"/>
    <xf numFmtId="0" fontId="138" fillId="0" borderId="0" xfId="13" applyFont="1" applyFill="1" applyAlignment="1" applyProtection="1">
      <alignment horizontal="center"/>
    </xf>
    <xf numFmtId="0" fontId="4" fillId="0" borderId="0" xfId="13" applyFont="1" applyFill="1" applyProtection="1"/>
    <xf numFmtId="0" fontId="152" fillId="0" borderId="0" xfId="13" applyFont="1" applyProtection="1"/>
    <xf numFmtId="0" fontId="138" fillId="5" borderId="0" xfId="13" applyFont="1" applyFill="1" applyProtection="1"/>
    <xf numFmtId="0" fontId="166" fillId="0" borderId="0" xfId="13" applyFont="1" applyFill="1" applyAlignment="1" applyProtection="1">
      <alignment horizontal="center"/>
    </xf>
    <xf numFmtId="181" fontId="138" fillId="0" borderId="0" xfId="13" applyNumberFormat="1" applyFont="1" applyFill="1" applyAlignment="1" applyProtection="1">
      <alignment horizontal="left"/>
    </xf>
    <xf numFmtId="2" fontId="138"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8" fillId="0" borderId="0" xfId="13" applyNumberFormat="1" applyFont="1" applyFill="1" applyProtection="1"/>
    <xf numFmtId="181" fontId="138" fillId="0" borderId="0" xfId="13" applyNumberFormat="1" applyFont="1" applyProtection="1"/>
    <xf numFmtId="177" fontId="138" fillId="0" borderId="0" xfId="13" applyNumberFormat="1" applyFont="1" applyAlignment="1" applyProtection="1">
      <alignment horizontal="left"/>
    </xf>
    <xf numFmtId="0" fontId="4" fillId="0" borderId="0" xfId="13" applyFont="1" applyFill="1" applyAlignment="1" applyProtection="1">
      <alignment horizontal="centerContinuous"/>
    </xf>
    <xf numFmtId="0" fontId="138" fillId="0" borderId="0" xfId="13" applyFont="1" applyFill="1" applyAlignment="1" applyProtection="1">
      <alignment horizontal="centerContinuous"/>
    </xf>
    <xf numFmtId="0" fontId="149" fillId="0" borderId="0" xfId="13" applyFont="1" applyAlignment="1" applyProtection="1">
      <alignment horizontal="center" wrapText="1"/>
    </xf>
    <xf numFmtId="0" fontId="138" fillId="5" borderId="0" xfId="13" applyFont="1" applyFill="1" applyAlignment="1" applyProtection="1">
      <alignment horizontal="left"/>
    </xf>
    <xf numFmtId="5" fontId="138" fillId="5" borderId="0" xfId="13" applyNumberFormat="1" applyFont="1" applyFill="1" applyProtection="1"/>
    <xf numFmtId="0" fontId="138" fillId="5" borderId="0" xfId="13" applyFont="1" applyFill="1" applyAlignment="1" applyProtection="1">
      <alignment horizontal="center"/>
    </xf>
    <xf numFmtId="10" fontId="138" fillId="0" borderId="0" xfId="13" applyNumberFormat="1" applyFont="1" applyFill="1" applyAlignment="1" applyProtection="1">
      <alignment horizontal="right"/>
    </xf>
    <xf numFmtId="0" fontId="4" fillId="0" borderId="0" xfId="13" applyFont="1" applyAlignment="1" applyProtection="1">
      <alignment horizontal="right"/>
    </xf>
    <xf numFmtId="5" fontId="138" fillId="0" borderId="68" xfId="13" applyNumberFormat="1" applyFont="1" applyFill="1" applyBorder="1" applyProtection="1"/>
    <xf numFmtId="5" fontId="138" fillId="0" borderId="0" xfId="13" applyNumberFormat="1" applyFont="1" applyFill="1" applyBorder="1" applyProtection="1"/>
    <xf numFmtId="9" fontId="138" fillId="0" borderId="0" xfId="13" applyNumberFormat="1" applyFont="1" applyFill="1" applyProtection="1"/>
    <xf numFmtId="0" fontId="7" fillId="0" borderId="0" xfId="13" applyFont="1" applyProtection="1"/>
    <xf numFmtId="5" fontId="138" fillId="0" borderId="0" xfId="13" applyNumberFormat="1" applyFont="1" applyFill="1" applyProtection="1"/>
    <xf numFmtId="10" fontId="138" fillId="10" borderId="0" xfId="13" applyNumberFormat="1" applyFont="1" applyFill="1" applyProtection="1"/>
    <xf numFmtId="0" fontId="149" fillId="0" borderId="0" xfId="13" applyFont="1" applyFill="1" applyProtection="1"/>
    <xf numFmtId="0" fontId="138" fillId="0" borderId="0" xfId="13" applyNumberFormat="1" applyFont="1" applyFill="1" applyAlignment="1" applyProtection="1">
      <alignment horizontal="right"/>
    </xf>
    <xf numFmtId="9" fontId="138" fillId="0" borderId="0" xfId="13" applyNumberFormat="1" applyFont="1" applyProtection="1"/>
    <xf numFmtId="9" fontId="138"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9" fillId="0" borderId="0" xfId="13" applyFont="1" applyProtection="1"/>
    <xf numFmtId="0" fontId="149" fillId="0" borderId="80" xfId="13" applyFont="1" applyBorder="1" applyProtection="1"/>
    <xf numFmtId="165" fontId="138" fillId="5" borderId="77" xfId="13" applyNumberFormat="1" applyFont="1" applyFill="1" applyBorder="1" applyAlignment="1" applyProtection="1">
      <alignment horizontal="left"/>
    </xf>
    <xf numFmtId="165" fontId="138" fillId="0" borderId="0" xfId="13" applyNumberFormat="1" applyFont="1" applyAlignment="1" applyProtection="1">
      <alignment horizontal="left"/>
    </xf>
    <xf numFmtId="0" fontId="138" fillId="0" borderId="0" xfId="13" applyFont="1" applyFill="1" applyAlignment="1" applyProtection="1">
      <alignment vertical="center"/>
    </xf>
    <xf numFmtId="6" fontId="138" fillId="0" borderId="0" xfId="13" applyNumberFormat="1" applyFont="1" applyFill="1" applyAlignment="1" applyProtection="1">
      <alignment vertical="center"/>
    </xf>
    <xf numFmtId="165" fontId="138" fillId="0" borderId="0" xfId="13" applyNumberFormat="1" applyFont="1" applyAlignment="1" applyProtection="1">
      <alignment vertical="center"/>
    </xf>
    <xf numFmtId="6" fontId="138" fillId="0" borderId="0" xfId="13" quotePrefix="1" applyNumberFormat="1" applyFont="1" applyFill="1" applyAlignment="1" applyProtection="1">
      <alignment vertical="center"/>
    </xf>
    <xf numFmtId="165" fontId="138" fillId="5" borderId="0" xfId="13" quotePrefix="1" applyNumberFormat="1" applyFont="1" applyFill="1" applyAlignment="1" applyProtection="1">
      <alignment vertical="center"/>
    </xf>
    <xf numFmtId="165" fontId="138" fillId="0" borderId="0" xfId="13" quotePrefix="1" applyNumberFormat="1" applyFont="1" applyFill="1" applyAlignment="1" applyProtection="1">
      <alignment vertical="center"/>
    </xf>
    <xf numFmtId="0" fontId="138" fillId="0" borderId="88" xfId="13" applyFont="1" applyFill="1" applyBorder="1" applyAlignment="1" applyProtection="1">
      <alignment vertical="center"/>
    </xf>
    <xf numFmtId="6" fontId="138" fillId="0" borderId="88" xfId="13" applyNumberFormat="1" applyFont="1" applyFill="1" applyBorder="1" applyAlignment="1" applyProtection="1">
      <alignment vertical="center"/>
    </xf>
    <xf numFmtId="6" fontId="138" fillId="0" borderId="0" xfId="13" applyNumberFormat="1" applyFont="1" applyFill="1" applyBorder="1" applyAlignment="1" applyProtection="1">
      <alignment vertical="center"/>
    </xf>
    <xf numFmtId="165" fontId="138" fillId="5" borderId="0" xfId="13" applyNumberFormat="1" applyFont="1" applyFill="1" applyAlignment="1" applyProtection="1">
      <alignment vertical="center"/>
    </xf>
    <xf numFmtId="0" fontId="138" fillId="0" borderId="0" xfId="13" applyFont="1" applyAlignment="1" applyProtection="1">
      <alignment vertical="center"/>
    </xf>
    <xf numFmtId="0" fontId="138"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8"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8" fillId="0" borderId="0" xfId="13" applyNumberFormat="1" applyFont="1" applyFill="1" applyAlignment="1" applyProtection="1">
      <alignment horizontal="right" vertical="center"/>
    </xf>
    <xf numFmtId="5" fontId="138" fillId="0" borderId="0" xfId="13" applyNumberFormat="1" applyFont="1" applyFill="1" applyAlignment="1" applyProtection="1">
      <alignment vertical="center"/>
    </xf>
    <xf numFmtId="0" fontId="149" fillId="0" borderId="0" xfId="13" applyFont="1" applyFill="1" applyAlignment="1" applyProtection="1">
      <alignment vertical="center"/>
    </xf>
    <xf numFmtId="5" fontId="138" fillId="0" borderId="0" xfId="13" applyNumberFormat="1" applyFont="1" applyAlignment="1" applyProtection="1">
      <alignment vertical="center"/>
    </xf>
    <xf numFmtId="9" fontId="138"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3"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1" fillId="0" borderId="0" xfId="13" applyFont="1" applyProtection="1"/>
    <xf numFmtId="0" fontId="19" fillId="0" borderId="0" xfId="13" applyFont="1" applyProtection="1"/>
    <xf numFmtId="0" fontId="177"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1"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1"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1"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0" fillId="0" borderId="0" xfId="13" applyFont="1" applyAlignment="1" applyProtection="1">
      <alignment vertical="center"/>
    </xf>
    <xf numFmtId="3" fontId="161" fillId="10" borderId="38" xfId="13" applyNumberFormat="1" applyFont="1" applyFill="1" applyBorder="1" applyAlignment="1" applyProtection="1">
      <alignment vertical="center"/>
    </xf>
    <xf numFmtId="0" fontId="160" fillId="0" borderId="0" xfId="13" applyFont="1" applyProtection="1"/>
    <xf numFmtId="3" fontId="161"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7"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9"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9" fillId="0" borderId="0" xfId="13" applyFont="1" applyProtection="1"/>
    <xf numFmtId="3" fontId="168"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4"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4" fillId="0" borderId="0" xfId="0" applyNumberFormat="1" applyFont="1" applyFill="1" applyAlignment="1" applyProtection="1">
      <alignment horizontal="center" vertical="center"/>
    </xf>
    <xf numFmtId="0" fontId="118" fillId="0" borderId="8" xfId="12" applyFont="1" applyBorder="1" applyAlignment="1">
      <alignment horizontal="left" vertical="top" wrapText="1"/>
    </xf>
    <xf numFmtId="0" fontId="118" fillId="0" borderId="0" xfId="12" applyFont="1" applyBorder="1" applyAlignment="1">
      <alignment horizontal="left" vertical="top" wrapText="1"/>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49" fontId="118" fillId="0" borderId="0" xfId="12" applyNumberFormat="1" applyFont="1" applyBorder="1" applyAlignment="1">
      <alignment horizontal="center" vertical="top"/>
    </xf>
    <xf numFmtId="49" fontId="118" fillId="0" borderId="88" xfId="12" applyNumberFormat="1" applyFont="1" applyBorder="1" applyAlignment="1">
      <alignment horizontal="left" vertical="top"/>
    </xf>
    <xf numFmtId="49" fontId="118" fillId="0" borderId="111" xfId="12" quotePrefix="1" applyNumberFormat="1" applyFont="1" applyBorder="1" applyAlignment="1">
      <alignment horizontal="center" vertical="top"/>
    </xf>
    <xf numFmtId="0" fontId="118" fillId="0" borderId="84" xfId="12" applyFont="1" applyBorder="1" applyAlignment="1">
      <alignment vertical="top"/>
    </xf>
    <xf numFmtId="49" fontId="118" fillId="0" borderId="0" xfId="12" applyNumberFormat="1" applyFont="1" applyBorder="1" applyAlignment="1">
      <alignment horizontal="right" vertical="top"/>
    </xf>
    <xf numFmtId="49" fontId="118" fillId="0" borderId="59" xfId="12" applyNumberFormat="1" applyFont="1" applyBorder="1" applyAlignment="1">
      <alignment horizontal="left" vertical="top"/>
    </xf>
    <xf numFmtId="49" fontId="118" fillId="0" borderId="50" xfId="12" quotePrefix="1" applyNumberFormat="1" applyFont="1" applyBorder="1" applyAlignment="1">
      <alignment horizontal="center" vertical="top"/>
    </xf>
    <xf numFmtId="0" fontId="118" fillId="0" borderId="88" xfId="12" applyFont="1" applyBorder="1" applyAlignment="1">
      <alignment horizontal="right" vertical="top"/>
    </xf>
    <xf numFmtId="0" fontId="118" fillId="0" borderId="88" xfId="12" applyFont="1" applyBorder="1" applyAlignment="1">
      <alignment horizontal="left" vertical="top"/>
    </xf>
    <xf numFmtId="49" fontId="118" fillId="0" borderId="112" xfId="12" applyNumberFormat="1" applyFont="1" applyBorder="1" applyAlignment="1">
      <alignment horizontal="left" vertical="top"/>
    </xf>
    <xf numFmtId="49" fontId="118" fillId="0" borderId="13" xfId="12" applyNumberFormat="1" applyFont="1" applyBorder="1" applyAlignment="1">
      <alignment horizontal="right" vertical="top"/>
    </xf>
    <xf numFmtId="49" fontId="118" fillId="0" borderId="13" xfId="12" applyNumberFormat="1" applyFont="1" applyBorder="1" applyAlignment="1">
      <alignment horizontal="left" vertical="top"/>
    </xf>
    <xf numFmtId="0" fontId="118" fillId="0" borderId="13" xfId="12" applyFont="1" applyBorder="1" applyAlignment="1">
      <alignment horizontal="right" vertical="top"/>
    </xf>
    <xf numFmtId="0" fontId="118" fillId="0" borderId="13" xfId="12" applyFont="1" applyBorder="1" applyAlignment="1">
      <alignment horizontal="left" vertical="top"/>
    </xf>
    <xf numFmtId="0" fontId="118" fillId="0" borderId="14" xfId="12" applyFont="1" applyBorder="1" applyAlignment="1">
      <alignment vertical="top"/>
    </xf>
    <xf numFmtId="49" fontId="118" fillId="0" borderId="0" xfId="12" applyNumberFormat="1" applyFont="1" applyFill="1" applyBorder="1" applyAlignment="1">
      <alignment horizontal="center" vertical="top"/>
    </xf>
    <xf numFmtId="0" fontId="118" fillId="0" borderId="0" xfId="12" applyFont="1" applyFill="1" applyBorder="1" applyAlignment="1">
      <alignment vertical="top"/>
    </xf>
    <xf numFmtId="0" fontId="118" fillId="0" borderId="8" xfId="12" applyFont="1" applyFill="1" applyBorder="1" applyAlignment="1">
      <alignment vertical="top"/>
    </xf>
    <xf numFmtId="49" fontId="118" fillId="0" borderId="0" xfId="12" applyNumberFormat="1" applyFont="1" applyFill="1" applyBorder="1" applyAlignment="1">
      <alignment horizontal="left" vertical="top"/>
    </xf>
    <xf numFmtId="49" fontId="118" fillId="0" borderId="0" xfId="12" applyNumberFormat="1" applyFont="1" applyFill="1" applyBorder="1" applyAlignment="1">
      <alignment vertical="top"/>
    </xf>
    <xf numFmtId="49" fontId="118" fillId="0" borderId="13" xfId="12" applyNumberFormat="1" applyFont="1" applyFill="1" applyBorder="1" applyAlignment="1">
      <alignment vertical="top"/>
    </xf>
    <xf numFmtId="0" fontId="118" fillId="0" borderId="13" xfId="12" applyFont="1" applyFill="1" applyBorder="1" applyAlignment="1">
      <alignment vertical="top"/>
    </xf>
    <xf numFmtId="0" fontId="118" fillId="0" borderId="14" xfId="12" applyFont="1" applyFill="1" applyBorder="1" applyAlignment="1">
      <alignment vertical="top"/>
    </xf>
    <xf numFmtId="49" fontId="118" fillId="0" borderId="111" xfId="12" applyNumberFormat="1" applyFont="1" applyBorder="1" applyAlignment="1">
      <alignment horizontal="center" vertical="top"/>
    </xf>
    <xf numFmtId="0" fontId="118" fillId="0" borderId="0" xfId="12" applyFont="1" applyFill="1" applyBorder="1" applyAlignment="1">
      <alignment horizontal="right" vertical="top" wrapText="1"/>
    </xf>
    <xf numFmtId="0" fontId="118" fillId="0" borderId="0" xfId="12" applyFont="1" applyFill="1" applyBorder="1" applyAlignment="1">
      <alignment horizontal="left" vertical="top" wrapText="1"/>
    </xf>
    <xf numFmtId="0" fontId="118" fillId="0" borderId="8" xfId="12" applyFont="1" applyFill="1" applyBorder="1" applyAlignment="1">
      <alignment horizontal="left" vertical="top" wrapText="1"/>
    </xf>
    <xf numFmtId="0" fontId="3" fillId="0" borderId="59" xfId="12" applyFont="1" applyBorder="1" applyAlignment="1">
      <alignment vertical="top"/>
    </xf>
    <xf numFmtId="0" fontId="98" fillId="0" borderId="59" xfId="12" applyFont="1" applyBorder="1" applyAlignment="1">
      <alignment vertical="top"/>
    </xf>
    <xf numFmtId="0" fontId="118" fillId="0" borderId="59" xfId="12" applyFont="1" applyBorder="1" applyAlignment="1">
      <alignment vertical="top"/>
    </xf>
    <xf numFmtId="0" fontId="118" fillId="0" borderId="59" xfId="12" applyFont="1" applyBorder="1" applyAlignment="1">
      <alignment horizontal="right" vertical="top"/>
    </xf>
    <xf numFmtId="0" fontId="118" fillId="0" borderId="59" xfId="12" applyFont="1" applyBorder="1" applyAlignment="1">
      <alignment horizontal="left" vertical="top"/>
    </xf>
    <xf numFmtId="0" fontId="118" fillId="0" borderId="34" xfId="12" applyFont="1" applyBorder="1" applyAlignment="1">
      <alignment vertical="top"/>
    </xf>
    <xf numFmtId="49" fontId="118" fillId="0" borderId="88" xfId="12" applyNumberFormat="1" applyFont="1" applyBorder="1" applyAlignment="1">
      <alignment vertical="top"/>
    </xf>
    <xf numFmtId="0" fontId="118" fillId="0" borderId="0" xfId="12" applyFont="1" applyBorder="1" applyAlignment="1">
      <alignment horizontal="justify" vertical="top" wrapText="1"/>
    </xf>
    <xf numFmtId="0" fontId="118" fillId="0" borderId="8" xfId="12" applyFont="1" applyBorder="1" applyAlignment="1">
      <alignment horizontal="justify" vertical="top" wrapText="1"/>
    </xf>
    <xf numFmtId="49" fontId="118" fillId="0" borderId="88" xfId="12" quotePrefix="1" applyNumberFormat="1" applyFont="1" applyBorder="1" applyAlignment="1">
      <alignment vertical="top"/>
    </xf>
    <xf numFmtId="49" fontId="118" fillId="0" borderId="59" xfId="12" quotePrefix="1" applyNumberFormat="1" applyFont="1" applyBorder="1" applyAlignment="1">
      <alignment vertical="top"/>
    </xf>
    <xf numFmtId="49" fontId="118" fillId="0" borderId="59" xfId="12" applyNumberFormat="1" applyFont="1" applyBorder="1" applyAlignment="1">
      <alignment vertical="top"/>
    </xf>
    <xf numFmtId="49" fontId="118" fillId="0" borderId="13" xfId="12" applyNumberFormat="1" applyFont="1" applyBorder="1" applyAlignment="1">
      <alignment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0" fillId="0" borderId="0" xfId="0" applyFont="1" applyFill="1" applyBorder="1" applyProtection="1"/>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9"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23" fillId="0" borderId="0" xfId="0" applyFont="1" applyFill="1" applyBorder="1" applyProtection="1"/>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30" fillId="0" borderId="0" xfId="0" applyFont="1" applyFill="1" applyBorder="1" applyAlignment="1" applyProtection="1">
      <alignment horizontal="left" vertical="center"/>
    </xf>
    <xf numFmtId="0" fontId="130" fillId="0" borderId="0" xfId="0" applyFont="1" applyFill="1" applyAlignment="1" applyProtection="1">
      <alignment horizontal="left" vertical="center"/>
    </xf>
    <xf numFmtId="0" fontId="192" fillId="0" borderId="0" xfId="0" applyFont="1" applyFill="1" applyBorder="1" applyAlignment="1" applyProtection="1">
      <alignment horizontal="left" vertical="center"/>
    </xf>
    <xf numFmtId="38" fontId="192" fillId="0" borderId="0" xfId="0" applyNumberFormat="1" applyFont="1" applyFill="1" applyBorder="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9"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200" fillId="0" borderId="0" xfId="0" applyFont="1" applyProtection="1"/>
    <xf numFmtId="0" fontId="200" fillId="0" borderId="0" xfId="0" applyFont="1" applyAlignment="1" applyProtection="1">
      <alignment horizontal="center" vertical="top"/>
    </xf>
    <xf numFmtId="0" fontId="130" fillId="0" borderId="0" xfId="0" applyFont="1" applyFill="1" applyAlignment="1" applyProtection="1">
      <alignment horizontal="left"/>
    </xf>
    <xf numFmtId="0" fontId="192"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93" fillId="0" borderId="19" xfId="0" applyFont="1" applyFill="1" applyBorder="1" applyAlignment="1" applyProtection="1">
      <alignmen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0" fontId="194" fillId="0" borderId="20" xfId="0" applyFont="1" applyFill="1" applyBorder="1" applyAlignment="1" applyProtection="1">
      <alignment horizontal="center" vertical="center"/>
    </xf>
    <xf numFmtId="38" fontId="192" fillId="0" borderId="20" xfId="0" applyNumberFormat="1"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23" fillId="0" borderId="88" xfId="0" applyFont="1" applyFill="1" applyBorder="1" applyProtection="1"/>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9"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3" fillId="0" borderId="0" xfId="0" applyFont="1" applyBorder="1" applyAlignment="1" applyProtection="1">
      <alignment horizontal="left"/>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0" fontId="204" fillId="0" borderId="0" xfId="12" applyFont="1" applyBorder="1" applyAlignment="1">
      <alignment vertical="top"/>
    </xf>
    <xf numFmtId="49" fontId="119" fillId="0" borderId="0" xfId="12" applyNumberFormat="1" applyFont="1" applyBorder="1" applyAlignment="1">
      <alignment vertical="top" textRotation="90" wrapText="1"/>
    </xf>
    <xf numFmtId="49" fontId="118" fillId="0" borderId="19" xfId="12" applyNumberFormat="1" applyFont="1" applyBorder="1" applyAlignment="1">
      <alignment horizontal="right" vertical="top"/>
    </xf>
    <xf numFmtId="0" fontId="204" fillId="0" borderId="20" xfId="12" applyFont="1" applyBorder="1" applyAlignment="1">
      <alignment vertical="top"/>
    </xf>
    <xf numFmtId="49" fontId="118" fillId="0" borderId="0" xfId="12" applyNumberFormat="1" applyFont="1" applyBorder="1" applyAlignment="1">
      <alignment horizontal="left" vertical="top" wrapText="1"/>
    </xf>
    <xf numFmtId="0" fontId="3" fillId="0" borderId="0" xfId="12" applyFont="1" applyBorder="1" applyAlignment="1">
      <alignment horizontal="left" vertical="top" wrapText="1"/>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38" fontId="7" fillId="0" borderId="16" xfId="0" applyNumberFormat="1" applyFont="1" applyFill="1" applyBorder="1" applyAlignment="1" applyProtection="1">
      <alignment horizontal="center" vertical="center"/>
    </xf>
    <xf numFmtId="0" fontId="3" fillId="0" borderId="0" xfId="12" applyFont="1" applyBorder="1" applyAlignment="1">
      <alignment horizontal="left" vertical="top"/>
    </xf>
    <xf numFmtId="49" fontId="118" fillId="0" borderId="88" xfId="12" applyNumberFormat="1" applyFont="1" applyBorder="1" applyAlignment="1">
      <alignment vertical="top" wrapText="1"/>
    </xf>
    <xf numFmtId="0" fontId="118" fillId="10" borderId="17" xfId="12" applyFont="1" applyFill="1" applyBorder="1" applyAlignment="1" applyProtection="1">
      <alignment vertical="top"/>
      <protection locked="0"/>
    </xf>
    <xf numFmtId="49" fontId="118" fillId="0" borderId="58" xfId="12" applyNumberFormat="1" applyFont="1" applyBorder="1" applyAlignment="1">
      <alignment vertical="top"/>
    </xf>
    <xf numFmtId="49" fontId="118" fillId="0" borderId="58" xfId="12" applyNumberFormat="1" applyFont="1" applyBorder="1" applyAlignment="1">
      <alignment horizontal="left" vertical="top"/>
    </xf>
    <xf numFmtId="49" fontId="119" fillId="0" borderId="58" xfId="12" applyNumberFormat="1" applyFont="1" applyBorder="1" applyAlignment="1">
      <alignment horizontal="center" vertical="top"/>
    </xf>
    <xf numFmtId="49" fontId="118" fillId="0" borderId="78" xfId="12" applyNumberFormat="1" applyFont="1" applyBorder="1" applyAlignment="1">
      <alignment horizontal="left" vertical="top"/>
    </xf>
    <xf numFmtId="49" fontId="118" fillId="0" borderId="53" xfId="12" quotePrefix="1" applyNumberFormat="1" applyFont="1" applyBorder="1" applyAlignment="1">
      <alignment horizontal="center" vertical="top"/>
    </xf>
    <xf numFmtId="0" fontId="118" fillId="0" borderId="101" xfId="12" applyFont="1" applyBorder="1" applyAlignment="1">
      <alignment vertical="top"/>
    </xf>
    <xf numFmtId="0" fontId="118" fillId="0" borderId="58" xfId="12" applyFont="1" applyBorder="1" applyAlignment="1">
      <alignment vertical="top"/>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205" fillId="0" borderId="0" xfId="0" applyFont="1" applyProtection="1"/>
    <xf numFmtId="0" fontId="104" fillId="0" borderId="0" xfId="0" applyFont="1" applyAlignment="1" applyProtection="1">
      <alignment horizontal="left"/>
    </xf>
    <xf numFmtId="0" fontId="206"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206"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20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38" fontId="192" fillId="0" borderId="19" xfId="0" applyNumberFormat="1" applyFont="1" applyFill="1" applyBorder="1" applyAlignment="1" applyProtection="1">
      <alignment horizontal="left" vertical="center"/>
    </xf>
    <xf numFmtId="0" fontId="13" fillId="0" borderId="0" xfId="0" applyFont="1" applyFill="1" applyBorder="1" applyAlignment="1" applyProtection="1">
      <alignment vertical="top"/>
    </xf>
    <xf numFmtId="0" fontId="210" fillId="0" borderId="0" xfId="0" applyFont="1" applyFill="1" applyProtection="1"/>
    <xf numFmtId="10" fontId="122"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49" fontId="118" fillId="0" borderId="20" xfId="12" applyNumberFormat="1" applyFont="1" applyBorder="1" applyAlignment="1">
      <alignment vertical="top" wrapText="1"/>
    </xf>
    <xf numFmtId="0" fontId="118" fillId="17" borderId="0" xfId="12" applyFont="1" applyFill="1" applyBorder="1" applyAlignment="1">
      <alignment horizontal="left" vertical="top" wrapText="1"/>
    </xf>
    <xf numFmtId="0" fontId="118" fillId="17" borderId="8" xfId="12" applyFont="1" applyFill="1" applyBorder="1" applyAlignment="1">
      <alignment horizontal="left" vertical="top" wrapText="1"/>
    </xf>
    <xf numFmtId="0" fontId="118" fillId="17" borderId="20" xfId="12" applyFont="1" applyFill="1" applyBorder="1" applyAlignment="1">
      <alignment horizontal="left" vertical="top" wrapText="1"/>
    </xf>
    <xf numFmtId="0" fontId="118" fillId="17" borderId="97" xfId="12" applyFont="1" applyFill="1" applyBorder="1" applyAlignment="1">
      <alignment horizontal="left" vertical="top" wrapText="1"/>
    </xf>
    <xf numFmtId="0" fontId="118" fillId="17" borderId="20" xfId="12" applyFont="1" applyFill="1" applyBorder="1" applyAlignment="1">
      <alignment horizontal="left" vertical="top"/>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3" fillId="0" borderId="0" xfId="12" applyFont="1" applyBorder="1" applyAlignment="1">
      <alignment vertical="top"/>
    </xf>
    <xf numFmtId="0" fontId="98" fillId="0" borderId="0" xfId="12" applyFont="1" applyAlignment="1">
      <alignment vertical="top"/>
    </xf>
    <xf numFmtId="0" fontId="17" fillId="0" borderId="42" xfId="0" applyFont="1" applyFill="1" applyBorder="1" applyAlignment="1" applyProtection="1">
      <alignment vertical="top"/>
    </xf>
    <xf numFmtId="0" fontId="163" fillId="0" borderId="0" xfId="0" applyFont="1" applyFill="1" applyBorder="1" applyAlignment="1" applyProtection="1">
      <alignment horizontal="center"/>
    </xf>
    <xf numFmtId="0" fontId="94"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Font="1" applyFill="1" applyBorder="1" applyProtection="1"/>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100" fillId="0" borderId="0" xfId="0" applyFont="1" applyFill="1" applyBorder="1" applyAlignment="1" applyProtection="1">
      <alignment vertical="center" wrapText="1"/>
    </xf>
    <xf numFmtId="0" fontId="100" fillId="0" borderId="0" xfId="0" applyFont="1" applyFill="1" applyBorder="1" applyAlignment="1" applyProtection="1">
      <alignment horizontal="center"/>
    </xf>
    <xf numFmtId="3" fontId="100"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xf>
    <xf numFmtId="0" fontId="91" fillId="0" borderId="0" xfId="0" applyFont="1" applyFill="1" applyBorder="1" applyProtection="1"/>
    <xf numFmtId="0" fontId="136" fillId="0" borderId="0" xfId="0"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4"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42" fontId="100"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5"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133"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4" fillId="0" borderId="0" xfId="0" applyFont="1" applyFill="1" applyBorder="1" applyProtection="1"/>
    <xf numFmtId="3" fontId="114"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14"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95"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2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14"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15" fillId="0" borderId="0" xfId="0"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22" fillId="0" borderId="0" xfId="1" applyNumberFormat="1" applyFont="1" applyFill="1" applyBorder="1" applyAlignment="1" applyProtection="1">
      <alignment vertical="center"/>
    </xf>
    <xf numFmtId="3" fontId="114" fillId="0" borderId="0" xfId="0" applyNumberFormat="1" applyFont="1" applyFill="1" applyBorder="1" applyProtection="1"/>
    <xf numFmtId="0" fontId="103"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206"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91" fillId="0" borderId="0" xfId="0" applyFont="1" applyFill="1" applyBorder="1" applyAlignment="1" applyProtection="1">
      <alignment horizontal="left" vertical="center"/>
    </xf>
    <xf numFmtId="0" fontId="100" fillId="0" borderId="0" xfId="0" applyFont="1" applyFill="1" applyBorder="1" applyAlignment="1" applyProtection="1"/>
    <xf numFmtId="175" fontId="100" fillId="0" borderId="0" xfId="0" applyNumberFormat="1" applyFont="1" applyFill="1" applyBorder="1" applyAlignment="1" applyProtection="1"/>
    <xf numFmtId="0" fontId="91" fillId="0" borderId="0" xfId="0" applyFont="1" applyFill="1" applyBorder="1" applyAlignment="1" applyProtection="1"/>
    <xf numFmtId="0" fontId="91" fillId="0" borderId="0" xfId="0" applyNumberFormat="1" applyFont="1" applyFill="1" applyBorder="1" applyAlignment="1" applyProtection="1">
      <alignment horizontal="center" vertical="center"/>
    </xf>
    <xf numFmtId="0" fontId="229" fillId="0" borderId="0" xfId="0" applyFont="1" applyFill="1" applyBorder="1" applyProtection="1"/>
    <xf numFmtId="0" fontId="91" fillId="0" borderId="0" xfId="0" applyFont="1" applyFill="1" applyBorder="1" applyAlignment="1" applyProtection="1">
      <alignment horizontal="center" vertical="center"/>
    </xf>
    <xf numFmtId="0" fontId="230" fillId="0" borderId="0" xfId="0" applyFont="1" applyFill="1" applyBorder="1" applyAlignment="1" applyProtection="1">
      <alignment wrapText="1"/>
    </xf>
    <xf numFmtId="0" fontId="230" fillId="0" borderId="0" xfId="0" applyFont="1" applyFill="1" applyBorder="1" applyAlignment="1" applyProtection="1">
      <alignment horizontal="center" wrapText="1"/>
    </xf>
    <xf numFmtId="0" fontId="104" fillId="0" borderId="0" xfId="0" applyFont="1" applyFill="1" applyBorder="1" applyAlignment="1" applyProtection="1">
      <alignment wrapText="1"/>
    </xf>
    <xf numFmtId="0" fontId="230" fillId="0" borderId="0" xfId="0" applyFont="1" applyFill="1" applyBorder="1" applyAlignment="1" applyProtection="1">
      <alignment textRotation="90" wrapText="1"/>
    </xf>
    <xf numFmtId="0" fontId="230"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30"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0" xfId="0" applyFont="1" applyFill="1" applyBorder="1" applyAlignment="1" applyProtection="1">
      <alignment vertical="center"/>
    </xf>
    <xf numFmtId="0" fontId="206"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30"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30" fillId="0" borderId="0" xfId="0" applyFont="1" applyFill="1" applyBorder="1" applyAlignment="1" applyProtection="1"/>
    <xf numFmtId="0" fontId="230"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30"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5" fillId="0" borderId="0" xfId="0" applyFont="1" applyFill="1" applyBorder="1" applyProtection="1"/>
    <xf numFmtId="0" fontId="230" fillId="0" borderId="0" xfId="1" applyNumberFormat="1" applyFont="1" applyFill="1" applyBorder="1" applyAlignment="1" applyProtection="1">
      <alignment horizontal="center"/>
    </xf>
    <xf numFmtId="0" fontId="10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3" fillId="0" borderId="0" xfId="0" applyFont="1" applyFill="1" applyBorder="1" applyAlignment="1" applyProtection="1"/>
    <xf numFmtId="0" fontId="232"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15"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1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235" fillId="0" borderId="0" xfId="0" applyFont="1" applyFill="1" applyBorder="1" applyAlignment="1" applyProtection="1">
      <alignment vertical="center"/>
    </xf>
    <xf numFmtId="0" fontId="228" fillId="0" borderId="0" xfId="0" applyFont="1" applyFill="1" applyBorder="1" applyProtection="1"/>
    <xf numFmtId="0" fontId="236"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30" fillId="0" borderId="0" xfId="0" applyNumberFormat="1" applyFont="1" applyFill="1" applyBorder="1" applyAlignment="1" applyProtection="1">
      <alignment vertical="center" wrapText="1"/>
    </xf>
    <xf numFmtId="0" fontId="206"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8" fillId="0" borderId="0" xfId="0" applyFont="1" applyFill="1" applyBorder="1" applyAlignment="1" applyProtection="1">
      <alignment horizontal="right" vertical="top"/>
    </xf>
    <xf numFmtId="3" fontId="233"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xf>
    <xf numFmtId="3" fontId="219" fillId="0" borderId="0" xfId="0" applyNumberFormat="1" applyFont="1" applyFill="1" applyBorder="1" applyAlignment="1" applyProtection="1">
      <alignment horizontal="center"/>
    </xf>
    <xf numFmtId="0" fontId="234" fillId="0" borderId="0" xfId="0" applyFont="1" applyFill="1" applyBorder="1" applyProtection="1"/>
    <xf numFmtId="0" fontId="239"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8" fillId="0" borderId="0" xfId="0" applyNumberFormat="1" applyFont="1" applyFill="1" applyBorder="1" applyAlignment="1" applyProtection="1">
      <alignment vertical="center"/>
    </xf>
    <xf numFmtId="0" fontId="228" fillId="0" borderId="0" xfId="0" applyFont="1" applyFill="1" applyBorder="1" applyAlignment="1" applyProtection="1">
      <alignment wrapText="1"/>
    </xf>
    <xf numFmtId="3" fontId="236"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40" fillId="0" borderId="0" xfId="0" applyFont="1" applyFill="1" applyBorder="1" applyAlignment="1" applyProtection="1">
      <alignment vertical="top"/>
    </xf>
    <xf numFmtId="0" fontId="230"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3"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4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Protection="1"/>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0" fontId="112"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30"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9"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44"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8"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8"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50"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5" fillId="0" borderId="0" xfId="0" applyFont="1" applyFill="1" applyBorder="1" applyAlignment="1" applyProtection="1">
      <alignment horizontal="center" vertical="top"/>
    </xf>
    <xf numFmtId="0" fontId="244"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51" fillId="0" borderId="0" xfId="0" applyFont="1" applyFill="1" applyBorder="1" applyAlignment="1" applyProtection="1">
      <alignment horizontal="right"/>
    </xf>
    <xf numFmtId="0" fontId="232" fillId="0" borderId="0" xfId="0" applyFont="1" applyFill="1" applyBorder="1" applyAlignment="1" applyProtection="1">
      <alignment horizontal="center" vertical="center"/>
    </xf>
    <xf numFmtId="176" fontId="24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13" fillId="0" borderId="0" xfId="0" quotePrefix="1" applyFont="1" applyFill="1" applyBorder="1" applyAlignment="1" applyProtection="1">
      <alignment horizontal="center" vertical="top"/>
    </xf>
    <xf numFmtId="0" fontId="230" fillId="0" borderId="0" xfId="0" quotePrefix="1" applyFont="1" applyFill="1" applyBorder="1" applyAlignment="1" applyProtection="1">
      <alignment vertical="top" wrapText="1"/>
    </xf>
    <xf numFmtId="0" fontId="252" fillId="0" borderId="0" xfId="0" applyFont="1" applyFill="1" applyBorder="1" applyAlignment="1" applyProtection="1">
      <alignment vertical="center" wrapText="1"/>
    </xf>
    <xf numFmtId="9" fontId="230"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30"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1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33"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32" fillId="0" borderId="0" xfId="0" quotePrefix="1" applyFont="1" applyFill="1" applyBorder="1" applyAlignment="1" applyProtection="1">
      <alignment horizontal="left" vertical="center"/>
    </xf>
    <xf numFmtId="0" fontId="251" fillId="0" borderId="0" xfId="0" applyFont="1" applyFill="1" applyBorder="1" applyProtection="1"/>
    <xf numFmtId="0" fontId="254"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174" fontId="246" fillId="0" borderId="0" xfId="10" applyNumberFormat="1" applyFont="1" applyFill="1" applyBorder="1" applyAlignment="1" applyProtection="1">
      <alignment horizontal="center" vertical="center"/>
    </xf>
    <xf numFmtId="0" fontId="246"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38" fontId="246" fillId="0" borderId="0" xfId="0" applyNumberFormat="1" applyFont="1" applyFill="1" applyBorder="1" applyAlignment="1" applyProtection="1">
      <alignment horizontal="left" vertical="center"/>
    </xf>
    <xf numFmtId="0" fontId="206"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0" fontId="246" fillId="0" borderId="0" xfId="0" applyNumberFormat="1" applyFont="1" applyFill="1" applyBorder="1" applyAlignment="1" applyProtection="1">
      <alignment vertical="center"/>
    </xf>
    <xf numFmtId="0" fontId="254" fillId="0" borderId="0" xfId="0" applyFont="1" applyFill="1" applyBorder="1" applyAlignment="1" applyProtection="1">
      <alignment horizontal="left"/>
    </xf>
    <xf numFmtId="0" fontId="133" fillId="0" borderId="0" xfId="6" applyFont="1" applyFill="1" applyBorder="1" applyAlignment="1" applyProtection="1"/>
    <xf numFmtId="0" fontId="246" fillId="0" borderId="0" xfId="0" applyFont="1" applyFill="1" applyBorder="1" applyAlignment="1" applyProtection="1">
      <alignment horizontal="right"/>
    </xf>
    <xf numFmtId="0" fontId="233"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44" fillId="0" borderId="0" xfId="0" applyFont="1" applyFill="1" applyBorder="1" applyAlignment="1" applyProtection="1">
      <alignment horizontal="center"/>
    </xf>
    <xf numFmtId="0" fontId="233"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30" fillId="0" borderId="0" xfId="0" applyNumberFormat="1" applyFont="1" applyFill="1" applyBorder="1" applyAlignment="1" applyProtection="1">
      <alignment horizontal="center" vertical="center"/>
    </xf>
    <xf numFmtId="0" fontId="230" fillId="0" borderId="0" xfId="0" quotePrefix="1" applyFont="1" applyFill="1" applyBorder="1" applyAlignment="1" applyProtection="1">
      <alignment horizontal="right" vertical="top"/>
    </xf>
    <xf numFmtId="10" fontId="230"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xf>
    <xf numFmtId="38" fontId="230" fillId="0" borderId="0" xfId="0" applyNumberFormat="1" applyFont="1" applyFill="1" applyBorder="1" applyAlignment="1" applyProtection="1">
      <alignment vertical="center"/>
    </xf>
    <xf numFmtId="0" fontId="257" fillId="0" borderId="0" xfId="0" applyFont="1" applyFill="1" applyBorder="1" applyProtection="1"/>
    <xf numFmtId="10" fontId="230"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8"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33"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8"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46" fillId="0" borderId="0" xfId="0" applyFont="1" applyFill="1" applyBorder="1" applyProtection="1"/>
    <xf numFmtId="0" fontId="105" fillId="0" borderId="0" xfId="0"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38" fontId="241"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258" fillId="0" borderId="0" xfId="0" applyFont="1" applyFill="1" applyBorder="1" applyAlignment="1" applyProtection="1">
      <alignment horizontal="center" vertical="center"/>
    </xf>
    <xf numFmtId="0" fontId="215" fillId="0" borderId="0" xfId="0" applyFont="1" applyAlignment="1" applyProtection="1">
      <alignment horizontal="center" vertical="center"/>
    </xf>
    <xf numFmtId="0" fontId="216" fillId="0" borderId="0" xfId="0" applyFont="1" applyAlignment="1" applyProtection="1">
      <alignment horizontal="center" vertical="center"/>
    </xf>
    <xf numFmtId="0" fontId="100" fillId="0" borderId="0" xfId="0" applyFont="1" applyAlignment="1" applyProtection="1">
      <alignment vertical="center"/>
    </xf>
    <xf numFmtId="0" fontId="114" fillId="0" borderId="0" xfId="0" applyFont="1" applyBorder="1" applyAlignment="1" applyProtection="1">
      <alignment vertical="top" wrapText="1"/>
      <protection locked="0"/>
    </xf>
    <xf numFmtId="0" fontId="114" fillId="0" borderId="0" xfId="0" applyFont="1" applyBorder="1" applyAlignment="1" applyProtection="1">
      <alignment horizontal="justify"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22"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20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7" fillId="10" borderId="89" xfId="0" applyNumberFormat="1" applyFont="1" applyFill="1" applyBorder="1" applyAlignment="1" applyProtection="1">
      <alignment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49" fontId="49" fillId="10" borderId="89"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176" fontId="3" fillId="10" borderId="95"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176" fontId="3" fillId="10" borderId="38" xfId="0" applyNumberFormat="1"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18" fillId="0" borderId="40" xfId="12" applyFont="1" applyBorder="1" applyAlignment="1">
      <alignment horizontal="left" vertical="top" wrapText="1"/>
    </xf>
    <xf numFmtId="0" fontId="118" fillId="0" borderId="0" xfId="12" applyFont="1" applyBorder="1" applyAlignment="1">
      <alignment horizontal="left" vertical="top" wrapText="1"/>
    </xf>
    <xf numFmtId="49" fontId="118" fillId="0" borderId="19" xfId="12" applyNumberFormat="1" applyFont="1" applyBorder="1" applyAlignment="1">
      <alignment horizontal="left" vertical="top" wrapText="1"/>
    </xf>
    <xf numFmtId="49" fontId="118" fillId="0" borderId="39" xfId="12" applyNumberFormat="1" applyFont="1" applyBorder="1" applyAlignment="1">
      <alignment horizontal="left" vertical="top" wrapText="1"/>
    </xf>
    <xf numFmtId="49" fontId="118" fillId="0" borderId="0" xfId="12" applyNumberFormat="1" applyFont="1" applyBorder="1" applyAlignment="1">
      <alignment horizontal="left" vertical="top" wrapText="1"/>
    </xf>
    <xf numFmtId="49" fontId="118" fillId="0" borderId="41" xfId="12" applyNumberFormat="1" applyFont="1" applyBorder="1" applyAlignment="1">
      <alignment horizontal="left" vertical="top" wrapText="1"/>
    </xf>
    <xf numFmtId="49" fontId="118" fillId="0" borderId="20" xfId="12" applyNumberFormat="1" applyFont="1" applyBorder="1" applyAlignment="1">
      <alignment horizontal="left" vertical="top" wrapText="1"/>
    </xf>
    <xf numFmtId="49" fontId="118" fillId="0" borderId="60" xfId="12" applyNumberFormat="1" applyFont="1" applyBorder="1" applyAlignment="1">
      <alignment horizontal="left" vertical="top" wrapText="1"/>
    </xf>
    <xf numFmtId="49" fontId="118" fillId="0" borderId="59" xfId="12" applyNumberFormat="1" applyFont="1" applyBorder="1" applyAlignment="1">
      <alignment horizontal="left" vertical="top" wrapText="1"/>
    </xf>
    <xf numFmtId="49" fontId="118" fillId="0" borderId="79" xfId="12" applyNumberFormat="1" applyFont="1" applyBorder="1" applyAlignment="1">
      <alignment horizontal="left" vertical="top" wrapText="1"/>
    </xf>
    <xf numFmtId="49" fontId="118" fillId="0" borderId="0" xfId="12" applyNumberFormat="1" applyFont="1" applyAlignment="1">
      <alignment horizontal="left" vertical="top" wrapText="1"/>
    </xf>
    <xf numFmtId="49" fontId="118" fillId="0" borderId="88" xfId="12" applyNumberFormat="1" applyFont="1" applyBorder="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49" fontId="98" fillId="0" borderId="0" xfId="12" applyNumberFormat="1" applyFont="1" applyFill="1" applyBorder="1" applyAlignment="1">
      <alignment horizontal="left" vertical="top" wrapText="1"/>
    </xf>
    <xf numFmtId="0" fontId="118" fillId="0" borderId="44" xfId="12" applyFont="1" applyBorder="1" applyAlignment="1">
      <alignment horizontal="left" vertical="top" wrapText="1"/>
    </xf>
    <xf numFmtId="0" fontId="118" fillId="0" borderId="19" xfId="12" applyFont="1" applyBorder="1" applyAlignment="1">
      <alignment horizontal="left" vertical="top" wrapText="1"/>
    </xf>
    <xf numFmtId="0" fontId="98" fillId="0" borderId="40" xfId="12" applyFont="1" applyBorder="1" applyAlignment="1">
      <alignment horizontal="left" vertical="top" wrapText="1"/>
    </xf>
    <xf numFmtId="0" fontId="98" fillId="0" borderId="0" xfId="12" applyFont="1" applyBorder="1" applyAlignment="1">
      <alignment horizontal="left" vertical="top" wrapText="1"/>
    </xf>
    <xf numFmtId="0" fontId="118" fillId="0" borderId="8" xfId="12" applyFont="1" applyBorder="1" applyAlignment="1">
      <alignment horizontal="left" vertical="top" wrapText="1"/>
    </xf>
    <xf numFmtId="0" fontId="204" fillId="0" borderId="0" xfId="12" applyFont="1" applyBorder="1" applyAlignment="1">
      <alignment horizontal="left" vertical="top" wrapText="1"/>
    </xf>
    <xf numFmtId="0" fontId="118" fillId="10" borderId="21" xfId="12" applyFont="1" applyFill="1" applyBorder="1" applyAlignment="1" applyProtection="1">
      <alignment horizontal="left" vertical="top" wrapText="1"/>
      <protection locked="0"/>
    </xf>
    <xf numFmtId="0" fontId="118" fillId="10" borderId="31" xfId="12" applyFont="1" applyFill="1" applyBorder="1" applyAlignment="1" applyProtection="1">
      <alignment horizontal="left" vertical="top" wrapText="1"/>
      <protection locked="0"/>
    </xf>
    <xf numFmtId="49" fontId="119" fillId="0" borderId="88" xfId="12" applyNumberFormat="1" applyFont="1" applyBorder="1" applyAlignment="1">
      <alignment horizontal="center" vertical="top"/>
    </xf>
    <xf numFmtId="0" fontId="204" fillId="0" borderId="8" xfId="12" applyFont="1" applyBorder="1" applyAlignment="1">
      <alignment horizontal="left" vertical="top" wrapText="1"/>
    </xf>
    <xf numFmtId="49" fontId="118" fillId="0" borderId="0" xfId="12" applyNumberFormat="1" applyFont="1" applyFill="1" applyBorder="1" applyAlignment="1">
      <alignment horizontal="left" vertical="top" wrapText="1"/>
    </xf>
    <xf numFmtId="0" fontId="118" fillId="10" borderId="18" xfId="12" applyFont="1" applyFill="1" applyBorder="1" applyAlignment="1" applyProtection="1">
      <alignment horizontal="left" vertical="top"/>
      <protection locked="0"/>
    </xf>
    <xf numFmtId="49" fontId="118" fillId="10" borderId="51" xfId="12" applyNumberFormat="1" applyFont="1" applyFill="1" applyBorder="1" applyAlignment="1" applyProtection="1">
      <alignment horizontal="left" vertical="top" wrapText="1"/>
      <protection locked="0"/>
    </xf>
    <xf numFmtId="49" fontId="118" fillId="10" borderId="38" xfId="12" applyNumberFormat="1" applyFont="1" applyFill="1" applyBorder="1" applyAlignment="1" applyProtection="1">
      <alignment horizontal="left" vertical="top" wrapText="1"/>
      <protection locked="0"/>
    </xf>
    <xf numFmtId="0" fontId="118" fillId="10" borderId="17" xfId="12" applyFont="1" applyFill="1" applyBorder="1" applyAlignment="1" applyProtection="1">
      <alignment horizontal="left" vertical="top"/>
      <protection locked="0"/>
    </xf>
    <xf numFmtId="0" fontId="105" fillId="14" borderId="81" xfId="12" applyFont="1" applyFill="1" applyBorder="1" applyAlignment="1">
      <alignment horizontal="center"/>
    </xf>
    <xf numFmtId="0" fontId="105" fillId="14" borderId="85" xfId="12" applyFont="1" applyFill="1" applyBorder="1" applyAlignment="1">
      <alignment horizontal="center"/>
    </xf>
    <xf numFmtId="0" fontId="105" fillId="14" borderId="82" xfId="12" applyFont="1" applyFill="1" applyBorder="1" applyAlignment="1">
      <alignment horizontal="center"/>
    </xf>
    <xf numFmtId="0" fontId="127" fillId="0" borderId="88" xfId="12" applyFont="1" applyBorder="1" applyAlignment="1">
      <alignment horizontal="center" vertical="center" wrapText="1"/>
    </xf>
    <xf numFmtId="0" fontId="118" fillId="0" borderId="0" xfId="12" applyFont="1" applyBorder="1" applyAlignment="1">
      <alignment horizontal="center" wrapText="1"/>
    </xf>
    <xf numFmtId="0" fontId="118" fillId="0" borderId="86" xfId="12" applyFont="1" applyBorder="1" applyAlignment="1">
      <alignment horizontal="center" wrapText="1"/>
    </xf>
    <xf numFmtId="0" fontId="120" fillId="0" borderId="0" xfId="12" applyFont="1" applyBorder="1" applyAlignment="1">
      <alignment horizontal="center" wrapText="1"/>
    </xf>
    <xf numFmtId="0" fontId="120" fillId="0" borderId="86" xfId="12" applyFont="1" applyBorder="1" applyAlignment="1">
      <alignment horizontal="center" wrapText="1"/>
    </xf>
    <xf numFmtId="0" fontId="118" fillId="0" borderId="0" xfId="12" applyFont="1" applyBorder="1" applyAlignment="1">
      <alignment horizontal="justify" vertical="top" wrapText="1"/>
    </xf>
    <xf numFmtId="0" fontId="118" fillId="0" borderId="8" xfId="12" applyFont="1" applyBorder="1" applyAlignment="1">
      <alignment horizontal="justify" vertical="top" wrapText="1"/>
    </xf>
    <xf numFmtId="0" fontId="118" fillId="0" borderId="32" xfId="12" applyFont="1" applyBorder="1" applyAlignment="1">
      <alignment horizontal="left" vertical="top" wrapText="1"/>
    </xf>
    <xf numFmtId="0" fontId="118" fillId="0" borderId="19" xfId="12" applyFont="1" applyBorder="1" applyAlignment="1">
      <alignment horizontal="justify" vertical="top" wrapText="1"/>
    </xf>
    <xf numFmtId="49" fontId="186" fillId="0" borderId="0" xfId="12" applyNumberFormat="1" applyFont="1" applyBorder="1" applyAlignment="1">
      <alignment horizontal="left" vertical="center" wrapText="1"/>
    </xf>
    <xf numFmtId="49" fontId="186" fillId="0" borderId="41" xfId="12" applyNumberFormat="1" applyFont="1" applyBorder="1" applyAlignment="1">
      <alignment horizontal="left" vertical="center" wrapText="1"/>
    </xf>
    <xf numFmtId="49" fontId="118" fillId="0" borderId="19" xfId="12" applyNumberFormat="1" applyFont="1" applyFill="1" applyBorder="1" applyAlignment="1">
      <alignment horizontal="left" vertical="top" wrapText="1"/>
    </xf>
    <xf numFmtId="0" fontId="118" fillId="0" borderId="42" xfId="12" applyFont="1" applyBorder="1" applyAlignment="1">
      <alignment horizontal="left" vertical="top" wrapText="1"/>
    </xf>
    <xf numFmtId="0" fontId="118" fillId="0" borderId="20" xfId="12" applyFont="1" applyBorder="1" applyAlignment="1">
      <alignment horizontal="left" vertical="top" wrapText="1"/>
    </xf>
    <xf numFmtId="0" fontId="118" fillId="0" borderId="99" xfId="12" applyFont="1" applyBorder="1" applyAlignment="1">
      <alignment horizontal="left" vertical="top" wrapText="1"/>
    </xf>
    <xf numFmtId="0" fontId="118" fillId="0" borderId="13" xfId="12" applyFont="1" applyBorder="1" applyAlignment="1">
      <alignment horizontal="left" vertical="top" wrapText="1"/>
    </xf>
    <xf numFmtId="0" fontId="9" fillId="0" borderId="0" xfId="12" applyFont="1" applyFill="1" applyBorder="1" applyAlignment="1">
      <alignment horizontal="center"/>
    </xf>
    <xf numFmtId="0" fontId="99" fillId="0" borderId="0" xfId="12" applyNumberFormat="1" applyFont="1" applyAlignment="1">
      <alignment horizontal="justify" vertical="top" wrapText="1"/>
    </xf>
    <xf numFmtId="49" fontId="118" fillId="10" borderId="49" xfId="12" applyNumberFormat="1" applyFont="1" applyFill="1" applyBorder="1" applyAlignment="1" applyProtection="1">
      <alignment horizontal="left" vertical="top" wrapText="1"/>
      <protection locked="0"/>
    </xf>
    <xf numFmtId="49" fontId="118" fillId="10" borderId="50" xfId="12" applyNumberFormat="1" applyFont="1" applyFill="1" applyBorder="1" applyAlignment="1" applyProtection="1">
      <alignment horizontal="left" vertical="top" wrapText="1"/>
      <protection locked="0"/>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18" fillId="0" borderId="13" xfId="12" applyFont="1" applyBorder="1" applyAlignment="1">
      <alignment horizontal="center" wrapText="1"/>
    </xf>
    <xf numFmtId="49" fontId="118" fillId="0" borderId="13" xfId="12" applyNumberFormat="1" applyFont="1" applyBorder="1" applyAlignment="1">
      <alignment horizontal="center"/>
    </xf>
    <xf numFmtId="49" fontId="118" fillId="10" borderId="52" xfId="12" applyNumberFormat="1" applyFont="1" applyFill="1" applyBorder="1" applyAlignment="1" applyProtection="1">
      <alignment horizontal="left" vertical="top" wrapText="1"/>
      <protection locked="0"/>
    </xf>
    <xf numFmtId="49" fontId="118" fillId="10" borderId="53" xfId="12" applyNumberFormat="1" applyFont="1" applyFill="1" applyBorder="1" applyAlignment="1" applyProtection="1">
      <alignment horizontal="left" vertical="top" wrapText="1"/>
      <protection locked="0"/>
    </xf>
    <xf numFmtId="0" fontId="118" fillId="10" borderId="16" xfId="12" applyFont="1" applyFill="1" applyBorder="1" applyAlignment="1" applyProtection="1">
      <alignment horizontal="left" vertical="top"/>
      <protection locked="0"/>
    </xf>
    <xf numFmtId="0" fontId="118" fillId="17" borderId="44" xfId="12" applyFont="1" applyFill="1" applyBorder="1" applyAlignment="1">
      <alignment horizontal="left" vertical="top" wrapText="1"/>
    </xf>
    <xf numFmtId="0" fontId="118" fillId="17" borderId="19" xfId="12" applyFont="1" applyFill="1" applyBorder="1" applyAlignment="1">
      <alignment horizontal="left" vertical="top" wrapText="1"/>
    </xf>
    <xf numFmtId="0" fontId="118" fillId="17" borderId="32" xfId="12" applyFont="1" applyFill="1" applyBorder="1" applyAlignment="1">
      <alignment horizontal="left" vertical="top" wrapText="1"/>
    </xf>
    <xf numFmtId="0" fontId="118" fillId="0" borderId="14" xfId="12" applyFont="1" applyBorder="1" applyAlignment="1">
      <alignment horizontal="left" vertical="top" wrapText="1"/>
    </xf>
    <xf numFmtId="49" fontId="118" fillId="0" borderId="19" xfId="12" applyNumberFormat="1" applyFont="1" applyBorder="1" applyAlignment="1">
      <alignment vertical="top" wrapText="1"/>
    </xf>
    <xf numFmtId="49" fontId="118" fillId="0" borderId="0" xfId="12" applyNumberFormat="1" applyFont="1" applyBorder="1" applyAlignment="1">
      <alignment vertical="top" wrapText="1"/>
    </xf>
    <xf numFmtId="0" fontId="118" fillId="0" borderId="0" xfId="12" applyFont="1" applyAlignment="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24" fillId="0" borderId="0" xfId="6" applyFont="1" applyFill="1" applyBorder="1" applyAlignment="1" applyProtection="1">
      <alignment horizontal="left" vertical="center"/>
    </xf>
    <xf numFmtId="0" fontId="125"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6"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8"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22"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3" fontId="209" fillId="0" borderId="83" xfId="0" applyNumberFormat="1" applyFont="1" applyFill="1" applyBorder="1" applyAlignment="1" applyProtection="1">
      <alignment horizontal="center" vertical="center" wrapText="1"/>
    </xf>
    <xf numFmtId="3" fontId="209" fillId="0" borderId="84" xfId="0" applyNumberFormat="1" applyFont="1" applyFill="1" applyBorder="1" applyAlignment="1" applyProtection="1">
      <alignment horizontal="center" vertical="center" wrapText="1"/>
    </xf>
    <xf numFmtId="3" fontId="209" fillId="0" borderId="9" xfId="0" applyNumberFormat="1" applyFont="1" applyFill="1" applyBorder="1" applyAlignment="1" applyProtection="1">
      <alignment horizontal="center" vertical="center" wrapText="1"/>
    </xf>
    <xf numFmtId="3" fontId="209"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73" fillId="0" borderId="80" xfId="0" applyNumberFormat="1" applyFont="1" applyFill="1" applyBorder="1" applyAlignment="1" applyProtection="1">
      <alignment horizontal="center" vertical="center"/>
    </xf>
    <xf numFmtId="3" fontId="173" fillId="0" borderId="77" xfId="0" applyNumberFormat="1" applyFont="1" applyFill="1" applyBorder="1" applyAlignment="1" applyProtection="1">
      <alignment horizontal="center" vertical="center"/>
    </xf>
    <xf numFmtId="0" fontId="178"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75" fillId="0" borderId="44" xfId="0" applyNumberFormat="1" applyFont="1" applyFill="1" applyBorder="1" applyAlignment="1" applyProtection="1">
      <alignment horizontal="center" vertical="center" wrapText="1"/>
    </xf>
    <xf numFmtId="0" fontId="175" fillId="0" borderId="39" xfId="0" applyNumberFormat="1" applyFont="1" applyFill="1" applyBorder="1" applyAlignment="1" applyProtection="1">
      <alignment horizontal="center" vertical="center" wrapText="1"/>
    </xf>
    <xf numFmtId="0" fontId="175" fillId="0" borderId="42" xfId="0" applyNumberFormat="1" applyFont="1" applyFill="1" applyBorder="1" applyAlignment="1" applyProtection="1">
      <alignment horizontal="center" vertical="center" wrapText="1"/>
    </xf>
    <xf numFmtId="0" fontId="175"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8" fillId="0" borderId="0" xfId="0" applyFont="1" applyFill="1" applyBorder="1" applyAlignment="1" applyProtection="1">
      <alignment horizontal="center" wrapText="1"/>
    </xf>
    <xf numFmtId="0" fontId="128"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22" fillId="0" borderId="0" xfId="0" applyFont="1" applyFill="1" applyAlignment="1" applyProtection="1">
      <alignment horizontal="left" vertical="center"/>
    </xf>
    <xf numFmtId="0" fontId="136" fillId="0" borderId="0" xfId="0" applyFont="1" applyFill="1" applyAlignment="1" applyProtection="1">
      <alignment horizontal="center" vertical="center"/>
    </xf>
    <xf numFmtId="0" fontId="13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202" fillId="0" borderId="44" xfId="0" applyNumberFormat="1" applyFont="1" applyFill="1" applyBorder="1" applyAlignment="1" applyProtection="1">
      <alignment horizontal="center" vertical="center" wrapText="1"/>
    </xf>
    <xf numFmtId="3" fontId="202" fillId="0" borderId="39" xfId="0" applyNumberFormat="1" applyFont="1" applyFill="1" applyBorder="1" applyAlignment="1" applyProtection="1">
      <alignment horizontal="center" vertical="center" wrapText="1"/>
    </xf>
    <xf numFmtId="3" fontId="202" fillId="0" borderId="42" xfId="0" applyNumberFormat="1" applyFont="1" applyFill="1" applyBorder="1" applyAlignment="1" applyProtection="1">
      <alignment horizontal="center" vertical="center" wrapText="1"/>
    </xf>
    <xf numFmtId="3" fontId="202"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35"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0" xfId="0" applyFont="1" applyFill="1" applyAlignment="1" applyProtection="1">
      <alignment horizontal="left"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0" fillId="0" borderId="0" xfId="0" applyFont="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0" fillId="0" borderId="0" xfId="0" applyFont="1" applyFill="1" applyAlignment="1" applyProtection="1">
      <alignment horizontal="left" vertical="center"/>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92" fillId="0" borderId="39" xfId="0" applyFont="1" applyFill="1" applyBorder="1" applyAlignment="1" applyProtection="1">
      <alignment horizontal="center" vertical="center" wrapText="1"/>
    </xf>
    <xf numFmtId="0" fontId="192" fillId="0" borderId="41" xfId="0" applyFont="1" applyFill="1" applyBorder="1" applyAlignment="1" applyProtection="1">
      <alignment horizontal="center" vertical="center" wrapText="1"/>
    </xf>
    <xf numFmtId="0" fontId="192" fillId="0" borderId="60" xfId="0" applyFont="1" applyFill="1" applyBorder="1" applyAlignment="1" applyProtection="1">
      <alignment horizontal="center" vertical="center" wrapText="1"/>
    </xf>
    <xf numFmtId="0" fontId="199" fillId="0" borderId="0" xfId="0" applyFont="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176" fontId="48" fillId="5" borderId="16" xfId="0" applyNumberFormat="1" applyFont="1" applyFill="1" applyBorder="1" applyAlignment="1" applyProtection="1">
      <alignment horizontal="left" vertical="center"/>
    </xf>
    <xf numFmtId="176" fontId="48" fillId="5" borderId="89" xfId="0" applyNumberFormat="1" applyFont="1" applyFill="1" applyBorder="1" applyAlignment="1" applyProtection="1">
      <alignment horizontal="left" vertical="center"/>
    </xf>
    <xf numFmtId="0" fontId="17" fillId="10" borderId="81" xfId="0" applyFont="1" applyFill="1" applyBorder="1" applyAlignment="1" applyProtection="1">
      <alignment horizontal="left"/>
    </xf>
    <xf numFmtId="0" fontId="17" fillId="10" borderId="82"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49" fillId="10" borderId="27" xfId="0" applyFont="1" applyFill="1" applyBorder="1" applyAlignment="1" applyProtection="1">
      <alignment horizontal="left" vertical="center"/>
    </xf>
    <xf numFmtId="0" fontId="49" fillId="10" borderId="97" xfId="0" applyFont="1" applyFill="1" applyBorder="1" applyAlignment="1" applyProtection="1">
      <alignment horizontal="left" vertical="center"/>
    </xf>
    <xf numFmtId="0" fontId="49" fillId="0" borderId="0" xfId="0" applyFont="1" applyFill="1" applyAlignment="1" applyProtection="1">
      <alignment horizontal="left"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87" fillId="0" borderId="0" xfId="0" applyFont="1" applyFill="1" applyBorder="1" applyAlignment="1" applyProtection="1">
      <alignment horizontal="right"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8"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3" fillId="0" borderId="0" xfId="0" applyFont="1" applyAlignment="1" applyProtection="1">
      <alignment horizontal="left" wrapText="1"/>
    </xf>
    <xf numFmtId="0" fontId="49" fillId="10" borderId="2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125" fillId="0" borderId="0" xfId="6" applyFont="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96" fillId="0" borderId="0" xfId="0" applyFont="1" applyFill="1" applyBorder="1" applyAlignment="1" applyProtection="1">
      <alignment horizontal="center" vertical="top" wrapText="1"/>
    </xf>
    <xf numFmtId="0" fontId="195" fillId="0" borderId="0" xfId="0" applyFont="1" applyFill="1" applyBorder="1" applyAlignment="1" applyProtection="1">
      <alignment horizontal="center"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5"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84"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107" fillId="0" borderId="0" xfId="0" applyFont="1" applyFill="1" applyAlignment="1" applyProtection="1">
      <alignment horizontal="center" vertical="center"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121" fillId="5" borderId="81" xfId="0" applyFont="1" applyFill="1" applyBorder="1" applyAlignment="1" applyProtection="1">
      <alignment horizontal="center" vertical="center"/>
    </xf>
    <xf numFmtId="0" fontId="121" fillId="5" borderId="85" xfId="0" applyFont="1" applyFill="1" applyBorder="1" applyAlignment="1" applyProtection="1">
      <alignment horizontal="center" vertical="center"/>
    </xf>
    <xf numFmtId="0" fontId="121"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49" fontId="98" fillId="0" borderId="0" xfId="0" applyNumberFormat="1" applyFont="1" applyAlignment="1" applyProtection="1">
      <alignment horizontal="left"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122" fillId="0" borderId="20" xfId="0" applyNumberFormat="1" applyFont="1" applyFill="1" applyBorder="1" applyAlignment="1" applyProtection="1">
      <alignment horizontal="left" vertical="center"/>
    </xf>
    <xf numFmtId="0" fontId="122" fillId="10" borderId="80" xfId="0" applyFont="1" applyFill="1" applyBorder="1" applyAlignment="1" applyProtection="1">
      <alignment horizontal="center" vertical="center" wrapText="1"/>
    </xf>
    <xf numFmtId="0" fontId="122" fillId="10" borderId="77" xfId="0" applyFont="1" applyFill="1" applyBorder="1" applyAlignment="1" applyProtection="1">
      <alignment horizontal="center" vertic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20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56" fillId="0" borderId="0" xfId="0" applyFont="1" applyFill="1" applyBorder="1" applyAlignment="1" applyProtection="1">
      <alignment horizontal="center" vertical="center"/>
    </xf>
    <xf numFmtId="10" fontId="192" fillId="0" borderId="0"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13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138" fillId="0" borderId="0" xfId="13" applyFont="1" applyAlignment="1" applyProtection="1">
      <alignment horizontal="justify" vertical="top"/>
    </xf>
    <xf numFmtId="0" fontId="13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9" fillId="0" borderId="0" xfId="13" applyFont="1" applyAlignment="1" applyProtection="1"/>
    <xf numFmtId="0" fontId="138" fillId="0" borderId="0" xfId="13" applyFont="1" applyAlignment="1" applyProtection="1"/>
    <xf numFmtId="0" fontId="153" fillId="10" borderId="40" xfId="13" applyFont="1" applyFill="1" applyBorder="1" applyAlignment="1" applyProtection="1">
      <alignment horizontal="left" vertical="top" wrapText="1"/>
    </xf>
    <xf numFmtId="0" fontId="153"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3"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2"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2" fillId="0" borderId="0" xfId="13" applyFont="1" applyAlignment="1" applyProtection="1">
      <alignment horizontal="left"/>
    </xf>
    <xf numFmtId="0" fontId="162" fillId="0" borderId="0" xfId="13" applyFont="1" applyAlignment="1" applyProtection="1"/>
    <xf numFmtId="0" fontId="164"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53" fillId="10" borderId="0" xfId="13" applyFont="1" applyFill="1" applyAlignment="1" applyProtection="1">
      <alignment horizontal="justify" vertical="top" wrapText="1"/>
    </xf>
    <xf numFmtId="0" fontId="162"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8" fillId="0" borderId="0" xfId="13" applyFont="1" applyFill="1" applyAlignment="1" applyProtection="1">
      <alignment horizontal="left"/>
    </xf>
    <xf numFmtId="3" fontId="138" fillId="0" borderId="0" xfId="13" applyNumberFormat="1" applyFont="1" applyFill="1" applyAlignment="1" applyProtection="1">
      <alignment horizontal="left"/>
    </xf>
    <xf numFmtId="0" fontId="138" fillId="5" borderId="0" xfId="0" applyFont="1" applyFill="1" applyBorder="1" applyAlignment="1" applyProtection="1">
      <alignment horizontal="left" vertical="center"/>
    </xf>
    <xf numFmtId="0" fontId="149" fillId="0" borderId="40" xfId="13" applyFont="1" applyBorder="1" applyAlignment="1" applyProtection="1">
      <alignment horizontal="right"/>
    </xf>
    <xf numFmtId="0" fontId="149" fillId="0" borderId="0" xfId="13" applyFont="1" applyAlignment="1" applyProtection="1">
      <alignment horizontal="right"/>
    </xf>
    <xf numFmtId="4" fontId="138" fillId="0" borderId="0" xfId="13" applyNumberFormat="1" applyFont="1" applyFill="1" applyAlignment="1" applyProtection="1">
      <alignment horizontal="left"/>
    </xf>
    <xf numFmtId="181" fontId="138"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6" fillId="0" borderId="0" xfId="13" applyFont="1" applyAlignment="1">
      <alignment horizontal="center"/>
    </xf>
    <xf numFmtId="0" fontId="190" fillId="0" borderId="0" xfId="13" applyFont="1" applyAlignment="1">
      <alignment horizontal="center" vertical="center"/>
    </xf>
    <xf numFmtId="0" fontId="159"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28" fillId="0" borderId="0" xfId="0" applyFont="1" applyFill="1" applyBorder="1" applyAlignment="1" applyProtection="1">
      <alignment horizontal="center" vertical="center" wrapText="1"/>
    </xf>
    <xf numFmtId="0" fontId="228" fillId="0" borderId="0" xfId="0" applyFont="1" applyFill="1" applyAlignment="1" applyProtection="1">
      <alignment horizontal="center" vertical="center" wrapText="1"/>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101"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8"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5"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5"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101"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16" fontId="13" fillId="5" borderId="30" xfId="0" applyNumberFormat="1"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13" borderId="22"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5" borderId="105" xfId="0" applyFont="1" applyFill="1" applyBorder="1" applyAlignment="1" applyProtection="1">
      <alignment horizontal="center"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5" borderId="105" xfId="0" applyFont="1" applyFill="1" applyBorder="1" applyAlignment="1" applyProtection="1">
      <alignment horizontal="center" vertical="top"/>
    </xf>
    <xf numFmtId="0" fontId="13" fillId="13" borderId="105"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FFFCC"/>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318"/>
  <sheetViews>
    <sheetView showGridLines="0" topLeftCell="A145" zoomScale="142" zoomScaleNormal="142" workbookViewId="0">
      <selection activeCell="F6" sqref="F6"/>
    </sheetView>
  </sheetViews>
  <sheetFormatPr defaultRowHeight="11.25"/>
  <cols>
    <col min="1" max="1" width="3.28515625" style="569" customWidth="1"/>
    <col min="2" max="2" width="10.140625" style="570" customWidth="1"/>
    <col min="3" max="3" width="4.85546875" style="570" customWidth="1"/>
    <col min="4" max="4" width="8.5703125" style="570" customWidth="1"/>
    <col min="5" max="5" width="4.28515625" style="602" customWidth="1"/>
    <col min="6" max="8" width="33.85546875" style="569" customWidth="1"/>
    <col min="9" max="9" width="4" style="571" hidden="1" customWidth="1"/>
    <col min="10" max="10" width="6.42578125" style="569" hidden="1" customWidth="1"/>
    <col min="11" max="11" width="9.7109375" style="569" hidden="1" customWidth="1"/>
    <col min="12" max="12" width="3.42578125" style="569" customWidth="1"/>
    <col min="13" max="16384" width="9.140625" style="569"/>
  </cols>
  <sheetData>
    <row r="1" spans="1:12" s="568" customFormat="1" ht="15.75">
      <c r="A1" s="2158" t="str">
        <f>CONCATENATE("DRAFT 2016 Application Tabs Checklist for:  ",'Part I-Project Information'!F24, ",  ",'Part I-Project Information'!F28, ",  ",'Part I-Project Information'!J29, " County")</f>
        <v>DRAFT 2016 Application Tabs Checklist for:  Gateway Capitol View,  Atlanta,  Fulton County</v>
      </c>
      <c r="B1" s="2159"/>
      <c r="C1" s="2159"/>
      <c r="D1" s="2159"/>
      <c r="E1" s="2159"/>
      <c r="F1" s="2159"/>
      <c r="G1" s="2159"/>
      <c r="H1" s="2159"/>
      <c r="I1" s="2159"/>
      <c r="J1" s="2159"/>
      <c r="K1" s="2159"/>
      <c r="L1" s="2160"/>
    </row>
    <row r="2" spans="1:12" ht="26.25" customHeight="1">
      <c r="A2" s="2161" t="s">
        <v>2973</v>
      </c>
      <c r="B2" s="2161"/>
      <c r="C2" s="2161"/>
      <c r="D2" s="2161"/>
      <c r="E2" s="2161"/>
      <c r="F2" s="2161"/>
      <c r="G2" s="2161"/>
      <c r="H2" s="2161"/>
      <c r="I2" s="2161"/>
      <c r="J2" s="2161"/>
      <c r="K2" s="2161"/>
      <c r="L2" s="2161"/>
    </row>
    <row r="3" spans="1:12" s="574" customFormat="1" ht="12" customHeight="1">
      <c r="A3" s="2162" t="s">
        <v>2890</v>
      </c>
      <c r="B3" s="2177"/>
      <c r="C3" s="2177"/>
      <c r="D3" s="2177"/>
      <c r="E3" s="2164" t="s">
        <v>2891</v>
      </c>
      <c r="F3" s="572"/>
      <c r="G3" s="572"/>
      <c r="H3" s="572"/>
      <c r="I3" s="573"/>
      <c r="J3" s="572"/>
      <c r="K3" s="572"/>
      <c r="L3" s="2164" t="s">
        <v>2892</v>
      </c>
    </row>
    <row r="4" spans="1:12" s="574" customFormat="1" ht="12.75" thickBot="1">
      <c r="A4" s="2163"/>
      <c r="B4" s="575" t="s">
        <v>2893</v>
      </c>
      <c r="C4" s="575"/>
      <c r="D4" s="575"/>
      <c r="E4" s="2165"/>
      <c r="F4" s="575" t="s">
        <v>2976</v>
      </c>
      <c r="G4" s="576"/>
      <c r="H4" s="576"/>
      <c r="I4" s="575" t="s">
        <v>2894</v>
      </c>
      <c r="J4" s="576"/>
      <c r="K4" s="576"/>
      <c r="L4" s="2165"/>
    </row>
    <row r="5" spans="1:12" s="579" customFormat="1" ht="10.5" customHeight="1">
      <c r="A5" s="577"/>
      <c r="B5" s="578"/>
      <c r="C5" s="578"/>
      <c r="D5" s="578"/>
      <c r="E5" s="628"/>
      <c r="F5" s="579" t="s">
        <v>2895</v>
      </c>
      <c r="I5" s="580"/>
      <c r="L5" s="619"/>
    </row>
    <row r="6" spans="1:12" s="579" customFormat="1" ht="10.5" customHeight="1">
      <c r="A6" s="581" t="s">
        <v>2896</v>
      </c>
      <c r="B6" s="2136" t="s">
        <v>1485</v>
      </c>
      <c r="C6" s="2136"/>
      <c r="D6" s="578"/>
      <c r="E6" s="629" t="s">
        <v>2896</v>
      </c>
      <c r="F6" s="1508" t="s">
        <v>4535</v>
      </c>
      <c r="I6" s="580"/>
      <c r="L6" s="620"/>
    </row>
    <row r="7" spans="1:12" s="579" customFormat="1" ht="10.5" customHeight="1">
      <c r="A7" s="581"/>
      <c r="B7" s="2136"/>
      <c r="C7" s="2136"/>
      <c r="D7" s="578"/>
      <c r="E7" s="626"/>
      <c r="I7" s="580"/>
      <c r="L7" s="620"/>
    </row>
    <row r="8" spans="1:12" s="579" customFormat="1" ht="10.5" customHeight="1">
      <c r="A8" s="577"/>
      <c r="B8" s="2136"/>
      <c r="C8" s="2136"/>
      <c r="D8" s="578"/>
      <c r="E8" s="626" t="s">
        <v>2825</v>
      </c>
      <c r="F8" s="579" t="s">
        <v>2897</v>
      </c>
      <c r="I8" s="580"/>
      <c r="L8" s="620"/>
    </row>
    <row r="9" spans="1:12" s="579" customFormat="1" ht="10.5" customHeight="1">
      <c r="A9" s="577"/>
      <c r="B9" s="578"/>
      <c r="C9" s="578"/>
      <c r="D9" s="578"/>
      <c r="E9" s="626" t="s">
        <v>2823</v>
      </c>
      <c r="F9" s="579" t="s">
        <v>448</v>
      </c>
      <c r="I9" s="580"/>
      <c r="L9" s="620"/>
    </row>
    <row r="10" spans="1:12" s="579" customFormat="1" ht="10.5" customHeight="1">
      <c r="A10" s="577"/>
      <c r="B10" s="578"/>
      <c r="C10" s="578"/>
      <c r="D10" s="578"/>
      <c r="E10" s="626" t="s">
        <v>2824</v>
      </c>
      <c r="F10" s="579" t="s">
        <v>2799</v>
      </c>
      <c r="I10" s="580"/>
      <c r="L10" s="620"/>
    </row>
    <row r="11" spans="1:12" s="579" customFormat="1" ht="10.5" customHeight="1">
      <c r="A11" s="577"/>
      <c r="B11" s="578"/>
      <c r="C11" s="578"/>
      <c r="D11" s="578"/>
      <c r="E11" s="626" t="s">
        <v>2826</v>
      </c>
      <c r="F11" s="579" t="s">
        <v>2813</v>
      </c>
      <c r="I11" s="580"/>
      <c r="J11" s="583"/>
      <c r="L11" s="620"/>
    </row>
    <row r="12" spans="1:12" s="579" customFormat="1" ht="10.5" customHeight="1">
      <c r="A12" s="577"/>
      <c r="B12" s="578"/>
      <c r="C12" s="578"/>
      <c r="D12" s="578"/>
      <c r="E12" s="626" t="s">
        <v>2827</v>
      </c>
      <c r="F12" s="579" t="s">
        <v>2898</v>
      </c>
      <c r="I12" s="580"/>
      <c r="J12" s="583"/>
      <c r="L12" s="621"/>
    </row>
    <row r="13" spans="1:12" s="579" customFormat="1" ht="10.5" customHeight="1">
      <c r="A13" s="577"/>
      <c r="B13" s="578"/>
      <c r="C13" s="578"/>
      <c r="D13" s="578"/>
      <c r="E13" s="626" t="s">
        <v>2828</v>
      </c>
      <c r="F13" s="579" t="s">
        <v>3935</v>
      </c>
      <c r="I13" s="580"/>
      <c r="J13" s="583"/>
      <c r="L13" s="621"/>
    </row>
    <row r="14" spans="1:12" s="579" customFormat="1" ht="10.5" customHeight="1">
      <c r="A14" s="577"/>
      <c r="B14" s="578"/>
      <c r="C14" s="578"/>
      <c r="D14" s="578"/>
      <c r="E14" s="627" t="s">
        <v>2829</v>
      </c>
      <c r="F14" s="579" t="s">
        <v>2971</v>
      </c>
      <c r="I14" s="580"/>
      <c r="J14" s="583"/>
      <c r="L14" s="621"/>
    </row>
    <row r="15" spans="1:12" s="579" customFormat="1" ht="10.5" customHeight="1">
      <c r="A15" s="2151" t="s">
        <v>2899</v>
      </c>
      <c r="B15" s="2151"/>
      <c r="C15" s="2151"/>
      <c r="D15" s="2151"/>
      <c r="E15" s="2151"/>
      <c r="F15" s="2151"/>
      <c r="G15" s="2151"/>
      <c r="H15" s="2151"/>
      <c r="I15" s="2151"/>
      <c r="J15" s="2151"/>
      <c r="K15" s="2151"/>
      <c r="L15" s="2151"/>
    </row>
    <row r="16" spans="1:12" s="579" customFormat="1" ht="10.5" customHeight="1">
      <c r="A16" s="1258" t="s">
        <v>2825</v>
      </c>
      <c r="B16" s="2137" t="s">
        <v>2977</v>
      </c>
      <c r="C16" s="1255"/>
      <c r="D16" s="1223" t="s">
        <v>2900</v>
      </c>
      <c r="E16" s="1224" t="s">
        <v>2825</v>
      </c>
      <c r="F16" s="635" t="s">
        <v>3706</v>
      </c>
      <c r="G16" s="635"/>
      <c r="H16" s="1225"/>
      <c r="I16" s="580"/>
      <c r="J16" s="583"/>
      <c r="L16" s="620"/>
    </row>
    <row r="17" spans="1:12" s="579" customFormat="1" ht="10.5" customHeight="1">
      <c r="A17" s="584"/>
      <c r="B17" s="2130"/>
      <c r="C17" s="585"/>
      <c r="D17" s="622"/>
      <c r="E17" s="626"/>
      <c r="F17" s="2126" t="s">
        <v>3987</v>
      </c>
      <c r="G17" s="2127"/>
      <c r="H17" s="2147"/>
      <c r="I17" s="580"/>
      <c r="J17" s="583"/>
      <c r="L17" s="620"/>
    </row>
    <row r="18" spans="1:12" s="579" customFormat="1" ht="10.5" customHeight="1">
      <c r="A18" s="585"/>
      <c r="B18" s="598"/>
      <c r="C18" s="1226"/>
      <c r="D18" s="622" t="s">
        <v>2901</v>
      </c>
      <c r="E18" s="626" t="s">
        <v>2823</v>
      </c>
      <c r="F18" s="2166" t="s">
        <v>3957</v>
      </c>
      <c r="G18" s="2166"/>
      <c r="H18" s="2167"/>
      <c r="I18" s="711" t="s">
        <v>2950</v>
      </c>
      <c r="J18" s="712" t="s">
        <v>2951</v>
      </c>
      <c r="K18" s="712" t="s">
        <v>2952</v>
      </c>
      <c r="L18" s="620"/>
    </row>
    <row r="19" spans="1:12" s="579" customFormat="1" ht="10.5" customHeight="1">
      <c r="A19" s="585"/>
      <c r="B19" s="598"/>
      <c r="C19" s="1226"/>
      <c r="D19" s="622"/>
      <c r="E19" s="626"/>
      <c r="F19" s="1256" t="s">
        <v>3705</v>
      </c>
      <c r="G19" s="1256"/>
      <c r="H19" s="1257"/>
      <c r="I19" s="711"/>
      <c r="J19" s="712"/>
      <c r="K19" s="712"/>
      <c r="L19" s="620"/>
    </row>
    <row r="20" spans="1:12" s="579" customFormat="1" ht="10.5" customHeight="1">
      <c r="A20" s="585"/>
      <c r="B20" s="598"/>
      <c r="C20" s="1226"/>
      <c r="D20" s="622" t="s">
        <v>2902</v>
      </c>
      <c r="E20" s="626" t="s">
        <v>2824</v>
      </c>
      <c r="F20" s="598" t="s">
        <v>3858</v>
      </c>
      <c r="G20" s="1256"/>
      <c r="H20" s="1257"/>
      <c r="I20" s="711"/>
      <c r="J20" s="712"/>
      <c r="K20" s="592"/>
      <c r="L20" s="620"/>
    </row>
    <row r="21" spans="1:12" s="579" customFormat="1" ht="10.5" customHeight="1">
      <c r="A21" s="585"/>
      <c r="B21" s="598"/>
      <c r="C21" s="1226"/>
      <c r="D21" s="622" t="s">
        <v>2903</v>
      </c>
      <c r="E21" s="626" t="s">
        <v>2826</v>
      </c>
      <c r="F21" s="598" t="s">
        <v>4506</v>
      </c>
      <c r="G21" s="598"/>
      <c r="H21" s="624"/>
      <c r="I21" s="711" t="s">
        <v>3200</v>
      </c>
      <c r="J21" s="712" t="s">
        <v>2905</v>
      </c>
      <c r="K21" s="712" t="s">
        <v>2906</v>
      </c>
      <c r="L21" s="620"/>
    </row>
    <row r="22" spans="1:12" s="579" customFormat="1" ht="10.5" customHeight="1">
      <c r="A22" s="585"/>
      <c r="B22" s="598"/>
      <c r="C22" s="1226"/>
      <c r="D22" s="622" t="s">
        <v>3704</v>
      </c>
      <c r="E22" s="626" t="s">
        <v>2827</v>
      </c>
      <c r="F22" s="598" t="s">
        <v>4414</v>
      </c>
      <c r="G22" s="598"/>
      <c r="H22" s="624"/>
      <c r="I22" s="580"/>
      <c r="J22" s="583"/>
      <c r="L22" s="620"/>
    </row>
    <row r="23" spans="1:12" s="579" customFormat="1" ht="10.5" customHeight="1">
      <c r="A23" s="585"/>
      <c r="B23" s="1222"/>
      <c r="C23" s="2170" t="s">
        <v>3988</v>
      </c>
      <c r="D23" s="2171"/>
      <c r="E23" s="630"/>
      <c r="F23" s="598" t="s">
        <v>4413</v>
      </c>
      <c r="G23" s="598"/>
      <c r="H23" s="624"/>
      <c r="I23" s="580"/>
      <c r="J23" s="583"/>
      <c r="L23" s="620"/>
    </row>
    <row r="24" spans="1:12" s="579" customFormat="1" ht="10.5" customHeight="1">
      <c r="A24" s="585"/>
      <c r="B24" s="1222"/>
      <c r="C24" s="2170"/>
      <c r="D24" s="2171"/>
      <c r="E24" s="630"/>
      <c r="F24" s="598" t="s">
        <v>4412</v>
      </c>
      <c r="G24" s="598"/>
      <c r="H24" s="624"/>
      <c r="I24" s="580"/>
      <c r="J24" s="583"/>
      <c r="L24" s="620"/>
    </row>
    <row r="25" spans="1:12" s="579" customFormat="1" ht="21.75" customHeight="1">
      <c r="A25" s="585"/>
      <c r="B25" s="1222"/>
      <c r="C25" s="2170"/>
      <c r="D25" s="2171"/>
      <c r="E25" s="630"/>
      <c r="F25" s="2126" t="s">
        <v>4507</v>
      </c>
      <c r="G25" s="2127"/>
      <c r="H25" s="2147"/>
      <c r="I25" s="580"/>
      <c r="J25" s="583"/>
      <c r="L25" s="620"/>
    </row>
    <row r="26" spans="1:12" s="579" customFormat="1" ht="10.5" customHeight="1">
      <c r="A26" s="585"/>
      <c r="B26" s="1222"/>
      <c r="C26" s="1222"/>
      <c r="D26" s="1222"/>
      <c r="E26" s="626" t="s">
        <v>2828</v>
      </c>
      <c r="F26" s="598" t="s">
        <v>4530</v>
      </c>
      <c r="G26" s="598"/>
      <c r="H26" s="624"/>
      <c r="I26" s="580"/>
      <c r="J26" s="583"/>
      <c r="L26" s="620"/>
    </row>
    <row r="27" spans="1:12" s="579" customFormat="1" ht="10.5" customHeight="1">
      <c r="A27" s="585"/>
      <c r="B27" s="1222"/>
      <c r="C27" s="1222"/>
      <c r="D27" s="1222"/>
      <c r="E27" s="626" t="s">
        <v>2829</v>
      </c>
      <c r="F27" s="1507" t="s">
        <v>4531</v>
      </c>
      <c r="G27" s="598"/>
      <c r="H27" s="624"/>
      <c r="I27" s="580"/>
      <c r="J27" s="583"/>
      <c r="L27" s="620"/>
    </row>
    <row r="28" spans="1:12" s="579" customFormat="1" ht="10.5" customHeight="1">
      <c r="A28" s="585"/>
      <c r="B28" s="1222"/>
      <c r="C28" s="1222"/>
      <c r="D28" s="1222"/>
      <c r="E28" s="626" t="s">
        <v>2959</v>
      </c>
      <c r="F28" s="598" t="s">
        <v>4532</v>
      </c>
      <c r="G28" s="598"/>
      <c r="H28" s="624"/>
      <c r="I28" s="580"/>
      <c r="J28" s="583"/>
      <c r="L28" s="620"/>
    </row>
    <row r="29" spans="1:12" s="579" customFormat="1" ht="10.5" customHeight="1">
      <c r="A29" s="585"/>
      <c r="B29" s="1222"/>
      <c r="C29" s="1222"/>
      <c r="D29" s="1222"/>
      <c r="E29" s="626" t="s">
        <v>2960</v>
      </c>
      <c r="F29" s="598" t="s">
        <v>4533</v>
      </c>
      <c r="G29" s="598"/>
      <c r="H29" s="624"/>
      <c r="I29" s="580"/>
      <c r="J29" s="583"/>
      <c r="L29" s="620"/>
    </row>
    <row r="30" spans="1:12" s="579" customFormat="1" ht="10.5" customHeight="1">
      <c r="A30" s="586" t="s">
        <v>2823</v>
      </c>
      <c r="B30" s="587" t="s">
        <v>2904</v>
      </c>
      <c r="C30" s="587"/>
      <c r="D30" s="587"/>
      <c r="E30" s="629" t="s">
        <v>2825</v>
      </c>
      <c r="F30" s="2144" t="s">
        <v>4508</v>
      </c>
      <c r="G30" s="2144"/>
      <c r="H30" s="2168"/>
      <c r="I30" s="588" t="s">
        <v>3200</v>
      </c>
      <c r="J30" s="589" t="s">
        <v>2905</v>
      </c>
      <c r="K30" s="590" t="s">
        <v>2906</v>
      </c>
      <c r="L30" s="620"/>
    </row>
    <row r="31" spans="1:12" s="579" customFormat="1" ht="10.5" customHeight="1">
      <c r="A31" s="586" t="s">
        <v>2824</v>
      </c>
      <c r="B31" s="587" t="s">
        <v>3990</v>
      </c>
      <c r="C31" s="587"/>
      <c r="D31" s="587" t="s">
        <v>2920</v>
      </c>
      <c r="E31" s="629" t="s">
        <v>2825</v>
      </c>
      <c r="F31" s="591" t="s">
        <v>3989</v>
      </c>
      <c r="G31" s="591"/>
      <c r="H31" s="590"/>
      <c r="I31" s="588"/>
      <c r="J31" s="589"/>
      <c r="K31" s="590"/>
      <c r="L31" s="620"/>
    </row>
    <row r="32" spans="1:12" s="579" customFormat="1" ht="10.5" customHeight="1">
      <c r="A32" s="586" t="s">
        <v>2826</v>
      </c>
      <c r="B32" s="2128" t="s">
        <v>3991</v>
      </c>
      <c r="C32" s="587"/>
      <c r="D32" s="587" t="s">
        <v>2918</v>
      </c>
      <c r="E32" s="629" t="s">
        <v>2825</v>
      </c>
      <c r="F32" s="591" t="s">
        <v>2907</v>
      </c>
      <c r="G32" s="591"/>
      <c r="H32" s="590"/>
      <c r="I32" s="588"/>
      <c r="J32" s="589"/>
      <c r="K32" s="590"/>
      <c r="L32" s="620"/>
    </row>
    <row r="33" spans="1:12" s="579" customFormat="1" ht="21.75" customHeight="1">
      <c r="A33" s="584"/>
      <c r="B33" s="2130"/>
      <c r="C33" s="622"/>
      <c r="D33" s="622"/>
      <c r="E33" s="626" t="s">
        <v>2823</v>
      </c>
      <c r="F33" s="2126" t="s">
        <v>3703</v>
      </c>
      <c r="G33" s="2127"/>
      <c r="H33" s="2147"/>
      <c r="I33" s="623"/>
      <c r="J33" s="664"/>
      <c r="K33" s="598"/>
      <c r="L33" s="620"/>
    </row>
    <row r="34" spans="1:12" s="579" customFormat="1" ht="10.5" customHeight="1">
      <c r="A34" s="585"/>
      <c r="B34" s="1226"/>
      <c r="C34" s="1226"/>
      <c r="D34" s="622" t="s">
        <v>2908</v>
      </c>
      <c r="E34" s="626" t="s">
        <v>2824</v>
      </c>
      <c r="F34" s="1238" t="s">
        <v>3992</v>
      </c>
      <c r="G34" s="598"/>
      <c r="H34" s="624"/>
      <c r="I34" s="580"/>
      <c r="J34" s="583"/>
      <c r="L34" s="620"/>
    </row>
    <row r="35" spans="1:12" s="579" customFormat="1" ht="10.5" customHeight="1">
      <c r="A35" s="586" t="s">
        <v>2827</v>
      </c>
      <c r="B35" s="587" t="s">
        <v>4349</v>
      </c>
      <c r="C35" s="587"/>
      <c r="D35" s="587"/>
      <c r="E35" s="629" t="s">
        <v>2825</v>
      </c>
      <c r="F35" s="591" t="s">
        <v>477</v>
      </c>
      <c r="G35" s="591"/>
      <c r="H35" s="590"/>
      <c r="I35" s="588" t="s">
        <v>377</v>
      </c>
      <c r="J35" s="589"/>
      <c r="K35" s="590" t="s">
        <v>2909</v>
      </c>
      <c r="L35" s="620"/>
    </row>
    <row r="36" spans="1:12" s="579" customFormat="1" ht="10.5" customHeight="1">
      <c r="A36" s="1259" t="s">
        <v>2828</v>
      </c>
      <c r="B36" s="1227" t="s">
        <v>2978</v>
      </c>
      <c r="C36" s="1227"/>
      <c r="D36" s="1227" t="s">
        <v>2908</v>
      </c>
      <c r="E36" s="1228" t="s">
        <v>2825</v>
      </c>
      <c r="F36" s="1251" t="s">
        <v>2910</v>
      </c>
      <c r="G36" s="1251"/>
      <c r="H36" s="1254"/>
      <c r="I36" s="588"/>
      <c r="J36" s="589"/>
      <c r="K36" s="590"/>
      <c r="L36" s="620"/>
    </row>
    <row r="37" spans="1:12" s="579" customFormat="1" ht="10.5" customHeight="1">
      <c r="A37" s="1258" t="s">
        <v>2829</v>
      </c>
      <c r="B37" s="1223" t="s">
        <v>2979</v>
      </c>
      <c r="C37" s="1223"/>
      <c r="D37" s="1223"/>
      <c r="E37" s="1224" t="s">
        <v>2825</v>
      </c>
      <c r="F37" s="635" t="s">
        <v>3993</v>
      </c>
      <c r="G37" s="635"/>
      <c r="H37" s="635"/>
      <c r="I37" s="1229"/>
      <c r="J37" s="1230"/>
      <c r="K37" s="1225"/>
      <c r="L37" s="620"/>
    </row>
    <row r="38" spans="1:12" s="579" customFormat="1" ht="10.5" customHeight="1">
      <c r="A38" s="598"/>
      <c r="B38" s="2142"/>
      <c r="C38" s="2142"/>
      <c r="D38" s="921"/>
      <c r="E38" s="626" t="s">
        <v>2823</v>
      </c>
      <c r="F38" s="598" t="s">
        <v>2911</v>
      </c>
      <c r="G38" s="598"/>
      <c r="H38" s="598"/>
      <c r="I38" s="623"/>
      <c r="J38" s="664"/>
      <c r="K38" s="624"/>
      <c r="L38" s="620"/>
    </row>
    <row r="39" spans="1:12" s="579" customFormat="1" ht="10.5" customHeight="1">
      <c r="A39" s="598"/>
      <c r="B39" s="2142"/>
      <c r="C39" s="2142"/>
      <c r="D39" s="921"/>
      <c r="E39" s="626" t="s">
        <v>2824</v>
      </c>
      <c r="F39" s="598" t="s">
        <v>3995</v>
      </c>
      <c r="G39" s="598"/>
      <c r="H39" s="598"/>
      <c r="I39" s="623"/>
      <c r="J39" s="664"/>
      <c r="K39" s="624"/>
      <c r="L39" s="620"/>
    </row>
    <row r="40" spans="1:12" s="579" customFormat="1" ht="10.5" customHeight="1">
      <c r="A40" s="598"/>
      <c r="B40" s="2142"/>
      <c r="C40" s="2142"/>
      <c r="D40" s="921"/>
      <c r="E40" s="626" t="s">
        <v>2826</v>
      </c>
      <c r="F40" s="598" t="s">
        <v>2974</v>
      </c>
      <c r="G40" s="598"/>
      <c r="H40" s="598"/>
      <c r="I40" s="623"/>
      <c r="J40" s="664"/>
      <c r="K40" s="624"/>
      <c r="L40" s="620"/>
    </row>
    <row r="41" spans="1:12" s="579" customFormat="1" ht="10.5" customHeight="1">
      <c r="A41" s="585"/>
      <c r="B41" s="2142"/>
      <c r="C41" s="2142"/>
      <c r="D41" s="622"/>
      <c r="E41" s="626" t="s">
        <v>2827</v>
      </c>
      <c r="F41" s="598" t="s">
        <v>2514</v>
      </c>
      <c r="G41" s="598"/>
      <c r="H41" s="598"/>
      <c r="I41" s="588"/>
      <c r="J41" s="589"/>
      <c r="K41" s="590"/>
      <c r="L41" s="620"/>
    </row>
    <row r="42" spans="1:12" s="579" customFormat="1" ht="10.5" customHeight="1">
      <c r="A42" s="585"/>
      <c r="B42" s="2142"/>
      <c r="C42" s="2142"/>
      <c r="D42" s="622"/>
      <c r="E42" s="626" t="s">
        <v>2828</v>
      </c>
      <c r="F42" s="598" t="s">
        <v>3994</v>
      </c>
      <c r="G42" s="598"/>
      <c r="H42" s="598"/>
      <c r="I42" s="623"/>
      <c r="J42" s="664"/>
      <c r="K42" s="624"/>
      <c r="L42" s="620"/>
    </row>
    <row r="43" spans="1:12" s="579" customFormat="1" ht="10.5" customHeight="1">
      <c r="A43" s="598"/>
      <c r="B43" s="622"/>
      <c r="C43" s="622"/>
      <c r="D43" s="622"/>
      <c r="E43" s="626" t="s">
        <v>2829</v>
      </c>
      <c r="F43" s="598" t="s">
        <v>513</v>
      </c>
      <c r="G43" s="598"/>
      <c r="H43" s="598"/>
      <c r="I43" s="623"/>
      <c r="J43" s="664"/>
      <c r="K43" s="624"/>
      <c r="L43" s="620"/>
    </row>
    <row r="44" spans="1:12" s="579" customFormat="1" ht="10.5" customHeight="1">
      <c r="A44" s="585"/>
      <c r="B44" s="622"/>
      <c r="C44" s="622"/>
      <c r="D44" s="622"/>
      <c r="E44" s="626" t="s">
        <v>2959</v>
      </c>
      <c r="F44" s="598" t="s">
        <v>678</v>
      </c>
      <c r="G44" s="598"/>
      <c r="H44" s="598"/>
      <c r="I44" s="623"/>
      <c r="J44" s="664"/>
      <c r="K44" s="624"/>
      <c r="L44" s="620"/>
    </row>
    <row r="45" spans="1:12" s="579" customFormat="1" ht="10.5" customHeight="1">
      <c r="A45" s="585"/>
      <c r="B45" s="622"/>
      <c r="C45" s="622"/>
      <c r="D45" s="622"/>
      <c r="E45" s="626" t="s">
        <v>2960</v>
      </c>
      <c r="F45" s="598" t="s">
        <v>1605</v>
      </c>
      <c r="G45" s="598"/>
      <c r="H45" s="598"/>
      <c r="I45" s="623"/>
      <c r="J45" s="664"/>
      <c r="K45" s="624"/>
      <c r="L45" s="620"/>
    </row>
    <row r="46" spans="1:12" s="579" customFormat="1" ht="10.5" customHeight="1">
      <c r="A46" s="598"/>
      <c r="B46" s="622"/>
      <c r="C46" s="622"/>
      <c r="D46" s="622"/>
      <c r="E46" s="626" t="s">
        <v>2984</v>
      </c>
      <c r="F46" s="598" t="s">
        <v>3106</v>
      </c>
      <c r="G46" s="598"/>
      <c r="H46" s="598"/>
      <c r="I46" s="623"/>
      <c r="J46" s="664"/>
      <c r="K46" s="624"/>
      <c r="L46" s="620"/>
    </row>
    <row r="47" spans="1:12" s="579" customFormat="1" ht="10.5" customHeight="1">
      <c r="A47" s="585"/>
      <c r="B47" s="622"/>
      <c r="C47" s="622"/>
      <c r="D47" s="622"/>
      <c r="E47" s="626" t="s">
        <v>3891</v>
      </c>
      <c r="F47" s="598" t="s">
        <v>3105</v>
      </c>
      <c r="G47" s="598"/>
      <c r="H47" s="598"/>
      <c r="I47" s="623"/>
      <c r="J47" s="664"/>
      <c r="K47" s="624"/>
      <c r="L47" s="620"/>
    </row>
    <row r="48" spans="1:12" s="579" customFormat="1" ht="10.5" customHeight="1">
      <c r="A48" s="598"/>
      <c r="B48" s="920"/>
      <c r="C48" s="920"/>
      <c r="D48" s="585"/>
      <c r="E48" s="631" t="s">
        <v>3892</v>
      </c>
      <c r="F48" s="2149" t="s">
        <v>2972</v>
      </c>
      <c r="G48" s="2149"/>
      <c r="H48" s="2149"/>
      <c r="I48" s="2149"/>
      <c r="J48" s="2149"/>
      <c r="K48" s="2150"/>
      <c r="L48" s="620"/>
    </row>
    <row r="49" spans="1:12" s="579" customFormat="1" ht="10.5" customHeight="1">
      <c r="A49" s="586" t="s">
        <v>2959</v>
      </c>
      <c r="B49" s="2138" t="s">
        <v>2912</v>
      </c>
      <c r="C49" s="2138"/>
      <c r="D49" s="594"/>
      <c r="E49" s="629" t="s">
        <v>2825</v>
      </c>
      <c r="F49" s="2169" t="s">
        <v>3875</v>
      </c>
      <c r="G49" s="2169"/>
      <c r="H49" s="2169"/>
      <c r="I49" s="588"/>
      <c r="J49" s="589"/>
      <c r="K49" s="590"/>
      <c r="L49" s="620"/>
    </row>
    <row r="50" spans="1:12" s="579" customFormat="1" ht="10.5" customHeight="1">
      <c r="A50" s="585"/>
      <c r="B50" s="2139"/>
      <c r="C50" s="2139"/>
      <c r="D50" s="622"/>
      <c r="E50" s="626" t="s">
        <v>2823</v>
      </c>
      <c r="F50" s="598" t="s">
        <v>3098</v>
      </c>
      <c r="G50" s="598"/>
      <c r="H50" s="598"/>
      <c r="I50" s="1246" t="s">
        <v>3200</v>
      </c>
      <c r="J50" s="1247" t="s">
        <v>3201</v>
      </c>
      <c r="K50" s="1248" t="s">
        <v>2906</v>
      </c>
      <c r="L50" s="620"/>
    </row>
    <row r="51" spans="1:12" s="579" customFormat="1" ht="10.5" customHeight="1">
      <c r="A51" s="713"/>
      <c r="B51" s="666"/>
      <c r="C51" s="666"/>
      <c r="D51" s="666"/>
      <c r="E51" s="631" t="s">
        <v>2824</v>
      </c>
      <c r="F51" s="667" t="s">
        <v>3707</v>
      </c>
      <c r="G51" s="667"/>
      <c r="H51" s="667"/>
      <c r="I51" s="623"/>
      <c r="J51" s="664"/>
      <c r="K51" s="624"/>
      <c r="L51" s="620"/>
    </row>
    <row r="52" spans="1:12" s="579" customFormat="1" ht="10.5" customHeight="1">
      <c r="A52" s="584" t="s">
        <v>2960</v>
      </c>
      <c r="B52" s="2140" t="s">
        <v>2913</v>
      </c>
      <c r="C52" s="2140"/>
      <c r="D52" s="622"/>
      <c r="E52" s="626" t="s">
        <v>2825</v>
      </c>
      <c r="F52" s="598" t="s">
        <v>3876</v>
      </c>
      <c r="G52" s="598"/>
      <c r="H52" s="598"/>
      <c r="I52" s="588"/>
      <c r="J52" s="589"/>
      <c r="K52" s="590"/>
      <c r="L52" s="620"/>
    </row>
    <row r="53" spans="1:12" s="579" customFormat="1" ht="10.5" customHeight="1">
      <c r="A53" s="584"/>
      <c r="B53" s="2141"/>
      <c r="C53" s="2141"/>
      <c r="D53" s="622"/>
      <c r="E53" s="626" t="s">
        <v>2823</v>
      </c>
      <c r="F53" s="598" t="s">
        <v>3099</v>
      </c>
      <c r="G53" s="598"/>
      <c r="H53" s="598"/>
      <c r="I53" s="623"/>
      <c r="J53" s="664"/>
      <c r="K53" s="624"/>
      <c r="L53" s="620"/>
    </row>
    <row r="54" spans="1:12" s="579" customFormat="1" ht="10.5" customHeight="1">
      <c r="A54" s="665"/>
      <c r="B54" s="666"/>
      <c r="C54" s="666"/>
      <c r="D54" s="666"/>
      <c r="E54" s="631" t="s">
        <v>2824</v>
      </c>
      <c r="F54" s="667" t="s">
        <v>3100</v>
      </c>
      <c r="G54" s="667"/>
      <c r="H54" s="667"/>
      <c r="I54" s="668"/>
      <c r="J54" s="669"/>
      <c r="K54" s="670"/>
      <c r="L54" s="620"/>
    </row>
    <row r="55" spans="1:12" s="579" customFormat="1" ht="10.5" customHeight="1">
      <c r="A55" s="593">
        <v>10</v>
      </c>
      <c r="B55" s="2128" t="s">
        <v>3877</v>
      </c>
      <c r="C55" s="2128"/>
      <c r="D55" s="587"/>
      <c r="E55" s="626" t="s">
        <v>2825</v>
      </c>
      <c r="F55" s="591" t="s">
        <v>3878</v>
      </c>
      <c r="G55" s="591"/>
      <c r="H55" s="591"/>
      <c r="I55" s="588"/>
      <c r="J55" s="589"/>
      <c r="K55" s="590"/>
      <c r="L55" s="620"/>
    </row>
    <row r="56" spans="1:12" s="579" customFormat="1" ht="10.5" customHeight="1">
      <c r="A56" s="585"/>
      <c r="B56" s="2130"/>
      <c r="C56" s="2130"/>
      <c r="D56" s="622"/>
      <c r="E56" s="626" t="s">
        <v>2823</v>
      </c>
      <c r="F56" s="598" t="s">
        <v>3101</v>
      </c>
      <c r="G56" s="598"/>
      <c r="H56" s="598"/>
      <c r="I56" s="623"/>
      <c r="J56" s="664"/>
      <c r="K56" s="624"/>
      <c r="L56" s="620"/>
    </row>
    <row r="57" spans="1:12" s="579" customFormat="1" ht="10.5" customHeight="1">
      <c r="A57" s="585"/>
      <c r="B57" s="622"/>
      <c r="C57" s="622"/>
      <c r="D57" s="622"/>
      <c r="E57" s="626" t="s">
        <v>2824</v>
      </c>
      <c r="F57" s="598" t="s">
        <v>3102</v>
      </c>
      <c r="G57" s="598"/>
      <c r="H57" s="598"/>
      <c r="I57" s="623"/>
      <c r="J57" s="664"/>
      <c r="K57" s="624"/>
      <c r="L57" s="620"/>
    </row>
    <row r="58" spans="1:12" s="579" customFormat="1" ht="10.5" customHeight="1">
      <c r="A58" s="585"/>
      <c r="B58" s="622"/>
      <c r="C58" s="622"/>
      <c r="D58" s="622"/>
      <c r="E58" s="626" t="s">
        <v>2826</v>
      </c>
      <c r="F58" s="598" t="s">
        <v>2914</v>
      </c>
      <c r="G58" s="598"/>
      <c r="H58" s="598"/>
      <c r="I58" s="623"/>
      <c r="J58" s="664"/>
      <c r="K58" s="624"/>
      <c r="L58" s="620"/>
    </row>
    <row r="59" spans="1:12" s="579" customFormat="1">
      <c r="A59" s="593">
        <v>11</v>
      </c>
      <c r="B59" s="2128" t="s">
        <v>3879</v>
      </c>
      <c r="C59" s="2128"/>
      <c r="D59" s="587"/>
      <c r="E59" s="629" t="s">
        <v>2825</v>
      </c>
      <c r="F59" s="2143" t="s">
        <v>4509</v>
      </c>
      <c r="G59" s="2144"/>
      <c r="H59" s="2144"/>
      <c r="I59" s="588"/>
      <c r="J59" s="589"/>
      <c r="K59" s="590"/>
      <c r="L59" s="620"/>
    </row>
    <row r="60" spans="1:12" s="579" customFormat="1" ht="10.5" customHeight="1">
      <c r="A60" s="585"/>
      <c r="B60" s="2130"/>
      <c r="C60" s="2130"/>
      <c r="D60" s="622"/>
      <c r="E60" s="626" t="s">
        <v>2823</v>
      </c>
      <c r="F60" s="598" t="s">
        <v>4510</v>
      </c>
      <c r="G60" s="598"/>
      <c r="H60" s="598"/>
      <c r="I60" s="623"/>
      <c r="J60" s="664"/>
      <c r="K60" s="624"/>
      <c r="L60" s="620"/>
    </row>
    <row r="61" spans="1:12" s="579" customFormat="1" ht="10.5" customHeight="1">
      <c r="A61" s="585"/>
      <c r="B61" s="622"/>
      <c r="C61" s="622"/>
      <c r="D61" s="622"/>
      <c r="E61" s="626" t="s">
        <v>2824</v>
      </c>
      <c r="F61" s="598" t="s">
        <v>2915</v>
      </c>
      <c r="G61" s="598"/>
      <c r="H61" s="598"/>
      <c r="I61" s="623"/>
      <c r="J61" s="664"/>
      <c r="K61" s="624"/>
      <c r="L61" s="620"/>
    </row>
    <row r="62" spans="1:12" s="579" customFormat="1" ht="11.25" customHeight="1">
      <c r="A62" s="593">
        <v>12</v>
      </c>
      <c r="B62" s="2128" t="s">
        <v>4348</v>
      </c>
      <c r="C62" s="2128"/>
      <c r="D62" s="587"/>
      <c r="E62" s="629" t="s">
        <v>2825</v>
      </c>
      <c r="F62" s="591" t="s">
        <v>4347</v>
      </c>
      <c r="G62" s="591"/>
      <c r="H62" s="591"/>
      <c r="I62" s="588"/>
      <c r="J62" s="589"/>
      <c r="K62" s="590"/>
      <c r="L62" s="620"/>
    </row>
    <row r="63" spans="1:12" s="579" customFormat="1" ht="11.25" customHeight="1">
      <c r="A63" s="585"/>
      <c r="B63" s="2130"/>
      <c r="C63" s="2130"/>
      <c r="D63" s="622"/>
      <c r="E63" s="626" t="s">
        <v>2823</v>
      </c>
      <c r="F63" s="598" t="s">
        <v>4511</v>
      </c>
      <c r="G63" s="598"/>
      <c r="H63" s="598"/>
      <c r="I63" s="623"/>
      <c r="J63" s="664"/>
      <c r="K63" s="624"/>
      <c r="L63" s="620"/>
    </row>
    <row r="64" spans="1:12" s="579" customFormat="1" ht="11.25" customHeight="1">
      <c r="A64" s="585"/>
      <c r="B64" s="2132"/>
      <c r="C64" s="2132"/>
      <c r="D64" s="622"/>
      <c r="E64" s="626" t="s">
        <v>2824</v>
      </c>
      <c r="F64" s="598" t="s">
        <v>2915</v>
      </c>
      <c r="G64" s="598"/>
      <c r="H64" s="598"/>
      <c r="I64" s="623"/>
      <c r="J64" s="664"/>
      <c r="K64" s="624"/>
      <c r="L64" s="620"/>
    </row>
    <row r="65" spans="1:12" s="579" customFormat="1" ht="10.5" customHeight="1">
      <c r="A65" s="593">
        <v>13</v>
      </c>
      <c r="B65" s="2128" t="s">
        <v>4350</v>
      </c>
      <c r="C65" s="2128"/>
      <c r="D65" s="2129"/>
      <c r="E65" s="629" t="s">
        <v>2825</v>
      </c>
      <c r="F65" s="591" t="s">
        <v>4351</v>
      </c>
      <c r="G65" s="591"/>
      <c r="H65" s="591"/>
      <c r="I65" s="588"/>
      <c r="J65" s="589"/>
      <c r="K65" s="590"/>
      <c r="L65" s="620"/>
    </row>
    <row r="66" spans="1:12" s="579" customFormat="1" ht="22.5" customHeight="1">
      <c r="A66" s="585"/>
      <c r="B66" s="2130"/>
      <c r="C66" s="2130"/>
      <c r="D66" s="2131"/>
      <c r="E66" s="626" t="s">
        <v>2823</v>
      </c>
      <c r="F66" s="2126" t="s">
        <v>4352</v>
      </c>
      <c r="G66" s="2127"/>
      <c r="H66" s="2127"/>
      <c r="I66" s="623"/>
      <c r="J66" s="664"/>
      <c r="K66" s="624"/>
      <c r="L66" s="620"/>
    </row>
    <row r="67" spans="1:12" s="579" customFormat="1" ht="22.5" customHeight="1">
      <c r="A67" s="585"/>
      <c r="B67" s="2130"/>
      <c r="C67" s="2130"/>
      <c r="D67" s="2131"/>
      <c r="E67" s="626" t="s">
        <v>2824</v>
      </c>
      <c r="F67" s="2126" t="s">
        <v>4353</v>
      </c>
      <c r="G67" s="2127"/>
      <c r="H67" s="2127"/>
      <c r="I67" s="623"/>
      <c r="J67" s="664"/>
      <c r="K67" s="624"/>
      <c r="L67" s="620"/>
    </row>
    <row r="68" spans="1:12" s="579" customFormat="1" ht="10.5" customHeight="1">
      <c r="A68" s="585"/>
      <c r="B68" s="2132"/>
      <c r="C68" s="2132"/>
      <c r="D68" s="2133"/>
      <c r="E68" s="626" t="s">
        <v>2826</v>
      </c>
      <c r="F68" s="598" t="s">
        <v>4354</v>
      </c>
      <c r="G68" s="598"/>
      <c r="H68" s="598"/>
      <c r="I68" s="623"/>
      <c r="J68" s="664"/>
      <c r="K68" s="624"/>
      <c r="L68" s="620"/>
    </row>
    <row r="69" spans="1:12" s="579" customFormat="1" ht="10.5" customHeight="1">
      <c r="A69" s="593">
        <v>14</v>
      </c>
      <c r="B69" s="587" t="s">
        <v>3881</v>
      </c>
      <c r="C69" s="587"/>
      <c r="D69" s="587"/>
      <c r="E69" s="629" t="s">
        <v>2825</v>
      </c>
      <c r="F69" s="591" t="s">
        <v>2916</v>
      </c>
      <c r="G69" s="591"/>
      <c r="H69" s="591"/>
      <c r="I69" s="588"/>
      <c r="J69" s="589"/>
      <c r="K69" s="590"/>
      <c r="L69" s="620"/>
    </row>
    <row r="70" spans="1:12" s="579" customFormat="1" ht="10.5" customHeight="1">
      <c r="A70" s="713"/>
      <c r="B70" s="666"/>
      <c r="C70" s="666"/>
      <c r="D70" s="666"/>
      <c r="E70" s="631" t="s">
        <v>2823</v>
      </c>
      <c r="F70" s="667" t="s">
        <v>3882</v>
      </c>
      <c r="G70" s="667"/>
      <c r="H70" s="667"/>
      <c r="I70" s="588"/>
      <c r="J70" s="589"/>
      <c r="K70" s="590"/>
      <c r="L70" s="620"/>
    </row>
    <row r="71" spans="1:12" s="579" customFormat="1" ht="10.5" customHeight="1">
      <c r="A71" s="593">
        <v>15</v>
      </c>
      <c r="B71" s="2128" t="s">
        <v>2917</v>
      </c>
      <c r="C71" s="2128"/>
      <c r="D71" s="587" t="s">
        <v>2918</v>
      </c>
      <c r="E71" s="629" t="s">
        <v>2825</v>
      </c>
      <c r="F71" s="591" t="s">
        <v>2919</v>
      </c>
      <c r="G71" s="591"/>
      <c r="H71" s="591"/>
      <c r="I71" s="588"/>
      <c r="J71" s="589"/>
      <c r="K71" s="590"/>
      <c r="L71" s="620"/>
    </row>
    <row r="72" spans="1:12" s="579" customFormat="1" ht="10.5" customHeight="1">
      <c r="A72" s="585"/>
      <c r="B72" s="2130"/>
      <c r="C72" s="2130"/>
      <c r="D72" s="622" t="s">
        <v>2908</v>
      </c>
      <c r="E72" s="626" t="s">
        <v>2823</v>
      </c>
      <c r="F72" s="598" t="s">
        <v>3958</v>
      </c>
      <c r="G72" s="598"/>
      <c r="H72" s="598"/>
      <c r="I72" s="623"/>
      <c r="J72" s="664"/>
      <c r="K72" s="624"/>
      <c r="L72" s="620"/>
    </row>
    <row r="73" spans="1:12" s="579" customFormat="1" ht="10.5" customHeight="1">
      <c r="A73" s="585"/>
      <c r="B73" s="2132"/>
      <c r="C73" s="2132"/>
      <c r="D73" s="622" t="s">
        <v>2920</v>
      </c>
      <c r="E73" s="626" t="s">
        <v>2824</v>
      </c>
      <c r="F73" s="598" t="s">
        <v>3959</v>
      </c>
      <c r="G73" s="598"/>
      <c r="H73" s="598"/>
      <c r="I73" s="623"/>
      <c r="J73" s="664"/>
      <c r="K73" s="624"/>
      <c r="L73" s="620"/>
    </row>
    <row r="74" spans="1:12" s="579" customFormat="1" ht="10.5" customHeight="1">
      <c r="A74" s="593">
        <v>16</v>
      </c>
      <c r="B74" s="2128" t="s">
        <v>4355</v>
      </c>
      <c r="C74" s="2128"/>
      <c r="D74" s="2129"/>
      <c r="E74" s="629" t="s">
        <v>2825</v>
      </c>
      <c r="F74" s="591" t="s">
        <v>2921</v>
      </c>
      <c r="G74" s="591"/>
      <c r="H74" s="591"/>
      <c r="I74" s="588"/>
      <c r="J74" s="589"/>
      <c r="K74" s="590"/>
      <c r="L74" s="620"/>
    </row>
    <row r="75" spans="1:12" s="579" customFormat="1" ht="10.5" customHeight="1">
      <c r="A75" s="585"/>
      <c r="B75" s="2130"/>
      <c r="C75" s="2130"/>
      <c r="D75" s="2131"/>
      <c r="E75" s="626" t="s">
        <v>2823</v>
      </c>
      <c r="F75" s="598" t="s">
        <v>2922</v>
      </c>
      <c r="G75" s="598"/>
      <c r="H75" s="598"/>
      <c r="I75" s="623"/>
      <c r="J75" s="664"/>
      <c r="K75" s="624"/>
      <c r="L75" s="620"/>
    </row>
    <row r="76" spans="1:12" s="579" customFormat="1" ht="10.5" customHeight="1">
      <c r="A76" s="585"/>
      <c r="B76" s="2130"/>
      <c r="C76" s="2130"/>
      <c r="D76" s="2131"/>
      <c r="E76" s="626" t="s">
        <v>2824</v>
      </c>
      <c r="F76" s="598" t="s">
        <v>2923</v>
      </c>
      <c r="G76" s="598"/>
      <c r="H76" s="598"/>
      <c r="I76" s="623"/>
      <c r="J76" s="664"/>
      <c r="K76" s="624"/>
      <c r="L76" s="620"/>
    </row>
    <row r="77" spans="1:12" s="579" customFormat="1" ht="10.5" customHeight="1">
      <c r="A77" s="585"/>
      <c r="B77" s="2132"/>
      <c r="C77" s="2132"/>
      <c r="D77" s="2133"/>
      <c r="E77" s="626" t="s">
        <v>2826</v>
      </c>
      <c r="F77" s="598" t="s">
        <v>2924</v>
      </c>
      <c r="G77" s="598"/>
      <c r="H77" s="598"/>
      <c r="I77" s="623"/>
      <c r="J77" s="664"/>
      <c r="K77" s="624"/>
      <c r="L77" s="620"/>
    </row>
    <row r="78" spans="1:12" s="579" customFormat="1">
      <c r="A78" s="1260" t="s">
        <v>2961</v>
      </c>
      <c r="B78" s="2134" t="s">
        <v>3883</v>
      </c>
      <c r="C78" s="2134"/>
      <c r="D78" s="2135"/>
      <c r="E78" s="1228" t="s">
        <v>2825</v>
      </c>
      <c r="F78" s="1249" t="s">
        <v>3996</v>
      </c>
      <c r="G78" s="1250"/>
      <c r="H78" s="1251"/>
      <c r="I78" s="1252"/>
      <c r="J78" s="1253"/>
      <c r="K78" s="1254"/>
      <c r="L78" s="620"/>
    </row>
    <row r="79" spans="1:12" s="579" customFormat="1" ht="10.5" customHeight="1">
      <c r="A79" s="1255" t="s">
        <v>2962</v>
      </c>
      <c r="B79" s="2137" t="s">
        <v>3884</v>
      </c>
      <c r="C79" s="2137"/>
      <c r="D79" s="1223" t="s">
        <v>2918</v>
      </c>
      <c r="E79" s="1245" t="s">
        <v>2825</v>
      </c>
      <c r="F79" s="635" t="s">
        <v>3870</v>
      </c>
      <c r="G79" s="635"/>
      <c r="H79" s="635"/>
      <c r="I79" s="1229"/>
      <c r="J79" s="1230"/>
      <c r="K79" s="1225"/>
      <c r="L79" s="620"/>
    </row>
    <row r="80" spans="1:12" s="579" customFormat="1" ht="10.5" customHeight="1">
      <c r="A80" s="585"/>
      <c r="B80" s="2130"/>
      <c r="C80" s="2130"/>
      <c r="D80" s="622" t="s">
        <v>2908</v>
      </c>
      <c r="E80" s="626" t="s">
        <v>2823</v>
      </c>
      <c r="F80" s="598" t="s">
        <v>3885</v>
      </c>
      <c r="G80" s="598"/>
      <c r="H80" s="598"/>
      <c r="I80" s="623"/>
      <c r="J80" s="664"/>
      <c r="K80" s="624"/>
      <c r="L80" s="620"/>
    </row>
    <row r="81" spans="1:12" s="579" customFormat="1" ht="10.5" customHeight="1">
      <c r="A81" s="593" t="s">
        <v>3886</v>
      </c>
      <c r="B81" s="2128" t="s">
        <v>3887</v>
      </c>
      <c r="C81" s="2128"/>
      <c r="D81" s="587" t="s">
        <v>2980</v>
      </c>
      <c r="E81" s="629" t="s">
        <v>2825</v>
      </c>
      <c r="F81" s="595" t="s">
        <v>2925</v>
      </c>
      <c r="G81" s="596"/>
      <c r="H81" s="591"/>
      <c r="I81" s="588"/>
      <c r="J81" s="589"/>
      <c r="K81" s="590"/>
      <c r="L81" s="620"/>
    </row>
    <row r="82" spans="1:12" s="579" customFormat="1" ht="10.5" customHeight="1">
      <c r="A82" s="585"/>
      <c r="B82" s="2132"/>
      <c r="C82" s="2132"/>
      <c r="D82" s="622"/>
      <c r="E82" s="630" t="s">
        <v>2823</v>
      </c>
      <c r="F82" s="598" t="s">
        <v>3888</v>
      </c>
      <c r="G82" s="598"/>
      <c r="H82" s="598"/>
      <c r="I82" s="623"/>
      <c r="J82" s="664"/>
      <c r="K82" s="624"/>
      <c r="L82" s="620"/>
    </row>
    <row r="83" spans="1:12" s="579" customFormat="1" ht="10.5" customHeight="1">
      <c r="A83" s="593" t="s">
        <v>3889</v>
      </c>
      <c r="B83" s="2128" t="s">
        <v>4356</v>
      </c>
      <c r="C83" s="2128"/>
      <c r="D83" s="587" t="s">
        <v>3803</v>
      </c>
      <c r="E83" s="629" t="s">
        <v>2825</v>
      </c>
      <c r="F83" s="591" t="s">
        <v>2949</v>
      </c>
      <c r="G83" s="591"/>
      <c r="H83" s="591"/>
      <c r="I83" s="588"/>
      <c r="J83" s="589"/>
      <c r="K83" s="590"/>
      <c r="L83" s="620"/>
    </row>
    <row r="84" spans="1:12" s="579" customFormat="1" ht="10.5" customHeight="1">
      <c r="A84" s="585"/>
      <c r="B84" s="2130"/>
      <c r="C84" s="2130"/>
      <c r="D84" s="1417"/>
      <c r="E84" s="626" t="s">
        <v>2823</v>
      </c>
      <c r="F84" s="598" t="s">
        <v>2926</v>
      </c>
      <c r="G84" s="598"/>
      <c r="H84" s="598"/>
      <c r="I84" s="623"/>
      <c r="J84" s="598"/>
      <c r="K84" s="624"/>
      <c r="L84" s="620"/>
    </row>
    <row r="85" spans="1:12" s="579" customFormat="1" ht="10.5" customHeight="1">
      <c r="A85" s="585"/>
      <c r="B85" s="2130"/>
      <c r="C85" s="2130"/>
      <c r="D85" s="1417"/>
      <c r="E85" s="626" t="s">
        <v>2824</v>
      </c>
      <c r="F85" s="598" t="s">
        <v>2927</v>
      </c>
      <c r="G85" s="598"/>
      <c r="H85" s="598"/>
      <c r="I85" s="623"/>
      <c r="J85" s="598"/>
      <c r="K85" s="624"/>
      <c r="L85" s="620"/>
    </row>
    <row r="86" spans="1:12" s="579" customFormat="1" ht="22.5" customHeight="1">
      <c r="A86" s="585"/>
      <c r="B86" s="2130"/>
      <c r="C86" s="2130"/>
      <c r="D86" s="1417" t="s">
        <v>2918</v>
      </c>
      <c r="E86" s="626" t="s">
        <v>2826</v>
      </c>
      <c r="F86" s="2126" t="s">
        <v>4512</v>
      </c>
      <c r="G86" s="2127"/>
      <c r="H86" s="2127"/>
      <c r="I86" s="623"/>
      <c r="J86" s="598"/>
      <c r="K86" s="624"/>
      <c r="L86" s="620"/>
    </row>
    <row r="87" spans="1:12" s="579" customFormat="1" ht="10.5" customHeight="1">
      <c r="A87" s="585"/>
      <c r="B87" s="625"/>
      <c r="C87" s="625"/>
      <c r="D87" s="1417"/>
      <c r="E87" s="626" t="s">
        <v>2827</v>
      </c>
      <c r="F87" s="598" t="s">
        <v>4357</v>
      </c>
      <c r="G87" s="598"/>
      <c r="H87" s="598"/>
      <c r="I87" s="623"/>
      <c r="J87" s="598"/>
      <c r="K87" s="624"/>
      <c r="L87" s="620"/>
    </row>
    <row r="88" spans="1:12" s="579" customFormat="1">
      <c r="A88" s="585"/>
      <c r="B88" s="625"/>
      <c r="C88" s="625"/>
      <c r="D88" s="1417"/>
      <c r="E88" s="626" t="s">
        <v>2828</v>
      </c>
      <c r="F88" s="2126" t="s">
        <v>4358</v>
      </c>
      <c r="G88" s="2127"/>
      <c r="H88" s="2127"/>
      <c r="I88" s="623"/>
      <c r="J88" s="598"/>
      <c r="K88" s="624"/>
      <c r="L88" s="620"/>
    </row>
    <row r="89" spans="1:12" s="579" customFormat="1" ht="10.5" customHeight="1">
      <c r="A89" s="585"/>
      <c r="B89" s="1417"/>
      <c r="C89" s="1417"/>
      <c r="D89" s="1417"/>
      <c r="E89" s="626" t="s">
        <v>2829</v>
      </c>
      <c r="F89" s="598" t="s">
        <v>4359</v>
      </c>
      <c r="G89" s="598"/>
      <c r="H89" s="598"/>
      <c r="I89" s="623"/>
      <c r="J89" s="598"/>
      <c r="K89" s="624"/>
      <c r="L89" s="620"/>
    </row>
    <row r="90" spans="1:12" s="579" customFormat="1" ht="10.5" customHeight="1">
      <c r="A90" s="585"/>
      <c r="B90" s="1417"/>
      <c r="C90" s="1417"/>
      <c r="D90" s="1417" t="s">
        <v>2908</v>
      </c>
      <c r="E90" s="626" t="s">
        <v>2959</v>
      </c>
      <c r="F90" s="2145" t="s">
        <v>4513</v>
      </c>
      <c r="G90" s="2146"/>
      <c r="H90" s="2146"/>
      <c r="I90" s="623"/>
      <c r="J90" s="598"/>
      <c r="K90" s="624"/>
      <c r="L90" s="620"/>
    </row>
    <row r="91" spans="1:12" s="579" customFormat="1">
      <c r="A91" s="585"/>
      <c r="B91" s="1417"/>
      <c r="C91" s="1417"/>
      <c r="D91" s="1417" t="s">
        <v>2920</v>
      </c>
      <c r="E91" s="626" t="s">
        <v>2960</v>
      </c>
      <c r="F91" s="598" t="s">
        <v>3890</v>
      </c>
      <c r="G91" s="598"/>
      <c r="H91" s="598"/>
      <c r="I91" s="623"/>
      <c r="J91" s="598"/>
      <c r="K91" s="624"/>
      <c r="L91" s="620"/>
    </row>
    <row r="92" spans="1:12" s="579" customFormat="1">
      <c r="A92" s="585"/>
      <c r="B92" s="1417"/>
      <c r="C92" s="1417"/>
      <c r="D92" s="1417"/>
      <c r="E92" s="626" t="s">
        <v>2984</v>
      </c>
      <c r="F92" s="2126" t="s">
        <v>4023</v>
      </c>
      <c r="G92" s="2127"/>
      <c r="H92" s="2127"/>
      <c r="I92" s="623"/>
      <c r="J92" s="598"/>
      <c r="K92" s="624"/>
      <c r="L92" s="620"/>
    </row>
    <row r="93" spans="1:12" s="579" customFormat="1" ht="21.75" customHeight="1">
      <c r="A93" s="585"/>
      <c r="B93" s="1417"/>
      <c r="C93" s="1417"/>
      <c r="D93" s="1417"/>
      <c r="E93" s="626" t="s">
        <v>3891</v>
      </c>
      <c r="F93" s="2126" t="s">
        <v>3898</v>
      </c>
      <c r="G93" s="2127"/>
      <c r="H93" s="2127"/>
      <c r="I93" s="623"/>
      <c r="J93" s="598"/>
      <c r="K93" s="624"/>
      <c r="L93" s="620"/>
    </row>
    <row r="94" spans="1:12" s="579" customFormat="1">
      <c r="A94" s="585"/>
      <c r="B94" s="1417"/>
      <c r="C94" s="1417"/>
      <c r="D94" s="1417"/>
      <c r="E94" s="626" t="s">
        <v>3892</v>
      </c>
      <c r="F94" s="2126" t="s">
        <v>4360</v>
      </c>
      <c r="G94" s="2127"/>
      <c r="H94" s="2127"/>
      <c r="I94" s="623"/>
      <c r="J94" s="598"/>
      <c r="K94" s="624"/>
      <c r="L94" s="620"/>
    </row>
    <row r="95" spans="1:12" s="579" customFormat="1" ht="10.5" customHeight="1">
      <c r="A95" s="585"/>
      <c r="B95" s="1417"/>
      <c r="C95" s="1417"/>
      <c r="D95" s="1417"/>
      <c r="E95" s="626" t="s">
        <v>3893</v>
      </c>
      <c r="F95" s="598" t="s">
        <v>4361</v>
      </c>
      <c r="G95" s="598"/>
      <c r="H95" s="598"/>
      <c r="I95" s="623"/>
      <c r="J95" s="598"/>
      <c r="K95" s="624"/>
      <c r="L95" s="620"/>
    </row>
    <row r="96" spans="1:12" s="579" customFormat="1" ht="10.5" customHeight="1">
      <c r="A96" s="585"/>
      <c r="B96" s="625"/>
      <c r="C96" s="625"/>
      <c r="D96" s="622"/>
      <c r="E96" s="626" t="s">
        <v>3962</v>
      </c>
      <c r="F96" s="598" t="s">
        <v>4362</v>
      </c>
      <c r="G96" s="598"/>
      <c r="H96" s="598"/>
      <c r="I96" s="623"/>
      <c r="J96" s="598"/>
      <c r="K96" s="624"/>
      <c r="L96" s="620"/>
    </row>
    <row r="97" spans="1:12" s="579" customFormat="1" ht="10.5" customHeight="1">
      <c r="A97" s="585"/>
      <c r="B97" s="625"/>
      <c r="C97" s="625"/>
      <c r="D97" s="622"/>
      <c r="E97" s="626" t="s">
        <v>3963</v>
      </c>
      <c r="F97" s="598" t="s">
        <v>3894</v>
      </c>
      <c r="G97" s="598"/>
      <c r="H97" s="598"/>
      <c r="I97" s="623"/>
      <c r="J97" s="598"/>
      <c r="K97" s="624"/>
      <c r="L97" s="620"/>
    </row>
    <row r="98" spans="1:12" s="579" customFormat="1">
      <c r="A98" s="585"/>
      <c r="B98" s="625"/>
      <c r="C98" s="625"/>
      <c r="D98" s="622"/>
      <c r="E98" s="626" t="s">
        <v>3964</v>
      </c>
      <c r="F98" s="598" t="s">
        <v>3895</v>
      </c>
      <c r="G98" s="598"/>
      <c r="H98" s="598"/>
      <c r="I98" s="623"/>
      <c r="J98" s="598"/>
      <c r="K98" s="624"/>
      <c r="L98" s="620"/>
    </row>
    <row r="99" spans="1:12" s="579" customFormat="1" ht="10.5" customHeight="1">
      <c r="A99" s="585"/>
      <c r="B99" s="622"/>
      <c r="C99" s="622"/>
      <c r="D99" s="622"/>
      <c r="E99" s="626" t="s">
        <v>2961</v>
      </c>
      <c r="F99" s="598" t="s">
        <v>3896</v>
      </c>
      <c r="G99" s="598"/>
      <c r="H99" s="598"/>
      <c r="I99" s="623"/>
      <c r="J99" s="598"/>
      <c r="K99" s="624"/>
      <c r="L99" s="620"/>
    </row>
    <row r="100" spans="1:12" s="579" customFormat="1" ht="21" customHeight="1">
      <c r="A100" s="585"/>
      <c r="B100" s="622"/>
      <c r="C100" s="622"/>
      <c r="D100" s="622"/>
      <c r="E100" s="626" t="s">
        <v>2962</v>
      </c>
      <c r="F100" s="2126" t="s">
        <v>3897</v>
      </c>
      <c r="G100" s="2127"/>
      <c r="H100" s="2127"/>
      <c r="I100" s="623"/>
      <c r="J100" s="598"/>
      <c r="K100" s="624"/>
      <c r="L100" s="620"/>
    </row>
    <row r="101" spans="1:12" s="579" customFormat="1">
      <c r="A101" s="585"/>
      <c r="B101" s="622"/>
      <c r="C101" s="622"/>
      <c r="D101" s="1417" t="s">
        <v>3109</v>
      </c>
      <c r="E101" s="626" t="s">
        <v>3886</v>
      </c>
      <c r="F101" s="579" t="s">
        <v>4366</v>
      </c>
      <c r="I101" s="623"/>
      <c r="J101" s="598"/>
      <c r="K101" s="624"/>
      <c r="L101" s="620"/>
    </row>
    <row r="102" spans="1:12" s="579" customFormat="1" ht="21.75" customHeight="1">
      <c r="A102" s="585"/>
      <c r="B102" s="622"/>
      <c r="C102" s="622"/>
      <c r="D102" s="622"/>
      <c r="E102" s="626" t="s">
        <v>3889</v>
      </c>
      <c r="F102" s="2126" t="s">
        <v>4367</v>
      </c>
      <c r="G102" s="2194"/>
      <c r="H102" s="2194"/>
      <c r="I102" s="623"/>
      <c r="J102" s="598"/>
      <c r="K102" s="624"/>
      <c r="L102" s="620"/>
    </row>
    <row r="103" spans="1:12" s="579" customFormat="1" ht="10.5" customHeight="1">
      <c r="A103" s="585"/>
      <c r="B103" s="622"/>
      <c r="C103" s="622"/>
      <c r="D103" s="1417" t="s">
        <v>2928</v>
      </c>
      <c r="E103" s="626" t="s">
        <v>4363</v>
      </c>
      <c r="F103" s="598" t="s">
        <v>4368</v>
      </c>
      <c r="G103" s="598"/>
      <c r="H103" s="598"/>
      <c r="I103" s="623"/>
      <c r="J103" s="598"/>
      <c r="K103" s="624"/>
      <c r="L103" s="620"/>
    </row>
    <row r="104" spans="1:12" s="579" customFormat="1" ht="10.5" customHeight="1">
      <c r="A104" s="585"/>
      <c r="B104" s="622"/>
      <c r="C104" s="622"/>
      <c r="D104" s="1417" t="s">
        <v>4369</v>
      </c>
      <c r="E104" s="626" t="s">
        <v>4364</v>
      </c>
      <c r="F104" s="579" t="s">
        <v>4370</v>
      </c>
      <c r="I104" s="623"/>
      <c r="J104" s="598"/>
      <c r="K104" s="624"/>
      <c r="L104" s="620"/>
    </row>
    <row r="105" spans="1:12" s="579" customFormat="1" ht="10.5" customHeight="1">
      <c r="A105" s="585"/>
      <c r="B105" s="622"/>
      <c r="C105" s="622"/>
      <c r="D105" s="622"/>
      <c r="E105" s="626" t="s">
        <v>4365</v>
      </c>
      <c r="F105" s="579" t="s">
        <v>4371</v>
      </c>
      <c r="I105" s="623"/>
      <c r="J105" s="598"/>
      <c r="K105" s="624"/>
      <c r="L105" s="620"/>
    </row>
    <row r="106" spans="1:12" s="579" customFormat="1">
      <c r="A106" s="585"/>
      <c r="B106" s="622"/>
      <c r="C106" s="622"/>
      <c r="D106" s="622"/>
      <c r="E106" s="626" t="s">
        <v>3901</v>
      </c>
      <c r="F106" s="579" t="s">
        <v>4389</v>
      </c>
      <c r="I106" s="623"/>
      <c r="J106" s="598"/>
      <c r="K106" s="624"/>
      <c r="L106" s="620"/>
    </row>
    <row r="107" spans="1:12" s="579" customFormat="1" ht="10.5" customHeight="1">
      <c r="A107" s="585"/>
      <c r="B107" s="1417"/>
      <c r="C107" s="1417"/>
      <c r="D107" s="1417"/>
      <c r="E107" s="626" t="s">
        <v>3902</v>
      </c>
      <c r="F107" s="579" t="s">
        <v>4372</v>
      </c>
      <c r="I107" s="623"/>
      <c r="J107" s="598"/>
      <c r="K107" s="624"/>
      <c r="L107" s="620"/>
    </row>
    <row r="108" spans="1:12" s="579" customFormat="1" ht="10.5" customHeight="1">
      <c r="A108" s="585"/>
      <c r="B108" s="1417"/>
      <c r="C108" s="1417"/>
      <c r="D108" s="1417"/>
      <c r="E108" s="626" t="s">
        <v>4375</v>
      </c>
      <c r="F108" s="579" t="s">
        <v>4373</v>
      </c>
      <c r="I108" s="623"/>
      <c r="J108" s="598"/>
      <c r="K108" s="624"/>
      <c r="L108" s="620"/>
    </row>
    <row r="109" spans="1:12" s="579" customFormat="1">
      <c r="A109" s="585"/>
      <c r="B109" s="1417"/>
      <c r="C109" s="1417"/>
      <c r="D109" s="1417"/>
      <c r="E109" s="626" t="s">
        <v>4376</v>
      </c>
      <c r="F109" s="579" t="s">
        <v>4374</v>
      </c>
      <c r="I109" s="623"/>
      <c r="J109" s="598"/>
      <c r="K109" s="624"/>
      <c r="L109" s="620"/>
    </row>
    <row r="110" spans="1:12" s="579" customFormat="1" ht="10.5" customHeight="1">
      <c r="A110" s="585"/>
      <c r="B110" s="1417"/>
      <c r="C110" s="1417"/>
      <c r="D110" s="1417"/>
      <c r="E110" s="626" t="s">
        <v>4377</v>
      </c>
      <c r="F110" s="579" t="s">
        <v>4381</v>
      </c>
      <c r="I110" s="623"/>
      <c r="J110" s="598"/>
      <c r="K110" s="624"/>
      <c r="L110" s="620"/>
    </row>
    <row r="111" spans="1:12" s="579" customFormat="1" ht="10.5" customHeight="1">
      <c r="A111" s="585"/>
      <c r="B111" s="1417"/>
      <c r="C111" s="1417"/>
      <c r="D111" s="1417"/>
      <c r="E111" s="626" t="s">
        <v>4378</v>
      </c>
      <c r="F111" s="579" t="s">
        <v>4382</v>
      </c>
      <c r="I111" s="623"/>
      <c r="J111" s="598"/>
      <c r="K111" s="624"/>
      <c r="L111" s="620"/>
    </row>
    <row r="112" spans="1:12" s="579" customFormat="1" ht="10.5" customHeight="1">
      <c r="A112" s="593">
        <v>21</v>
      </c>
      <c r="B112" s="2172" t="s">
        <v>4392</v>
      </c>
      <c r="C112" s="1420"/>
      <c r="D112" s="1416" t="s">
        <v>2918</v>
      </c>
      <c r="E112" s="629" t="s">
        <v>4379</v>
      </c>
      <c r="F112" s="2144" t="s">
        <v>4383</v>
      </c>
      <c r="G112" s="2144"/>
      <c r="H112" s="2144"/>
      <c r="I112" s="623"/>
      <c r="J112" s="664"/>
      <c r="K112" s="624"/>
      <c r="L112" s="620"/>
    </row>
    <row r="113" spans="1:12" s="579" customFormat="1" ht="10.5" customHeight="1">
      <c r="A113" s="1419"/>
      <c r="B113" s="2153"/>
      <c r="C113" s="1226"/>
      <c r="D113" s="1417" t="s">
        <v>2908</v>
      </c>
      <c r="E113" s="626"/>
      <c r="F113" s="598" t="s">
        <v>4387</v>
      </c>
      <c r="G113" s="598"/>
      <c r="H113" s="598"/>
      <c r="I113" s="623"/>
      <c r="J113" s="664"/>
      <c r="K113" s="624"/>
      <c r="L113" s="620"/>
    </row>
    <row r="114" spans="1:12" s="579" customFormat="1" ht="10.5" customHeight="1">
      <c r="A114" s="1419"/>
      <c r="B114" s="2153"/>
      <c r="C114" s="1226"/>
      <c r="D114" s="1417"/>
      <c r="E114" s="626"/>
      <c r="F114" s="598" t="s">
        <v>4514</v>
      </c>
      <c r="G114" s="598"/>
      <c r="H114" s="598"/>
      <c r="I114" s="623"/>
      <c r="J114" s="664"/>
      <c r="K114" s="624"/>
      <c r="L114" s="620"/>
    </row>
    <row r="115" spans="1:12" s="579" customFormat="1" ht="10.5" customHeight="1">
      <c r="A115" s="1419"/>
      <c r="B115" s="2153"/>
      <c r="C115" s="1417"/>
      <c r="D115" s="1417"/>
      <c r="E115" s="626"/>
      <c r="F115" s="598" t="s">
        <v>4386</v>
      </c>
      <c r="G115" s="598"/>
      <c r="H115" s="598"/>
      <c r="I115" s="623"/>
      <c r="J115" s="664"/>
      <c r="K115" s="624"/>
      <c r="L115" s="620"/>
    </row>
    <row r="116" spans="1:12" s="579" customFormat="1" ht="10.5" customHeight="1">
      <c r="A116" s="585"/>
      <c r="B116" s="2153"/>
      <c r="C116" s="1417"/>
      <c r="D116" s="1417"/>
      <c r="E116" s="626"/>
      <c r="F116" s="2127" t="s">
        <v>4384</v>
      </c>
      <c r="G116" s="2127"/>
      <c r="H116" s="2127"/>
      <c r="I116" s="623"/>
      <c r="J116" s="664"/>
      <c r="K116" s="624"/>
      <c r="L116" s="620"/>
    </row>
    <row r="117" spans="1:12" s="579" customFormat="1" ht="21.75" customHeight="1">
      <c r="A117" s="585"/>
      <c r="B117" s="1417"/>
      <c r="C117" s="1417"/>
      <c r="D117" s="1417"/>
      <c r="E117" s="626" t="s">
        <v>4380</v>
      </c>
      <c r="F117" s="2126" t="s">
        <v>4385</v>
      </c>
      <c r="G117" s="2194"/>
      <c r="H117" s="2194"/>
      <c r="I117" s="623"/>
      <c r="J117" s="598"/>
      <c r="K117" s="624"/>
      <c r="L117" s="620"/>
    </row>
    <row r="118" spans="1:12" s="579" customFormat="1" ht="10.5" customHeight="1">
      <c r="A118" s="585"/>
      <c r="B118" s="622"/>
      <c r="C118" s="622"/>
      <c r="D118" s="622"/>
      <c r="E118" s="626"/>
      <c r="F118" s="2148" t="s">
        <v>3202</v>
      </c>
      <c r="G118" s="2127"/>
      <c r="H118" s="2127"/>
      <c r="I118" s="623"/>
      <c r="J118" s="664"/>
      <c r="K118" s="624"/>
      <c r="L118" s="620"/>
    </row>
    <row r="119" spans="1:12" s="579" customFormat="1" ht="10.5" customHeight="1">
      <c r="A119" s="585"/>
      <c r="B119" s="622"/>
      <c r="C119" s="622"/>
      <c r="D119" s="622"/>
      <c r="E119" s="626" t="s">
        <v>4388</v>
      </c>
      <c r="F119" s="2149" t="s">
        <v>2972</v>
      </c>
      <c r="G119" s="2149"/>
      <c r="H119" s="2149"/>
      <c r="I119" s="2149"/>
      <c r="J119" s="2149"/>
      <c r="K119" s="2150"/>
      <c r="L119" s="620"/>
    </row>
    <row r="120" spans="1:12" s="579" customFormat="1" ht="10.5" customHeight="1">
      <c r="A120" s="597">
        <v>22</v>
      </c>
      <c r="B120" s="2128" t="s">
        <v>4390</v>
      </c>
      <c r="C120" s="2128"/>
      <c r="D120" s="2129"/>
      <c r="E120" s="629" t="s">
        <v>2825</v>
      </c>
      <c r="F120" s="591" t="s">
        <v>4515</v>
      </c>
      <c r="G120" s="591"/>
      <c r="H120" s="591"/>
      <c r="I120" s="588"/>
      <c r="J120" s="589"/>
      <c r="K120" s="590"/>
      <c r="L120" s="620"/>
    </row>
    <row r="121" spans="1:12" s="579" customFormat="1" ht="10.5" customHeight="1">
      <c r="A121" s="585"/>
      <c r="B121" s="2130"/>
      <c r="C121" s="2130"/>
      <c r="D121" s="2131"/>
      <c r="E121" s="626" t="s">
        <v>2823</v>
      </c>
      <c r="F121" s="1418" t="s">
        <v>3899</v>
      </c>
      <c r="G121" s="598"/>
      <c r="H121" s="598"/>
      <c r="I121" s="623"/>
      <c r="J121" s="664"/>
      <c r="K121" s="624"/>
      <c r="L121" s="620"/>
    </row>
    <row r="122" spans="1:12" s="579" customFormat="1" ht="10.5" customHeight="1">
      <c r="A122" s="585"/>
      <c r="B122" s="2130"/>
      <c r="C122" s="2130"/>
      <c r="D122" s="2131"/>
      <c r="E122" s="626" t="s">
        <v>2824</v>
      </c>
      <c r="F122" s="598" t="s">
        <v>4393</v>
      </c>
      <c r="G122" s="598"/>
      <c r="H122" s="598"/>
      <c r="I122" s="623"/>
      <c r="J122" s="664"/>
      <c r="K122" s="624"/>
      <c r="L122" s="620"/>
    </row>
    <row r="123" spans="1:12" s="579" customFormat="1" ht="22.5" customHeight="1">
      <c r="A123" s="585"/>
      <c r="B123" s="2132"/>
      <c r="C123" s="2132"/>
      <c r="D123" s="2133"/>
      <c r="E123" s="626" t="s">
        <v>2826</v>
      </c>
      <c r="F123" s="2148" t="s">
        <v>3103</v>
      </c>
      <c r="G123" s="2148"/>
      <c r="H123" s="2148"/>
      <c r="I123" s="2148"/>
      <c r="J123" s="2148"/>
      <c r="K123" s="2152"/>
      <c r="L123" s="620"/>
    </row>
    <row r="124" spans="1:12" s="579" customFormat="1" ht="10.5" customHeight="1">
      <c r="A124" s="593">
        <v>23</v>
      </c>
      <c r="B124" s="2128" t="s">
        <v>4394</v>
      </c>
      <c r="C124" s="2128"/>
      <c r="D124" s="2129"/>
      <c r="E124" s="629" t="s">
        <v>2825</v>
      </c>
      <c r="F124" s="591" t="s">
        <v>3900</v>
      </c>
      <c r="G124" s="591"/>
      <c r="H124" s="591"/>
      <c r="I124" s="623"/>
      <c r="J124" s="664"/>
      <c r="K124" s="624"/>
      <c r="L124" s="620"/>
    </row>
    <row r="125" spans="1:12" s="579" customFormat="1" ht="10.5" customHeight="1">
      <c r="A125" s="598"/>
      <c r="B125" s="2130"/>
      <c r="C125" s="2130"/>
      <c r="D125" s="2131"/>
      <c r="E125" s="626" t="s">
        <v>2823</v>
      </c>
      <c r="F125" s="1418" t="s">
        <v>3104</v>
      </c>
      <c r="G125" s="598"/>
      <c r="H125" s="598"/>
      <c r="I125" s="623"/>
      <c r="J125" s="664"/>
      <c r="K125" s="624"/>
      <c r="L125" s="620"/>
    </row>
    <row r="126" spans="1:12" s="579" customFormat="1" ht="10.5" customHeight="1">
      <c r="A126" s="713"/>
      <c r="B126" s="2132"/>
      <c r="C126" s="2132"/>
      <c r="D126" s="2133"/>
      <c r="E126" s="631" t="s">
        <v>2824</v>
      </c>
      <c r="F126" s="1421" t="s">
        <v>2929</v>
      </c>
      <c r="G126" s="667"/>
      <c r="H126" s="667"/>
      <c r="I126" s="623"/>
      <c r="J126" s="664"/>
      <c r="K126" s="624"/>
      <c r="L126" s="620"/>
    </row>
    <row r="127" spans="1:12" s="579" customFormat="1" ht="10.5" customHeight="1">
      <c r="A127" s="1241" t="s">
        <v>3901</v>
      </c>
      <c r="B127" s="2128" t="s">
        <v>4095</v>
      </c>
      <c r="C127" s="2128"/>
      <c r="D127" s="587"/>
      <c r="E127" s="629" t="s">
        <v>2825</v>
      </c>
      <c r="F127" s="591" t="s">
        <v>3203</v>
      </c>
      <c r="G127" s="591"/>
      <c r="H127" s="591"/>
      <c r="I127" s="588"/>
      <c r="J127" s="589"/>
      <c r="K127" s="590"/>
      <c r="L127" s="620"/>
    </row>
    <row r="128" spans="1:12" s="579" customFormat="1" ht="10.5" customHeight="1">
      <c r="A128" s="585"/>
      <c r="B128" s="2130"/>
      <c r="C128" s="2130"/>
      <c r="D128" s="622"/>
      <c r="E128" s="626" t="s">
        <v>2823</v>
      </c>
      <c r="F128" s="598" t="s">
        <v>2930</v>
      </c>
      <c r="G128" s="598"/>
      <c r="H128" s="598"/>
      <c r="I128" s="623"/>
      <c r="J128" s="664"/>
      <c r="K128" s="624"/>
      <c r="L128" s="620"/>
    </row>
    <row r="129" spans="1:12" s="579" customFormat="1" ht="10.5" customHeight="1">
      <c r="A129" s="598"/>
      <c r="B129" s="2130"/>
      <c r="C129" s="2130"/>
      <c r="D129" s="622"/>
      <c r="E129" s="626" t="s">
        <v>2824</v>
      </c>
      <c r="F129" s="598" t="s">
        <v>4395</v>
      </c>
      <c r="G129" s="598"/>
      <c r="H129" s="598"/>
      <c r="I129" s="623"/>
      <c r="J129" s="664"/>
      <c r="K129" s="624"/>
      <c r="L129" s="620"/>
    </row>
    <row r="130" spans="1:12" s="579" customFormat="1" ht="21.75" customHeight="1">
      <c r="A130" s="1261"/>
      <c r="B130" s="636"/>
      <c r="C130" s="1232"/>
      <c r="D130" s="1233"/>
      <c r="E130" s="627" t="s">
        <v>2826</v>
      </c>
      <c r="F130" s="2175" t="s">
        <v>4396</v>
      </c>
      <c r="G130" s="2176"/>
      <c r="H130" s="2176"/>
      <c r="I130" s="1234"/>
      <c r="J130" s="1235"/>
      <c r="K130" s="1236"/>
      <c r="L130" s="620"/>
    </row>
    <row r="131" spans="1:12" s="579" customFormat="1" ht="10.5" customHeight="1">
      <c r="A131" s="1255" t="s">
        <v>3902</v>
      </c>
      <c r="B131" s="2153" t="s">
        <v>4002</v>
      </c>
      <c r="C131" s="2153"/>
      <c r="D131" s="1240"/>
      <c r="E131" s="626" t="s">
        <v>2825</v>
      </c>
      <c r="F131" s="1238" t="s">
        <v>2931</v>
      </c>
      <c r="G131" s="1238"/>
      <c r="H131" s="1239"/>
      <c r="I131" s="623"/>
      <c r="J131" s="664"/>
      <c r="K131" s="598"/>
      <c r="L131" s="620"/>
    </row>
    <row r="132" spans="1:12" s="579" customFormat="1" ht="10.5" customHeight="1">
      <c r="A132" s="1241"/>
      <c r="B132" s="2153"/>
      <c r="C132" s="2153"/>
      <c r="D132" s="1237"/>
      <c r="E132" s="626" t="s">
        <v>2823</v>
      </c>
      <c r="F132" s="1238" t="s">
        <v>1531</v>
      </c>
      <c r="G132" s="1238"/>
      <c r="H132" s="1239"/>
      <c r="I132" s="580"/>
      <c r="J132" s="583"/>
      <c r="L132" s="620"/>
    </row>
    <row r="133" spans="1:12" s="579" customFormat="1" ht="10.5" customHeight="1">
      <c r="A133" s="1241"/>
      <c r="B133" s="2153"/>
      <c r="C133" s="2153"/>
      <c r="D133" s="1240"/>
      <c r="E133" s="626" t="s">
        <v>2824</v>
      </c>
      <c r="F133" s="1238" t="s">
        <v>3998</v>
      </c>
      <c r="G133" s="1238"/>
      <c r="H133" s="1239"/>
      <c r="I133" s="580"/>
      <c r="J133" s="583"/>
      <c r="L133" s="620"/>
    </row>
    <row r="134" spans="1:12" s="579" customFormat="1" ht="10.5" customHeight="1">
      <c r="A134" s="598"/>
      <c r="B134" s="2153"/>
      <c r="C134" s="2153"/>
      <c r="D134" s="1240"/>
      <c r="E134" s="626" t="s">
        <v>2826</v>
      </c>
      <c r="F134" s="1238" t="s">
        <v>4000</v>
      </c>
      <c r="G134" s="1238"/>
      <c r="H134" s="1239"/>
      <c r="I134" s="580"/>
      <c r="J134" s="583"/>
      <c r="L134" s="620"/>
    </row>
    <row r="135" spans="1:12" s="579" customFormat="1" ht="10.5" customHeight="1">
      <c r="A135" s="598"/>
      <c r="B135" s="2153"/>
      <c r="C135" s="2153"/>
      <c r="D135" s="1240"/>
      <c r="E135" s="626" t="s">
        <v>2827</v>
      </c>
      <c r="F135" s="1238" t="s">
        <v>2309</v>
      </c>
      <c r="G135" s="1238"/>
      <c r="H135" s="1239"/>
      <c r="I135" s="580"/>
      <c r="J135" s="583"/>
      <c r="L135" s="620"/>
    </row>
    <row r="136" spans="1:12" s="579" customFormat="1" ht="10.5" customHeight="1">
      <c r="A136" s="1241"/>
      <c r="B136" s="2153"/>
      <c r="C136" s="2153"/>
      <c r="D136" s="1240"/>
      <c r="E136" s="626" t="s">
        <v>2828</v>
      </c>
      <c r="F136" s="1238" t="s">
        <v>3999</v>
      </c>
      <c r="G136" s="1238"/>
      <c r="H136" s="1239"/>
      <c r="I136" s="580"/>
      <c r="J136" s="583"/>
      <c r="L136" s="620"/>
    </row>
    <row r="137" spans="1:12" s="579" customFormat="1" ht="10.5" customHeight="1">
      <c r="A137" s="598"/>
      <c r="B137" s="2153"/>
      <c r="C137" s="2153"/>
      <c r="D137" s="1240"/>
      <c r="E137" s="626" t="s">
        <v>2829</v>
      </c>
      <c r="F137" s="1238" t="s">
        <v>4001</v>
      </c>
      <c r="G137" s="1238"/>
      <c r="H137" s="1239"/>
      <c r="I137" s="580"/>
      <c r="J137" s="583"/>
      <c r="L137" s="620"/>
    </row>
    <row r="138" spans="1:12" s="579" customFormat="1" ht="10.5" customHeight="1">
      <c r="A138" s="1241"/>
      <c r="B138" s="1240"/>
      <c r="C138" s="1240"/>
      <c r="D138" s="1240"/>
      <c r="E138" s="626" t="s">
        <v>2959</v>
      </c>
      <c r="F138" s="1238" t="s">
        <v>2932</v>
      </c>
      <c r="G138" s="1238"/>
      <c r="H138" s="1239"/>
      <c r="I138" s="580"/>
      <c r="J138" s="583"/>
      <c r="L138" s="620"/>
    </row>
    <row r="139" spans="1:12" s="579" customFormat="1" ht="10.5" customHeight="1">
      <c r="A139" s="1241"/>
      <c r="B139" s="1241"/>
      <c r="C139" s="1241"/>
      <c r="D139" s="1241"/>
      <c r="E139" s="626" t="s">
        <v>2960</v>
      </c>
      <c r="F139" s="1238" t="s">
        <v>3997</v>
      </c>
      <c r="G139" s="1238"/>
      <c r="H139" s="1239"/>
      <c r="I139" s="580"/>
      <c r="J139" s="583"/>
      <c r="L139" s="620"/>
    </row>
    <row r="140" spans="1:12" s="579" customFormat="1" ht="10.5" customHeight="1">
      <c r="A140" s="1241"/>
      <c r="B140" s="1241"/>
      <c r="C140" s="1241"/>
      <c r="D140" s="1241"/>
      <c r="E140" s="626" t="s">
        <v>2984</v>
      </c>
      <c r="F140" s="1238" t="s">
        <v>2933</v>
      </c>
      <c r="G140" s="1238"/>
      <c r="H140" s="1239"/>
      <c r="I140" s="580"/>
      <c r="J140" s="583"/>
      <c r="L140" s="621"/>
    </row>
    <row r="141" spans="1:12" s="579" customFormat="1" ht="10.5" customHeight="1">
      <c r="A141" s="1241"/>
      <c r="B141" s="1241"/>
      <c r="C141" s="1241"/>
      <c r="D141" s="1241"/>
      <c r="E141" s="626" t="s">
        <v>3891</v>
      </c>
      <c r="F141" s="1238" t="s">
        <v>2975</v>
      </c>
      <c r="G141" s="1238"/>
      <c r="H141" s="1239"/>
      <c r="I141" s="580"/>
      <c r="J141" s="583"/>
      <c r="L141" s="621"/>
    </row>
    <row r="142" spans="1:12" s="579" customFormat="1" ht="10.5" customHeight="1">
      <c r="A142" s="1242"/>
      <c r="B142" s="1242"/>
      <c r="C142" s="1242"/>
      <c r="D142" s="1242"/>
      <c r="E142" s="627" t="s">
        <v>3892</v>
      </c>
      <c r="F142" s="1243" t="s">
        <v>4397</v>
      </c>
      <c r="G142" s="1243"/>
      <c r="H142" s="1244"/>
      <c r="I142" s="580"/>
      <c r="J142" s="583"/>
      <c r="L142" s="621"/>
    </row>
    <row r="143" spans="1:12" s="598" customFormat="1" ht="10.5" customHeight="1">
      <c r="A143" s="2151" t="s">
        <v>2934</v>
      </c>
      <c r="B143" s="2151"/>
      <c r="C143" s="2151"/>
      <c r="D143" s="2151"/>
      <c r="E143" s="2151"/>
      <c r="F143" s="2151"/>
      <c r="G143" s="2151"/>
      <c r="H143" s="2151"/>
      <c r="I143" s="2151"/>
      <c r="J143" s="2151"/>
      <c r="K143" s="2151"/>
      <c r="L143" s="2151"/>
    </row>
    <row r="144" spans="1:12" s="579" customFormat="1" ht="10.5" customHeight="1">
      <c r="A144" s="1430">
        <v>26</v>
      </c>
      <c r="B144" s="1431" t="s">
        <v>4447</v>
      </c>
      <c r="C144" s="1432"/>
      <c r="D144" s="1433"/>
      <c r="E144" s="1434" t="s">
        <v>2825</v>
      </c>
      <c r="F144" s="1435" t="s">
        <v>4448</v>
      </c>
      <c r="G144" s="1436"/>
      <c r="H144" s="1436"/>
      <c r="I144" s="1229"/>
      <c r="J144" s="1230"/>
      <c r="K144" s="1225"/>
      <c r="L144" s="620"/>
    </row>
    <row r="145" spans="1:12" s="579" customFormat="1" ht="10.5" customHeight="1">
      <c r="A145" s="597">
        <v>27</v>
      </c>
      <c r="B145" s="2130" t="s">
        <v>2981</v>
      </c>
      <c r="C145" s="2130"/>
      <c r="D145" s="671"/>
      <c r="E145" s="626" t="s">
        <v>2825</v>
      </c>
      <c r="F145" s="673" t="s">
        <v>2935</v>
      </c>
      <c r="G145" s="598"/>
      <c r="H145" s="598"/>
      <c r="I145" s="1229"/>
      <c r="J145" s="1230"/>
      <c r="K145" s="1225"/>
      <c r="L145" s="620"/>
    </row>
    <row r="146" spans="1:12" s="579" customFormat="1" ht="10.5" customHeight="1">
      <c r="A146" s="585"/>
      <c r="B146" s="2130"/>
      <c r="C146" s="2130"/>
      <c r="D146" s="671"/>
      <c r="E146" s="626" t="s">
        <v>2823</v>
      </c>
      <c r="F146" s="598" t="s">
        <v>4450</v>
      </c>
      <c r="G146" s="598"/>
      <c r="H146" s="598"/>
      <c r="I146" s="623"/>
      <c r="J146" s="664"/>
      <c r="K146" s="624"/>
      <c r="L146" s="620"/>
    </row>
    <row r="147" spans="1:12" s="579" customFormat="1" ht="10.5" customHeight="1">
      <c r="A147" s="585"/>
      <c r="B147" s="2130"/>
      <c r="C147" s="2130"/>
      <c r="D147" s="622"/>
      <c r="E147" s="626" t="s">
        <v>2824</v>
      </c>
      <c r="F147" s="598" t="s">
        <v>2936</v>
      </c>
      <c r="G147" s="598"/>
      <c r="H147" s="598"/>
      <c r="I147" s="623"/>
      <c r="J147" s="664"/>
      <c r="K147" s="624"/>
      <c r="L147" s="620"/>
    </row>
    <row r="148" spans="1:12" s="579" customFormat="1" ht="10.5" customHeight="1">
      <c r="A148" s="598"/>
      <c r="B148" s="622"/>
      <c r="C148" s="622"/>
      <c r="D148" s="622"/>
      <c r="E148" s="626" t="s">
        <v>2826</v>
      </c>
      <c r="F148" s="2127" t="s">
        <v>4403</v>
      </c>
      <c r="G148" s="2127"/>
      <c r="H148" s="2127"/>
      <c r="I148" s="2127"/>
      <c r="J148" s="2127"/>
      <c r="K148" s="2147"/>
      <c r="L148" s="620"/>
    </row>
    <row r="149" spans="1:12" s="579" customFormat="1" ht="10.5" customHeight="1">
      <c r="A149" s="585"/>
      <c r="B149" s="622"/>
      <c r="C149" s="622"/>
      <c r="D149" s="622"/>
      <c r="E149" s="626" t="s">
        <v>2827</v>
      </c>
      <c r="F149" s="598" t="s">
        <v>4404</v>
      </c>
      <c r="G149" s="598"/>
      <c r="H149" s="598"/>
      <c r="I149" s="623"/>
      <c r="J149" s="664"/>
      <c r="K149" s="624"/>
      <c r="L149" s="620"/>
    </row>
    <row r="150" spans="1:12" s="579" customFormat="1" ht="21.75" customHeight="1">
      <c r="A150" s="713"/>
      <c r="B150" s="666"/>
      <c r="C150" s="666"/>
      <c r="D150" s="666"/>
      <c r="E150" s="631" t="s">
        <v>2828</v>
      </c>
      <c r="F150" s="2173" t="s">
        <v>4405</v>
      </c>
      <c r="G150" s="2174"/>
      <c r="H150" s="2174"/>
      <c r="I150" s="623"/>
      <c r="J150" s="664"/>
      <c r="K150" s="624"/>
      <c r="L150" s="620"/>
    </row>
    <row r="151" spans="1:12" s="579" customFormat="1" ht="10.5" customHeight="1">
      <c r="A151" s="593">
        <v>28</v>
      </c>
      <c r="B151" s="622" t="s">
        <v>2937</v>
      </c>
      <c r="C151" s="622"/>
      <c r="D151" s="622" t="s">
        <v>2918</v>
      </c>
      <c r="E151" s="626" t="s">
        <v>2825</v>
      </c>
      <c r="F151" s="598" t="s">
        <v>4406</v>
      </c>
      <c r="G151" s="598"/>
      <c r="H151" s="598"/>
      <c r="I151" s="588"/>
      <c r="J151" s="589"/>
      <c r="K151" s="590"/>
      <c r="L151" s="620"/>
    </row>
    <row r="152" spans="1:12" s="579" customFormat="1" ht="10.5" customHeight="1">
      <c r="A152" s="585"/>
      <c r="B152" s="622"/>
      <c r="C152" s="622"/>
      <c r="D152" s="671"/>
      <c r="E152" s="626"/>
      <c r="F152" s="598" t="s">
        <v>4408</v>
      </c>
      <c r="G152" s="598"/>
      <c r="H152" s="598"/>
      <c r="I152" s="623"/>
      <c r="J152" s="664"/>
      <c r="K152" s="624"/>
      <c r="L152" s="620"/>
    </row>
    <row r="153" spans="1:12" s="579" customFormat="1" ht="22.5" customHeight="1">
      <c r="A153" s="585"/>
      <c r="B153" s="622"/>
      <c r="C153" s="622"/>
      <c r="D153" s="914" t="s">
        <v>3960</v>
      </c>
      <c r="E153" s="626" t="s">
        <v>2823</v>
      </c>
      <c r="F153" s="2126" t="s">
        <v>4407</v>
      </c>
      <c r="G153" s="2127"/>
      <c r="H153" s="2127"/>
      <c r="I153" s="623"/>
      <c r="J153" s="664"/>
      <c r="K153" s="624"/>
      <c r="L153" s="620"/>
    </row>
    <row r="154" spans="1:12" s="579" customFormat="1" ht="10.5" customHeight="1">
      <c r="A154" s="598"/>
      <c r="B154" s="622"/>
      <c r="C154" s="622"/>
      <c r="D154" s="914"/>
      <c r="E154" s="626"/>
      <c r="F154" s="673" t="s">
        <v>4494</v>
      </c>
      <c r="G154" s="598"/>
      <c r="H154" s="598"/>
      <c r="I154" s="598"/>
      <c r="J154" s="598"/>
      <c r="K154" s="624"/>
      <c r="L154" s="620"/>
    </row>
    <row r="155" spans="1:12" s="579" customFormat="1" ht="10.5" customHeight="1">
      <c r="A155" s="598"/>
      <c r="B155" s="622"/>
      <c r="C155" s="622"/>
      <c r="D155" s="914"/>
      <c r="E155" s="626"/>
      <c r="F155" s="598" t="s">
        <v>4495</v>
      </c>
      <c r="G155" s="598"/>
      <c r="H155" s="598"/>
      <c r="I155" s="598"/>
      <c r="J155" s="598"/>
      <c r="K155" s="624"/>
      <c r="L155" s="620"/>
    </row>
    <row r="156" spans="1:12" s="579" customFormat="1" ht="10.5" customHeight="1">
      <c r="A156" s="598"/>
      <c r="B156" s="622"/>
      <c r="C156" s="622"/>
      <c r="D156" s="914"/>
      <c r="E156" s="626"/>
      <c r="F156" s="2126" t="s">
        <v>4409</v>
      </c>
      <c r="G156" s="2127"/>
      <c r="H156" s="2127"/>
      <c r="I156" s="598"/>
      <c r="J156" s="598"/>
      <c r="K156" s="624"/>
      <c r="L156" s="620"/>
    </row>
    <row r="157" spans="1:12" s="579" customFormat="1" ht="10.5" customHeight="1">
      <c r="A157" s="598"/>
      <c r="B157" s="622"/>
      <c r="C157" s="622"/>
      <c r="D157" s="914"/>
      <c r="E157" s="626"/>
      <c r="F157" s="2173" t="s">
        <v>4496</v>
      </c>
      <c r="G157" s="2174"/>
      <c r="H157" s="2174"/>
      <c r="I157" s="598"/>
      <c r="J157" s="598"/>
      <c r="K157" s="624"/>
      <c r="L157" s="620"/>
    </row>
    <row r="158" spans="1:12" s="579" customFormat="1" ht="10.5" customHeight="1">
      <c r="A158" s="593">
        <v>29</v>
      </c>
      <c r="B158" s="587" t="s">
        <v>2938</v>
      </c>
      <c r="C158" s="587"/>
      <c r="D158" s="587"/>
      <c r="E158" s="629" t="s">
        <v>2825</v>
      </c>
      <c r="F158" s="591" t="s">
        <v>489</v>
      </c>
      <c r="G158" s="591"/>
      <c r="H158" s="591"/>
      <c r="I158" s="588"/>
      <c r="J158" s="589"/>
      <c r="K158" s="590"/>
      <c r="L158" s="620"/>
    </row>
    <row r="159" spans="1:12" s="579" customFormat="1" ht="21.75" customHeight="1">
      <c r="A159" s="585"/>
      <c r="B159" s="622"/>
      <c r="C159" s="622"/>
      <c r="D159" s="622"/>
      <c r="E159" s="626" t="s">
        <v>2823</v>
      </c>
      <c r="F159" s="2127" t="s">
        <v>4410</v>
      </c>
      <c r="G159" s="2127"/>
      <c r="H159" s="2127"/>
      <c r="I159" s="2127"/>
      <c r="J159" s="2127"/>
      <c r="K159" s="2147"/>
      <c r="L159" s="620"/>
    </row>
    <row r="160" spans="1:12" s="579" customFormat="1" ht="10.5" customHeight="1">
      <c r="A160" s="585"/>
      <c r="B160" s="622"/>
      <c r="C160" s="622"/>
      <c r="D160" s="622"/>
      <c r="E160" s="626" t="s">
        <v>2824</v>
      </c>
      <c r="F160" s="1216" t="s">
        <v>3904</v>
      </c>
      <c r="G160" s="1216"/>
      <c r="H160" s="1216"/>
      <c r="I160" s="1216"/>
      <c r="J160" s="1216"/>
      <c r="K160" s="1215"/>
      <c r="L160" s="620"/>
    </row>
    <row r="161" spans="1:12" s="579" customFormat="1" ht="10.5" customHeight="1">
      <c r="A161" s="585"/>
      <c r="B161" s="622"/>
      <c r="C161" s="622"/>
      <c r="D161" s="622"/>
      <c r="E161" s="626" t="s">
        <v>2826</v>
      </c>
      <c r="F161" s="598" t="s">
        <v>2939</v>
      </c>
      <c r="G161" s="598"/>
      <c r="H161" s="598"/>
      <c r="I161" s="623"/>
      <c r="J161" s="664"/>
      <c r="K161" s="624"/>
      <c r="L161" s="620"/>
    </row>
    <row r="162" spans="1:12" s="579" customFormat="1" ht="10.5" customHeight="1">
      <c r="A162" s="598"/>
      <c r="B162" s="622"/>
      <c r="C162" s="622"/>
      <c r="D162" s="622"/>
      <c r="E162" s="626" t="s">
        <v>2827</v>
      </c>
      <c r="F162" s="598" t="s">
        <v>2940</v>
      </c>
      <c r="G162" s="598"/>
      <c r="H162" s="598"/>
      <c r="I162" s="623"/>
      <c r="J162" s="664"/>
      <c r="K162" s="624"/>
      <c r="L162" s="620"/>
    </row>
    <row r="163" spans="1:12" s="579" customFormat="1" ht="10.5" customHeight="1">
      <c r="A163" s="585"/>
      <c r="B163" s="666"/>
      <c r="C163" s="666"/>
      <c r="D163" s="666"/>
      <c r="E163" s="631" t="s">
        <v>2828</v>
      </c>
      <c r="F163" s="667" t="s">
        <v>2941</v>
      </c>
      <c r="G163" s="667"/>
      <c r="H163" s="667"/>
      <c r="I163" s="623"/>
      <c r="J163" s="664"/>
      <c r="K163" s="624"/>
      <c r="L163" s="620"/>
    </row>
    <row r="164" spans="1:12" s="579" customFormat="1" ht="10.5" customHeight="1">
      <c r="A164" s="593">
        <v>30</v>
      </c>
      <c r="B164" s="2128" t="s">
        <v>2942</v>
      </c>
      <c r="C164" s="2128"/>
      <c r="D164" s="587" t="s">
        <v>2985</v>
      </c>
      <c r="E164" s="629" t="s">
        <v>2825</v>
      </c>
      <c r="F164" s="591" t="s">
        <v>4415</v>
      </c>
      <c r="G164" s="591"/>
      <c r="H164" s="591"/>
      <c r="I164" s="588"/>
      <c r="J164" s="589"/>
      <c r="K164" s="590"/>
      <c r="L164" s="620"/>
    </row>
    <row r="165" spans="1:12" s="579" customFormat="1" ht="22.5" customHeight="1">
      <c r="A165" s="585"/>
      <c r="B165" s="2130"/>
      <c r="C165" s="2130"/>
      <c r="D165" s="622"/>
      <c r="E165" s="626"/>
      <c r="F165" s="2126" t="s">
        <v>4497</v>
      </c>
      <c r="G165" s="2127"/>
      <c r="H165" s="2127"/>
      <c r="I165" s="623"/>
      <c r="J165" s="664"/>
      <c r="K165" s="624"/>
      <c r="L165" s="620"/>
    </row>
    <row r="166" spans="1:12" s="579" customFormat="1" ht="11.25" customHeight="1">
      <c r="A166" s="585"/>
      <c r="B166" s="1422"/>
      <c r="C166" s="1422"/>
      <c r="D166" s="1425"/>
      <c r="E166" s="626"/>
      <c r="F166" s="673" t="s">
        <v>4416</v>
      </c>
      <c r="G166" s="598"/>
      <c r="H166" s="598"/>
      <c r="I166" s="623"/>
      <c r="J166" s="664"/>
      <c r="K166" s="624"/>
      <c r="L166" s="620"/>
    </row>
    <row r="167" spans="1:12" s="579" customFormat="1" ht="11.25" customHeight="1">
      <c r="A167" s="585"/>
      <c r="B167" s="1422"/>
      <c r="C167" s="1422"/>
      <c r="D167" s="1425"/>
      <c r="E167" s="626"/>
      <c r="F167" s="673" t="s">
        <v>4417</v>
      </c>
      <c r="G167" s="598"/>
      <c r="H167" s="598"/>
      <c r="I167" s="623"/>
      <c r="J167" s="664"/>
      <c r="K167" s="624"/>
      <c r="L167" s="620"/>
    </row>
    <row r="168" spans="1:12" s="579" customFormat="1" ht="21.75" customHeight="1">
      <c r="A168" s="585"/>
      <c r="B168" s="598"/>
      <c r="C168" s="1226"/>
      <c r="D168" s="622" t="s">
        <v>2983</v>
      </c>
      <c r="E168" s="626" t="s">
        <v>2823</v>
      </c>
      <c r="F168" s="2126" t="s">
        <v>4418</v>
      </c>
      <c r="G168" s="2127"/>
      <c r="H168" s="2127"/>
      <c r="I168" s="623"/>
      <c r="J168" s="664"/>
      <c r="K168" s="624"/>
      <c r="L168" s="620"/>
    </row>
    <row r="169" spans="1:12" s="579" customFormat="1" ht="10.5" customHeight="1">
      <c r="A169" s="598"/>
      <c r="B169" s="598"/>
      <c r="C169" s="598"/>
      <c r="D169" s="622"/>
      <c r="E169" s="630"/>
      <c r="F169" s="598" t="s">
        <v>4424</v>
      </c>
      <c r="G169" s="598"/>
      <c r="H169" s="598"/>
      <c r="I169" s="623"/>
      <c r="J169" s="664"/>
      <c r="K169" s="624"/>
      <c r="L169" s="620"/>
    </row>
    <row r="170" spans="1:12" s="579" customFormat="1" ht="21.75" customHeight="1">
      <c r="A170" s="598"/>
      <c r="B170" s="598"/>
      <c r="C170" s="598"/>
      <c r="D170" s="622"/>
      <c r="E170" s="630"/>
      <c r="F170" s="2181" t="s">
        <v>4423</v>
      </c>
      <c r="G170" s="2182"/>
      <c r="H170" s="2182"/>
      <c r="I170" s="623"/>
      <c r="J170" s="664"/>
      <c r="K170" s="624"/>
      <c r="L170" s="620"/>
    </row>
    <row r="171" spans="1:12" s="579" customFormat="1">
      <c r="A171" s="598"/>
      <c r="B171" s="598"/>
      <c r="C171" s="598"/>
      <c r="D171" s="1425"/>
      <c r="E171" s="630"/>
      <c r="F171" s="1427" t="s">
        <v>4422</v>
      </c>
      <c r="G171" s="1423"/>
      <c r="H171" s="1423"/>
      <c r="I171" s="623"/>
      <c r="J171" s="664"/>
      <c r="K171" s="624"/>
      <c r="L171" s="620"/>
    </row>
    <row r="172" spans="1:12" s="579" customFormat="1" ht="22.5" customHeight="1">
      <c r="A172" s="598"/>
      <c r="B172" s="598"/>
      <c r="C172" s="598"/>
      <c r="D172" s="1425"/>
      <c r="E172" s="630"/>
      <c r="F172" s="2181" t="s">
        <v>4421</v>
      </c>
      <c r="G172" s="2182"/>
      <c r="H172" s="2182"/>
      <c r="I172" s="623"/>
      <c r="J172" s="664"/>
      <c r="K172" s="624"/>
      <c r="L172" s="620"/>
    </row>
    <row r="173" spans="1:12" s="579" customFormat="1" ht="10.5" customHeight="1">
      <c r="A173" s="598"/>
      <c r="B173" s="598"/>
      <c r="C173" s="1226"/>
      <c r="D173" s="1425" t="s">
        <v>2908</v>
      </c>
      <c r="E173" s="626" t="s">
        <v>2824</v>
      </c>
      <c r="F173" s="598" t="s">
        <v>4420</v>
      </c>
      <c r="G173" s="598"/>
      <c r="H173" s="598"/>
      <c r="I173" s="1234"/>
      <c r="J173" s="1235"/>
      <c r="K173" s="1236"/>
      <c r="L173" s="620"/>
    </row>
    <row r="174" spans="1:12" s="579" customFormat="1" ht="10.5" customHeight="1">
      <c r="A174" s="598"/>
      <c r="B174" s="598"/>
      <c r="C174" s="1226"/>
      <c r="D174" s="1425"/>
      <c r="E174" s="626"/>
      <c r="F174" s="598" t="s">
        <v>4419</v>
      </c>
      <c r="G174" s="598"/>
      <c r="H174" s="598"/>
      <c r="I174" s="623"/>
      <c r="J174" s="664"/>
      <c r="K174" s="624"/>
      <c r="L174" s="620"/>
    </row>
    <row r="175" spans="1:12" s="579" customFormat="1" ht="22.5" customHeight="1">
      <c r="A175" s="598"/>
      <c r="B175" s="598"/>
      <c r="C175" s="1226"/>
      <c r="D175" s="1425"/>
      <c r="E175" s="626"/>
      <c r="F175" s="2175" t="s">
        <v>4425</v>
      </c>
      <c r="G175" s="2176"/>
      <c r="H175" s="2176"/>
      <c r="I175" s="623"/>
      <c r="J175" s="664"/>
      <c r="K175" s="624"/>
      <c r="L175" s="620"/>
    </row>
    <row r="176" spans="1:12" s="579" customFormat="1" ht="11.25" customHeight="1">
      <c r="A176" s="1255">
        <v>31</v>
      </c>
      <c r="B176" s="2137" t="s">
        <v>2982</v>
      </c>
      <c r="C176" s="1428"/>
      <c r="D176" s="1231" t="s">
        <v>2918</v>
      </c>
      <c r="E176" s="1224" t="s">
        <v>2825</v>
      </c>
      <c r="F176" s="635" t="s">
        <v>4426</v>
      </c>
      <c r="G176" s="635"/>
      <c r="H176" s="635"/>
      <c r="I176" s="1229"/>
      <c r="J176" s="1230"/>
      <c r="K176" s="1225"/>
      <c r="L176" s="620"/>
    </row>
    <row r="177" spans="1:12" s="579" customFormat="1" ht="11.25" customHeight="1">
      <c r="A177" s="585"/>
      <c r="B177" s="2130"/>
      <c r="C177" s="625"/>
      <c r="D177" s="598"/>
      <c r="E177" s="626"/>
      <c r="F177" s="598" t="s">
        <v>4411</v>
      </c>
      <c r="G177" s="598"/>
      <c r="H177" s="598"/>
      <c r="I177" s="623"/>
      <c r="J177" s="664"/>
      <c r="K177" s="624"/>
      <c r="L177" s="620"/>
    </row>
    <row r="178" spans="1:12" s="579" customFormat="1" ht="11.25" customHeight="1">
      <c r="A178" s="585"/>
      <c r="B178" s="2130"/>
      <c r="C178" s="625"/>
      <c r="D178" s="1425" t="s">
        <v>2908</v>
      </c>
      <c r="E178" s="626" t="s">
        <v>2823</v>
      </c>
      <c r="F178" s="598" t="s">
        <v>4426</v>
      </c>
      <c r="G178" s="598"/>
      <c r="H178" s="598"/>
      <c r="I178" s="623"/>
      <c r="J178" s="664"/>
      <c r="K178" s="624"/>
      <c r="L178" s="620"/>
    </row>
    <row r="179" spans="1:12" s="579" customFormat="1" ht="11.25" customHeight="1">
      <c r="A179" s="585"/>
      <c r="B179" s="2130"/>
      <c r="C179" s="625"/>
      <c r="D179" s="598"/>
      <c r="E179" s="626"/>
      <c r="F179" s="598" t="s">
        <v>4427</v>
      </c>
      <c r="G179" s="598"/>
      <c r="H179" s="598"/>
      <c r="I179" s="623"/>
      <c r="J179" s="664"/>
      <c r="K179" s="624"/>
      <c r="L179" s="620"/>
    </row>
    <row r="180" spans="1:12" s="579" customFormat="1" ht="11.25" customHeight="1">
      <c r="A180" s="585"/>
      <c r="B180" s="625"/>
      <c r="C180" s="625"/>
      <c r="D180" s="585" t="s">
        <v>2920</v>
      </c>
      <c r="E180" s="626" t="s">
        <v>2824</v>
      </c>
      <c r="F180" s="598" t="s">
        <v>4498</v>
      </c>
      <c r="G180" s="598"/>
      <c r="H180" s="598"/>
      <c r="I180" s="623"/>
      <c r="J180" s="664"/>
      <c r="K180" s="624"/>
      <c r="L180" s="620"/>
    </row>
    <row r="181" spans="1:12" s="579" customFormat="1" ht="10.5" customHeight="1">
      <c r="A181" s="593">
        <v>32</v>
      </c>
      <c r="B181" s="2128" t="s">
        <v>3905</v>
      </c>
      <c r="C181" s="2128"/>
      <c r="D181" s="587" t="s">
        <v>2918</v>
      </c>
      <c r="E181" s="629" t="s">
        <v>2825</v>
      </c>
      <c r="F181" s="672" t="s">
        <v>4004</v>
      </c>
      <c r="G181" s="591"/>
      <c r="H181" s="591"/>
      <c r="I181" s="588"/>
      <c r="J181" s="589"/>
      <c r="K181" s="590"/>
      <c r="L181" s="620"/>
    </row>
    <row r="182" spans="1:12" s="579" customFormat="1" ht="10.5" customHeight="1">
      <c r="A182" s="585"/>
      <c r="B182" s="2130"/>
      <c r="C182" s="2130"/>
      <c r="D182" s="2131" t="s">
        <v>3907</v>
      </c>
      <c r="E182" s="626" t="s">
        <v>2823</v>
      </c>
      <c r="F182" s="673" t="s">
        <v>4003</v>
      </c>
      <c r="G182" s="598"/>
      <c r="H182" s="598"/>
      <c r="I182" s="623"/>
      <c r="J182" s="664"/>
      <c r="K182" s="624"/>
      <c r="L182" s="620"/>
    </row>
    <row r="183" spans="1:12" s="579" customFormat="1" ht="10.5" customHeight="1">
      <c r="A183" s="585"/>
      <c r="B183" s="2130"/>
      <c r="C183" s="2130"/>
      <c r="D183" s="2131"/>
      <c r="E183" s="630"/>
      <c r="F183" s="598" t="s">
        <v>4428</v>
      </c>
      <c r="G183" s="598"/>
      <c r="H183" s="598"/>
      <c r="I183" s="623"/>
      <c r="J183" s="664"/>
      <c r="K183" s="624"/>
      <c r="L183" s="620"/>
    </row>
    <row r="184" spans="1:12" s="579" customFormat="1" ht="10.5" customHeight="1">
      <c r="A184" s="585"/>
      <c r="B184" s="2130"/>
      <c r="C184" s="2130"/>
      <c r="D184" s="598"/>
      <c r="E184" s="630"/>
      <c r="F184" s="598" t="s">
        <v>3107</v>
      </c>
      <c r="G184" s="598"/>
      <c r="H184" s="598"/>
      <c r="I184" s="623"/>
      <c r="J184" s="664"/>
      <c r="K184" s="624"/>
      <c r="L184" s="620"/>
    </row>
    <row r="185" spans="1:12" s="579" customFormat="1" ht="22.5" customHeight="1">
      <c r="A185" s="585"/>
      <c r="B185" s="625"/>
      <c r="C185" s="598"/>
      <c r="D185" s="598"/>
      <c r="E185" s="630"/>
      <c r="F185" s="2126" t="s">
        <v>4429</v>
      </c>
      <c r="G185" s="2127"/>
      <c r="H185" s="2127"/>
      <c r="I185" s="623"/>
      <c r="J185" s="664"/>
      <c r="K185" s="624"/>
      <c r="L185" s="620"/>
    </row>
    <row r="186" spans="1:12" s="579" customFormat="1" ht="10.5" customHeight="1">
      <c r="A186" s="585"/>
      <c r="B186" s="625"/>
      <c r="C186" s="622"/>
      <c r="D186" s="585"/>
      <c r="E186" s="630"/>
      <c r="F186" s="598" t="s">
        <v>3906</v>
      </c>
      <c r="G186" s="598"/>
      <c r="H186" s="598"/>
      <c r="I186" s="623"/>
      <c r="J186" s="664"/>
      <c r="K186" s="624"/>
      <c r="L186" s="620"/>
    </row>
    <row r="187" spans="1:12" s="579" customFormat="1" ht="33.75" customHeight="1">
      <c r="A187" s="585"/>
      <c r="B187" s="625"/>
      <c r="C187" s="1425"/>
      <c r="D187" s="585"/>
      <c r="E187" s="630"/>
      <c r="F187" s="2126" t="s">
        <v>4430</v>
      </c>
      <c r="G187" s="2127"/>
      <c r="H187" s="2127"/>
      <c r="I187" s="623"/>
      <c r="J187" s="664"/>
      <c r="K187" s="624"/>
      <c r="L187" s="620"/>
    </row>
    <row r="188" spans="1:12" s="579" customFormat="1" ht="10.5" customHeight="1">
      <c r="A188" s="585"/>
      <c r="B188" s="598"/>
      <c r="C188" s="1226"/>
      <c r="D188" s="598"/>
      <c r="E188" s="630"/>
      <c r="F188" s="598" t="s">
        <v>4431</v>
      </c>
      <c r="G188" s="598"/>
      <c r="H188" s="598"/>
      <c r="I188" s="623"/>
      <c r="J188" s="664"/>
      <c r="K188" s="624"/>
      <c r="L188" s="620"/>
    </row>
    <row r="189" spans="1:12" s="579" customFormat="1" ht="10.5" customHeight="1">
      <c r="A189" s="585"/>
      <c r="B189" s="598"/>
      <c r="C189" s="622"/>
      <c r="D189" s="585" t="s">
        <v>2920</v>
      </c>
      <c r="E189" s="626" t="s">
        <v>2824</v>
      </c>
      <c r="F189" s="598" t="s">
        <v>4432</v>
      </c>
      <c r="G189" s="598"/>
      <c r="H189" s="598"/>
      <c r="I189" s="623"/>
      <c r="J189" s="664"/>
      <c r="K189" s="624"/>
      <c r="L189" s="620"/>
    </row>
    <row r="190" spans="1:12" s="579" customFormat="1" ht="10.5" customHeight="1">
      <c r="A190" s="585"/>
      <c r="B190" s="598"/>
      <c r="C190" s="598"/>
      <c r="D190" s="622"/>
      <c r="E190" s="630"/>
      <c r="F190" s="598" t="s">
        <v>3108</v>
      </c>
      <c r="G190" s="598"/>
      <c r="H190" s="598"/>
      <c r="I190" s="623"/>
      <c r="J190" s="664"/>
      <c r="K190" s="624"/>
      <c r="L190" s="620"/>
    </row>
    <row r="191" spans="1:12" s="579" customFormat="1" ht="10.5" customHeight="1">
      <c r="A191" s="593">
        <v>33</v>
      </c>
      <c r="B191" s="2128" t="s">
        <v>3111</v>
      </c>
      <c r="C191" s="2128"/>
      <c r="D191" s="587" t="s">
        <v>2918</v>
      </c>
      <c r="E191" s="629" t="s">
        <v>2825</v>
      </c>
      <c r="F191" s="591" t="s">
        <v>3110</v>
      </c>
      <c r="G191" s="591"/>
      <c r="H191" s="591"/>
      <c r="I191" s="588"/>
      <c r="J191" s="589"/>
      <c r="K191" s="590"/>
      <c r="L191" s="620"/>
    </row>
    <row r="192" spans="1:12" s="579" customFormat="1" ht="10.5" customHeight="1">
      <c r="A192" s="585"/>
      <c r="B192" s="2130"/>
      <c r="C192" s="2130"/>
      <c r="D192" s="622"/>
      <c r="E192" s="626"/>
      <c r="F192" s="2127" t="s">
        <v>4501</v>
      </c>
      <c r="G192" s="2127"/>
      <c r="H192" s="2127"/>
      <c r="I192" s="2127"/>
      <c r="J192" s="2127"/>
      <c r="K192" s="2147"/>
      <c r="L192" s="620"/>
    </row>
    <row r="193" spans="1:12" s="579" customFormat="1" ht="10.5" customHeight="1">
      <c r="A193" s="593">
        <v>34</v>
      </c>
      <c r="B193" s="2128" t="s">
        <v>4499</v>
      </c>
      <c r="C193" s="2128"/>
      <c r="D193" s="1483" t="s">
        <v>2918</v>
      </c>
      <c r="E193" s="629" t="s">
        <v>2825</v>
      </c>
      <c r="F193" s="591" t="s">
        <v>4433</v>
      </c>
      <c r="G193" s="591"/>
      <c r="H193" s="591"/>
      <c r="I193" s="588"/>
      <c r="J193" s="589"/>
      <c r="K193" s="590"/>
      <c r="L193" s="620"/>
    </row>
    <row r="194" spans="1:12" s="579" customFormat="1" ht="10.5" customHeight="1">
      <c r="A194" s="713"/>
      <c r="B194" s="2132"/>
      <c r="C194" s="2132"/>
      <c r="D194" s="713" t="s">
        <v>2908</v>
      </c>
      <c r="E194" s="631" t="s">
        <v>2823</v>
      </c>
      <c r="F194" s="667" t="s">
        <v>4500</v>
      </c>
      <c r="G194" s="667"/>
      <c r="H194" s="667"/>
      <c r="I194" s="588"/>
      <c r="J194" s="589"/>
      <c r="K194" s="590"/>
      <c r="L194" s="620"/>
    </row>
    <row r="195" spans="1:12" s="579" customFormat="1" ht="10.5" customHeight="1">
      <c r="A195" s="593">
        <v>35</v>
      </c>
      <c r="B195" s="2128" t="s">
        <v>3908</v>
      </c>
      <c r="C195" s="2128"/>
      <c r="D195" s="587"/>
      <c r="E195" s="629" t="s">
        <v>2825</v>
      </c>
      <c r="F195" s="591" t="s">
        <v>2943</v>
      </c>
      <c r="G195" s="591"/>
      <c r="H195" s="591"/>
      <c r="I195" s="588"/>
      <c r="J195" s="589"/>
      <c r="K195" s="590"/>
      <c r="L195" s="620"/>
    </row>
    <row r="196" spans="1:12" s="579" customFormat="1" ht="10.5" customHeight="1">
      <c r="A196" s="585"/>
      <c r="B196" s="2130"/>
      <c r="C196" s="2130"/>
      <c r="D196" s="622"/>
      <c r="E196" s="626" t="s">
        <v>2823</v>
      </c>
      <c r="F196" s="598" t="s">
        <v>4006</v>
      </c>
      <c r="G196" s="598"/>
      <c r="H196" s="598"/>
      <c r="I196" s="623"/>
      <c r="J196" s="664"/>
      <c r="K196" s="624"/>
      <c r="L196" s="620"/>
    </row>
    <row r="197" spans="1:12" s="579" customFormat="1" ht="10.5" customHeight="1">
      <c r="A197" s="585"/>
      <c r="B197" s="2130"/>
      <c r="C197" s="2130"/>
      <c r="D197" s="622"/>
      <c r="E197" s="626" t="s">
        <v>2824</v>
      </c>
      <c r="F197" s="598" t="s">
        <v>4434</v>
      </c>
      <c r="G197" s="598"/>
      <c r="H197" s="598"/>
      <c r="I197" s="623"/>
      <c r="J197" s="664"/>
      <c r="K197" s="624"/>
      <c r="L197" s="620"/>
    </row>
    <row r="198" spans="1:12" s="579" customFormat="1" ht="10.5" customHeight="1">
      <c r="A198" s="585"/>
      <c r="B198" s="622"/>
      <c r="C198" s="622"/>
      <c r="D198" s="622"/>
      <c r="E198" s="626" t="s">
        <v>2826</v>
      </c>
      <c r="F198" s="598" t="s">
        <v>3112</v>
      </c>
      <c r="G198" s="598"/>
      <c r="H198" s="598"/>
      <c r="I198" s="623"/>
      <c r="J198" s="664"/>
      <c r="K198" s="624"/>
      <c r="L198" s="620"/>
    </row>
    <row r="199" spans="1:12" s="579" customFormat="1" ht="22.5" customHeight="1">
      <c r="A199" s="593">
        <v>36</v>
      </c>
      <c r="B199" s="2128" t="s">
        <v>3113</v>
      </c>
      <c r="C199" s="2128"/>
      <c r="D199" s="1424" t="s">
        <v>2918</v>
      </c>
      <c r="E199" s="629" t="s">
        <v>2825</v>
      </c>
      <c r="F199" s="2143" t="s">
        <v>4435</v>
      </c>
      <c r="G199" s="2144"/>
      <c r="H199" s="2144"/>
      <c r="I199" s="588"/>
      <c r="J199" s="589"/>
      <c r="K199" s="590"/>
      <c r="L199" s="620"/>
    </row>
    <row r="200" spans="1:12" s="579" customFormat="1" ht="10.5" customHeight="1">
      <c r="A200" s="585"/>
      <c r="B200" s="2130"/>
      <c r="C200" s="2130"/>
      <c r="D200" s="1425"/>
      <c r="E200" s="626" t="s">
        <v>2823</v>
      </c>
      <c r="F200" s="598" t="s">
        <v>3909</v>
      </c>
      <c r="G200" s="598"/>
      <c r="H200" s="598"/>
      <c r="I200" s="588"/>
      <c r="J200" s="589"/>
      <c r="K200" s="590"/>
      <c r="L200" s="620"/>
    </row>
    <row r="201" spans="1:12" s="579" customFormat="1" ht="10.5" customHeight="1">
      <c r="A201" s="585"/>
      <c r="B201" s="2130"/>
      <c r="C201" s="2130"/>
      <c r="D201" s="1425"/>
      <c r="E201" s="626" t="s">
        <v>2824</v>
      </c>
      <c r="F201" s="598" t="s">
        <v>3910</v>
      </c>
      <c r="G201" s="598"/>
      <c r="H201" s="598"/>
      <c r="I201" s="588"/>
      <c r="J201" s="589"/>
      <c r="K201" s="590"/>
      <c r="L201" s="620"/>
    </row>
    <row r="202" spans="1:12" s="579" customFormat="1" ht="10.5" customHeight="1">
      <c r="A202" s="585"/>
      <c r="B202" s="1425"/>
      <c r="C202" s="1425"/>
      <c r="D202" s="1425"/>
      <c r="E202" s="626" t="s">
        <v>2826</v>
      </c>
      <c r="F202" s="598" t="s">
        <v>3911</v>
      </c>
      <c r="G202" s="598"/>
      <c r="H202" s="598"/>
      <c r="I202" s="588"/>
      <c r="J202" s="589"/>
      <c r="K202" s="590"/>
      <c r="L202" s="620"/>
    </row>
    <row r="203" spans="1:12" s="579" customFormat="1" ht="10.5" customHeight="1">
      <c r="A203" s="713"/>
      <c r="B203" s="666"/>
      <c r="C203" s="666"/>
      <c r="D203" s="713" t="s">
        <v>2908</v>
      </c>
      <c r="E203" s="631" t="s">
        <v>2827</v>
      </c>
      <c r="F203" s="667" t="s">
        <v>4436</v>
      </c>
      <c r="G203" s="667"/>
      <c r="H203" s="667"/>
      <c r="I203" s="623"/>
      <c r="J203" s="664"/>
      <c r="K203" s="624"/>
      <c r="L203" s="620"/>
    </row>
    <row r="204" spans="1:12" s="579" customFormat="1" ht="10.5" customHeight="1">
      <c r="A204" s="593">
        <v>37</v>
      </c>
      <c r="B204" s="2130" t="s">
        <v>3114</v>
      </c>
      <c r="C204" s="2130"/>
      <c r="D204" s="622" t="s">
        <v>2918</v>
      </c>
      <c r="E204" s="626" t="s">
        <v>2825</v>
      </c>
      <c r="F204" s="598" t="s">
        <v>3912</v>
      </c>
      <c r="G204" s="598"/>
      <c r="H204" s="598"/>
      <c r="I204" s="588"/>
      <c r="J204" s="589"/>
      <c r="K204" s="590"/>
      <c r="L204" s="620"/>
    </row>
    <row r="205" spans="1:12" s="579" customFormat="1" ht="10.5" customHeight="1">
      <c r="A205" s="585"/>
      <c r="B205" s="2130"/>
      <c r="C205" s="2130"/>
      <c r="D205" s="622"/>
      <c r="E205" s="626"/>
      <c r="F205" s="598" t="s">
        <v>3913</v>
      </c>
      <c r="G205" s="598"/>
      <c r="H205" s="598"/>
      <c r="I205" s="623"/>
      <c r="J205" s="664"/>
      <c r="K205" s="624"/>
      <c r="L205" s="620"/>
    </row>
    <row r="206" spans="1:12" s="579" customFormat="1" ht="10.5" customHeight="1">
      <c r="A206" s="585"/>
      <c r="B206" s="2130"/>
      <c r="C206" s="2130"/>
      <c r="D206" s="585" t="s">
        <v>2908</v>
      </c>
      <c r="E206" s="626" t="s">
        <v>2823</v>
      </c>
      <c r="F206" s="598" t="s">
        <v>4502</v>
      </c>
      <c r="G206" s="598"/>
      <c r="H206" s="598"/>
      <c r="I206" s="623"/>
      <c r="J206" s="664"/>
      <c r="K206" s="624"/>
      <c r="L206" s="620"/>
    </row>
    <row r="207" spans="1:12" s="579" customFormat="1" ht="10.5" customHeight="1">
      <c r="A207" s="585"/>
      <c r="B207" s="622"/>
      <c r="C207" s="622"/>
      <c r="D207" s="622" t="s">
        <v>2920</v>
      </c>
      <c r="E207" s="626" t="s">
        <v>2824</v>
      </c>
      <c r="F207" s="598" t="s">
        <v>3914</v>
      </c>
      <c r="G207" s="598"/>
      <c r="H207" s="598"/>
      <c r="I207" s="623"/>
      <c r="J207" s="664"/>
      <c r="K207" s="624"/>
      <c r="L207" s="620"/>
    </row>
    <row r="208" spans="1:12" s="579" customFormat="1" ht="10.5" customHeight="1">
      <c r="A208" s="585"/>
      <c r="B208" s="622"/>
      <c r="C208" s="622"/>
      <c r="D208" s="622"/>
      <c r="E208" s="626"/>
      <c r="F208" s="598" t="s">
        <v>3915</v>
      </c>
      <c r="G208" s="598"/>
      <c r="H208" s="598"/>
      <c r="I208" s="623"/>
      <c r="J208" s="664"/>
      <c r="K208" s="624"/>
      <c r="L208" s="620"/>
    </row>
    <row r="209" spans="1:12" s="579" customFormat="1" ht="10.5" customHeight="1">
      <c r="A209" s="585"/>
      <c r="B209" s="622"/>
      <c r="C209" s="622"/>
      <c r="D209" s="622"/>
      <c r="E209" s="626"/>
      <c r="F209" s="598" t="s">
        <v>3916</v>
      </c>
      <c r="G209" s="598"/>
      <c r="H209" s="598"/>
      <c r="I209" s="623"/>
      <c r="J209" s="664"/>
      <c r="K209" s="624"/>
      <c r="L209" s="620"/>
    </row>
    <row r="210" spans="1:12" s="579" customFormat="1" ht="10.5" customHeight="1">
      <c r="A210" s="585"/>
      <c r="B210" s="622"/>
      <c r="C210" s="622"/>
      <c r="D210" s="622"/>
      <c r="E210" s="626"/>
      <c r="F210" s="598" t="s">
        <v>3917</v>
      </c>
      <c r="G210" s="598"/>
      <c r="H210" s="598"/>
      <c r="I210" s="623"/>
      <c r="J210" s="664"/>
      <c r="K210" s="624"/>
      <c r="L210" s="620"/>
    </row>
    <row r="211" spans="1:12" s="579" customFormat="1" ht="10.5" customHeight="1">
      <c r="A211" s="585"/>
      <c r="B211" s="622"/>
      <c r="C211" s="622"/>
      <c r="D211" s="622"/>
      <c r="E211" s="626"/>
      <c r="F211" s="598" t="s">
        <v>3918</v>
      </c>
      <c r="G211" s="598"/>
      <c r="H211" s="598"/>
      <c r="I211" s="623"/>
      <c r="J211" s="664"/>
      <c r="K211" s="624"/>
      <c r="L211" s="620"/>
    </row>
    <row r="212" spans="1:12" s="579" customFormat="1" ht="10.5" customHeight="1">
      <c r="A212" s="713"/>
      <c r="B212" s="666"/>
      <c r="C212" s="666"/>
      <c r="D212" s="667"/>
      <c r="E212" s="631"/>
      <c r="F212" s="667" t="s">
        <v>3919</v>
      </c>
      <c r="G212" s="667"/>
      <c r="H212" s="667"/>
      <c r="I212" s="623"/>
      <c r="J212" s="664"/>
      <c r="K212" s="624"/>
      <c r="L212" s="620"/>
    </row>
    <row r="213" spans="1:12" s="579" customFormat="1" ht="10.5" customHeight="1">
      <c r="A213" s="593">
        <v>38</v>
      </c>
      <c r="B213" s="2128" t="s">
        <v>3920</v>
      </c>
      <c r="C213" s="2128"/>
      <c r="D213" s="587"/>
      <c r="E213" s="629" t="s">
        <v>2825</v>
      </c>
      <c r="F213" s="591" t="s">
        <v>3921</v>
      </c>
      <c r="G213" s="591"/>
      <c r="H213" s="591"/>
      <c r="I213" s="588"/>
      <c r="J213" s="591"/>
      <c r="K213" s="590"/>
      <c r="L213" s="620"/>
    </row>
    <row r="214" spans="1:12" s="579" customFormat="1" ht="21.75" customHeight="1">
      <c r="A214" s="585"/>
      <c r="B214" s="2130"/>
      <c r="C214" s="2130"/>
      <c r="D214" s="622"/>
      <c r="E214" s="626" t="s">
        <v>2823</v>
      </c>
      <c r="F214" s="2126" t="s">
        <v>3922</v>
      </c>
      <c r="G214" s="2127"/>
      <c r="H214" s="2127"/>
      <c r="I214" s="623"/>
      <c r="J214" s="664"/>
      <c r="K214" s="624"/>
      <c r="L214" s="620"/>
    </row>
    <row r="215" spans="1:12" s="579" customFormat="1" ht="10.5" customHeight="1">
      <c r="A215" s="585"/>
      <c r="B215" s="2130"/>
      <c r="C215" s="2130"/>
      <c r="D215" s="622"/>
      <c r="E215" s="626" t="s">
        <v>2824</v>
      </c>
      <c r="F215" s="598" t="s">
        <v>3923</v>
      </c>
      <c r="G215" s="598"/>
      <c r="H215" s="598"/>
      <c r="I215" s="623"/>
      <c r="J215" s="664"/>
      <c r="K215" s="624"/>
      <c r="L215" s="620"/>
    </row>
    <row r="216" spans="1:12" s="579" customFormat="1" ht="10.5" customHeight="1">
      <c r="A216" s="585"/>
      <c r="B216" s="622"/>
      <c r="C216" s="622"/>
      <c r="D216" s="622"/>
      <c r="E216" s="626" t="s">
        <v>2826</v>
      </c>
      <c r="F216" s="598" t="s">
        <v>3924</v>
      </c>
      <c r="G216" s="598"/>
      <c r="H216" s="598"/>
      <c r="I216" s="623"/>
      <c r="J216" s="664"/>
      <c r="K216" s="624"/>
      <c r="L216" s="620"/>
    </row>
    <row r="217" spans="1:12" s="579" customFormat="1" ht="10.5" customHeight="1">
      <c r="A217" s="585"/>
      <c r="B217" s="622"/>
      <c r="C217" s="622"/>
      <c r="D217" s="622"/>
      <c r="E217" s="626" t="s">
        <v>2827</v>
      </c>
      <c r="F217" s="598" t="s">
        <v>3925</v>
      </c>
      <c r="G217" s="598"/>
      <c r="H217" s="598"/>
      <c r="I217" s="623"/>
      <c r="J217" s="664"/>
      <c r="K217" s="624"/>
      <c r="L217" s="620"/>
    </row>
    <row r="218" spans="1:12" s="579" customFormat="1" ht="10.5" customHeight="1">
      <c r="A218" s="585"/>
      <c r="B218" s="622"/>
      <c r="C218" s="622"/>
      <c r="D218" s="622"/>
      <c r="E218" s="626" t="s">
        <v>2828</v>
      </c>
      <c r="F218" s="598" t="s">
        <v>3926</v>
      </c>
      <c r="G218" s="598"/>
      <c r="H218" s="598"/>
      <c r="I218" s="623"/>
      <c r="J218" s="664"/>
      <c r="K218" s="624"/>
      <c r="L218" s="620"/>
    </row>
    <row r="219" spans="1:12" s="579" customFormat="1" ht="10.5" customHeight="1">
      <c r="A219" s="585"/>
      <c r="B219" s="622"/>
      <c r="C219" s="622"/>
      <c r="D219" s="622"/>
      <c r="E219" s="631" t="s">
        <v>2829</v>
      </c>
      <c r="F219" s="598" t="s">
        <v>3927</v>
      </c>
      <c r="G219" s="598"/>
      <c r="H219" s="598"/>
      <c r="I219" s="623"/>
      <c r="J219" s="664"/>
      <c r="K219" s="624"/>
      <c r="L219" s="620"/>
    </row>
    <row r="220" spans="1:12" s="579" customFormat="1" ht="10.5" customHeight="1">
      <c r="A220" s="593" t="s">
        <v>3120</v>
      </c>
      <c r="B220" s="2192" t="s">
        <v>3115</v>
      </c>
      <c r="C220" s="2192"/>
      <c r="D220" s="1483" t="s">
        <v>2908</v>
      </c>
      <c r="E220" s="629" t="s">
        <v>2825</v>
      </c>
      <c r="F220" s="2188" t="s">
        <v>4503</v>
      </c>
      <c r="G220" s="2189"/>
      <c r="H220" s="2189"/>
      <c r="I220" s="2189"/>
      <c r="J220" s="2189"/>
      <c r="K220" s="2190"/>
      <c r="L220" s="620"/>
    </row>
    <row r="221" spans="1:12" s="579" customFormat="1" ht="10.5" customHeight="1">
      <c r="A221" s="585"/>
      <c r="B221" s="2193"/>
      <c r="C221" s="2193"/>
      <c r="D221" s="1484"/>
      <c r="E221" s="626" t="s">
        <v>2823</v>
      </c>
      <c r="F221" s="1492" t="s">
        <v>4504</v>
      </c>
      <c r="G221" s="1492"/>
      <c r="H221" s="1492"/>
      <c r="I221" s="1494"/>
      <c r="J221" s="1494"/>
      <c r="K221" s="1495"/>
      <c r="L221" s="620"/>
    </row>
    <row r="222" spans="1:12" s="579" customFormat="1" ht="10.5" customHeight="1">
      <c r="A222" s="713"/>
      <c r="B222" s="1491"/>
      <c r="C222" s="1491"/>
      <c r="D222" s="666"/>
      <c r="E222" s="631" t="s">
        <v>2824</v>
      </c>
      <c r="F222" s="1496" t="s">
        <v>4505</v>
      </c>
      <c r="G222" s="1494"/>
      <c r="H222" s="1494"/>
      <c r="I222" s="1492"/>
      <c r="J222" s="1492"/>
      <c r="K222" s="1493"/>
      <c r="L222" s="620"/>
    </row>
    <row r="223" spans="1:12" s="579" customFormat="1" ht="10.5" customHeight="1">
      <c r="A223" s="585" t="s">
        <v>3121</v>
      </c>
      <c r="B223" s="2130" t="s">
        <v>3116</v>
      </c>
      <c r="C223" s="2130"/>
      <c r="D223" s="622" t="s">
        <v>2918</v>
      </c>
      <c r="E223" s="626" t="s">
        <v>2825</v>
      </c>
      <c r="F223" s="598" t="s">
        <v>488</v>
      </c>
      <c r="G223" s="598"/>
      <c r="H223" s="624"/>
      <c r="I223" s="623"/>
      <c r="J223" s="664"/>
      <c r="K223" s="624"/>
      <c r="L223" s="620"/>
    </row>
    <row r="224" spans="1:12" s="579" customFormat="1" ht="10.5" customHeight="1">
      <c r="A224" s="585"/>
      <c r="B224" s="2130"/>
      <c r="C224" s="2130"/>
      <c r="D224" s="622"/>
      <c r="E224" s="626" t="s">
        <v>2823</v>
      </c>
      <c r="F224" s="598" t="s">
        <v>444</v>
      </c>
      <c r="G224" s="598"/>
      <c r="H224" s="624"/>
      <c r="I224" s="580"/>
      <c r="J224" s="583"/>
      <c r="L224" s="620"/>
    </row>
    <row r="225" spans="1:12" s="579" customFormat="1" ht="10.5" customHeight="1">
      <c r="A225" s="585"/>
      <c r="B225" s="2130"/>
      <c r="C225" s="2130"/>
      <c r="D225" s="622"/>
      <c r="E225" s="626" t="s">
        <v>2824</v>
      </c>
      <c r="F225" s="598" t="s">
        <v>2944</v>
      </c>
      <c r="G225" s="598"/>
      <c r="H225" s="624"/>
      <c r="I225" s="580"/>
      <c r="J225" s="583"/>
      <c r="L225" s="620"/>
    </row>
    <row r="226" spans="1:12" s="579" customFormat="1" ht="10.5" customHeight="1">
      <c r="A226" s="585"/>
      <c r="B226" s="598"/>
      <c r="C226" s="1226"/>
      <c r="D226" s="2131" t="s">
        <v>3907</v>
      </c>
      <c r="E226" s="626" t="s">
        <v>2826</v>
      </c>
      <c r="F226" s="598" t="s">
        <v>2945</v>
      </c>
      <c r="G226" s="598"/>
      <c r="H226" s="624"/>
      <c r="I226" s="580"/>
      <c r="J226" s="583"/>
      <c r="L226" s="620"/>
    </row>
    <row r="227" spans="1:12" s="579" customFormat="1" ht="10.5" customHeight="1">
      <c r="A227" s="585"/>
      <c r="B227" s="622"/>
      <c r="C227" s="622"/>
      <c r="D227" s="2133"/>
      <c r="E227" s="626" t="s">
        <v>2827</v>
      </c>
      <c r="F227" s="598" t="s">
        <v>3117</v>
      </c>
      <c r="G227" s="598"/>
      <c r="H227" s="624"/>
      <c r="I227" s="580"/>
      <c r="J227" s="583"/>
      <c r="L227" s="620"/>
    </row>
    <row r="228" spans="1:12" s="579" customFormat="1" ht="10.5" customHeight="1">
      <c r="A228" s="593" t="s">
        <v>3123</v>
      </c>
      <c r="B228" s="587" t="s">
        <v>3118</v>
      </c>
      <c r="C228" s="587"/>
      <c r="D228" s="587" t="s">
        <v>4437</v>
      </c>
      <c r="E228" s="629" t="s">
        <v>2825</v>
      </c>
      <c r="F228" s="591" t="s">
        <v>3119</v>
      </c>
      <c r="G228" s="591"/>
      <c r="H228" s="590"/>
      <c r="I228" s="588"/>
      <c r="J228" s="589"/>
      <c r="K228" s="590"/>
      <c r="L228" s="620"/>
    </row>
    <row r="229" spans="1:12" s="579" customFormat="1" ht="10.5" customHeight="1">
      <c r="A229" s="585"/>
      <c r="B229" s="1425"/>
      <c r="C229" s="1425"/>
      <c r="D229" s="1425" t="s">
        <v>2908</v>
      </c>
      <c r="E229" s="626" t="s">
        <v>2823</v>
      </c>
      <c r="F229" s="598" t="s">
        <v>4438</v>
      </c>
      <c r="G229" s="598"/>
      <c r="H229" s="624"/>
      <c r="I229" s="623"/>
      <c r="J229" s="664"/>
      <c r="K229" s="598"/>
      <c r="L229" s="620"/>
    </row>
    <row r="230" spans="1:12" s="579" customFormat="1" ht="22.5" customHeight="1">
      <c r="A230" s="585"/>
      <c r="B230" s="598"/>
      <c r="C230" s="1226"/>
      <c r="D230" s="622" t="s">
        <v>3109</v>
      </c>
      <c r="E230" s="626" t="s">
        <v>2824</v>
      </c>
      <c r="F230" s="2126" t="s">
        <v>4439</v>
      </c>
      <c r="G230" s="2127"/>
      <c r="H230" s="2147"/>
      <c r="I230" s="580"/>
      <c r="J230" s="583"/>
      <c r="L230" s="620"/>
    </row>
    <row r="231" spans="1:12" s="579" customFormat="1" ht="10.5" customHeight="1">
      <c r="A231" s="585"/>
      <c r="B231" s="598"/>
      <c r="C231" s="1226"/>
      <c r="D231" s="622" t="s">
        <v>2928</v>
      </c>
      <c r="E231" s="626" t="s">
        <v>2826</v>
      </c>
      <c r="F231" s="598" t="s">
        <v>3204</v>
      </c>
      <c r="G231" s="598"/>
      <c r="H231" s="624"/>
      <c r="I231" s="580"/>
      <c r="J231" s="583"/>
      <c r="L231" s="620"/>
    </row>
    <row r="232" spans="1:12" s="579" customFormat="1" ht="10.5" customHeight="1">
      <c r="A232" s="585"/>
      <c r="B232" s="598"/>
      <c r="C232" s="1226"/>
      <c r="D232" s="622" t="s">
        <v>3930</v>
      </c>
      <c r="E232" s="626" t="s">
        <v>2827</v>
      </c>
      <c r="F232" s="598" t="s">
        <v>3931</v>
      </c>
      <c r="G232" s="598"/>
      <c r="H232" s="624"/>
      <c r="I232" s="580"/>
      <c r="J232" s="583"/>
      <c r="L232" s="620"/>
    </row>
    <row r="233" spans="1:12" s="579" customFormat="1" ht="10.5" customHeight="1">
      <c r="A233" s="585"/>
      <c r="B233" s="598"/>
      <c r="C233" s="1226"/>
      <c r="D233" s="622" t="s">
        <v>3928</v>
      </c>
      <c r="E233" s="626" t="s">
        <v>2827</v>
      </c>
      <c r="F233" s="598" t="s">
        <v>3929</v>
      </c>
      <c r="G233" s="598"/>
      <c r="H233" s="624"/>
      <c r="I233" s="580"/>
      <c r="J233" s="583"/>
      <c r="L233" s="620"/>
    </row>
    <row r="234" spans="1:12" s="579" customFormat="1" ht="10.5" customHeight="1">
      <c r="A234" s="593" t="s">
        <v>3125</v>
      </c>
      <c r="B234" s="587" t="s">
        <v>3932</v>
      </c>
      <c r="C234" s="587"/>
      <c r="D234" s="587"/>
      <c r="E234" s="629" t="s">
        <v>2825</v>
      </c>
      <c r="F234" s="591" t="s">
        <v>3933</v>
      </c>
      <c r="G234" s="591"/>
      <c r="H234" s="590"/>
      <c r="I234" s="588"/>
      <c r="J234" s="589"/>
      <c r="K234" s="590"/>
      <c r="L234" s="620"/>
    </row>
    <row r="235" spans="1:12" s="579" customFormat="1" ht="10.5" customHeight="1">
      <c r="A235" s="585"/>
      <c r="B235" s="622"/>
      <c r="C235" s="622"/>
      <c r="D235" s="622"/>
      <c r="E235" s="626" t="s">
        <v>2823</v>
      </c>
      <c r="F235" s="598" t="s">
        <v>3934</v>
      </c>
      <c r="G235" s="598"/>
      <c r="H235" s="624"/>
      <c r="I235" s="580"/>
      <c r="J235" s="583"/>
      <c r="L235" s="620"/>
    </row>
    <row r="236" spans="1:12" s="579" customFormat="1" ht="10.5" customHeight="1">
      <c r="A236" s="585"/>
      <c r="B236" s="622"/>
      <c r="C236" s="622"/>
      <c r="D236" s="622"/>
      <c r="E236" s="626" t="s">
        <v>2824</v>
      </c>
      <c r="F236" s="598" t="s">
        <v>4440</v>
      </c>
      <c r="G236" s="598"/>
      <c r="H236" s="624"/>
      <c r="I236" s="580"/>
      <c r="L236" s="620"/>
    </row>
    <row r="237" spans="1:12" s="579" customFormat="1" ht="10.5" customHeight="1">
      <c r="A237" s="593" t="s">
        <v>3961</v>
      </c>
      <c r="B237" s="1424" t="s">
        <v>3122</v>
      </c>
      <c r="C237" s="1424"/>
      <c r="D237" s="1424"/>
      <c r="E237" s="629" t="s">
        <v>2825</v>
      </c>
      <c r="F237" s="591" t="s">
        <v>4005</v>
      </c>
      <c r="G237" s="591"/>
      <c r="H237" s="590"/>
      <c r="I237" s="588"/>
      <c r="J237" s="589"/>
      <c r="K237" s="590"/>
      <c r="L237" s="620"/>
    </row>
    <row r="238" spans="1:12" s="579" customFormat="1" ht="10.5" customHeight="1">
      <c r="A238" s="713"/>
      <c r="B238" s="666"/>
      <c r="C238" s="666"/>
      <c r="D238" s="666"/>
      <c r="E238" s="631" t="s">
        <v>2823</v>
      </c>
      <c r="F238" s="667" t="s">
        <v>4441</v>
      </c>
      <c r="G238" s="667"/>
      <c r="H238" s="670"/>
      <c r="I238" s="588"/>
      <c r="J238" s="589"/>
      <c r="K238" s="590"/>
      <c r="L238" s="620"/>
    </row>
    <row r="239" spans="1:12" s="579" customFormat="1" ht="21.75" customHeight="1">
      <c r="A239" s="585" t="s">
        <v>4391</v>
      </c>
      <c r="B239" s="1233" t="s">
        <v>3124</v>
      </c>
      <c r="C239" s="1233"/>
      <c r="D239" s="1233"/>
      <c r="E239" s="627" t="s">
        <v>2825</v>
      </c>
      <c r="F239" s="2175" t="s">
        <v>4442</v>
      </c>
      <c r="G239" s="2176"/>
      <c r="H239" s="2191"/>
      <c r="I239" s="588"/>
      <c r="J239" s="589"/>
      <c r="K239" s="590"/>
      <c r="L239" s="620"/>
    </row>
    <row r="240" spans="1:12" s="579" customFormat="1" ht="10.5" customHeight="1">
      <c r="A240" s="1255" t="s">
        <v>4449</v>
      </c>
      <c r="B240" s="622" t="s">
        <v>2996</v>
      </c>
      <c r="C240" s="622"/>
      <c r="D240" s="622"/>
      <c r="E240" s="2162" t="s">
        <v>2891</v>
      </c>
      <c r="F240" s="598"/>
      <c r="G240" s="919" t="s">
        <v>2997</v>
      </c>
      <c r="H240" s="598"/>
      <c r="I240" s="635"/>
      <c r="J240" s="635"/>
      <c r="K240" s="635"/>
    </row>
    <row r="241" spans="1:12" s="579" customFormat="1" ht="10.5" customHeight="1">
      <c r="A241" s="585"/>
      <c r="B241" s="2184" t="s">
        <v>2986</v>
      </c>
      <c r="C241" s="2184"/>
      <c r="D241" s="639" t="s">
        <v>2987</v>
      </c>
      <c r="E241" s="2183"/>
      <c r="F241" s="640" t="s">
        <v>2995</v>
      </c>
      <c r="G241" s="636"/>
      <c r="H241" s="636"/>
      <c r="I241" s="636"/>
      <c r="J241" s="636"/>
      <c r="K241" s="636"/>
    </row>
    <row r="242" spans="1:12" s="579" customFormat="1" ht="21.75" customHeight="1">
      <c r="A242" s="585"/>
      <c r="B242" s="2185"/>
      <c r="C242" s="2186"/>
      <c r="D242" s="632"/>
      <c r="E242" s="637" t="s">
        <v>2825</v>
      </c>
      <c r="F242" s="2187"/>
      <c r="G242" s="2187"/>
      <c r="H242" s="2187"/>
      <c r="I242" s="2187"/>
      <c r="J242" s="2187"/>
      <c r="K242" s="2187"/>
      <c r="L242" s="917"/>
    </row>
    <row r="243" spans="1:12" s="579" customFormat="1" ht="21.75" customHeight="1">
      <c r="A243" s="577"/>
      <c r="B243" s="2155"/>
      <c r="C243" s="2156"/>
      <c r="D243" s="633"/>
      <c r="E243" s="638" t="s">
        <v>2823</v>
      </c>
      <c r="F243" s="2157"/>
      <c r="G243" s="2157"/>
      <c r="H243" s="2157"/>
      <c r="I243" s="2157"/>
      <c r="J243" s="2157"/>
      <c r="K243" s="2157"/>
      <c r="L243" s="1429"/>
    </row>
    <row r="244" spans="1:12" s="579" customFormat="1" ht="21.75" customHeight="1">
      <c r="A244" s="577"/>
      <c r="B244" s="2155"/>
      <c r="C244" s="2156"/>
      <c r="D244" s="633"/>
      <c r="E244" s="638" t="s">
        <v>2824</v>
      </c>
      <c r="F244" s="2157"/>
      <c r="G244" s="2157"/>
      <c r="H244" s="2157"/>
      <c r="I244" s="2157"/>
      <c r="J244" s="2157"/>
      <c r="K244" s="2157"/>
      <c r="L244" s="1429"/>
    </row>
    <row r="245" spans="1:12" s="579" customFormat="1" ht="21.75" customHeight="1">
      <c r="A245" s="577"/>
      <c r="B245" s="2155"/>
      <c r="C245" s="2156"/>
      <c r="D245" s="633"/>
      <c r="E245" s="638" t="s">
        <v>2826</v>
      </c>
      <c r="F245" s="2157"/>
      <c r="G245" s="2157"/>
      <c r="H245" s="2157"/>
      <c r="I245" s="2157"/>
      <c r="J245" s="2157"/>
      <c r="K245" s="2157"/>
      <c r="L245" s="1429"/>
    </row>
    <row r="246" spans="1:12" s="579" customFormat="1" ht="21.75" customHeight="1">
      <c r="A246" s="577"/>
      <c r="B246" s="2155"/>
      <c r="C246" s="2156"/>
      <c r="D246" s="633"/>
      <c r="E246" s="638" t="s">
        <v>2827</v>
      </c>
      <c r="F246" s="2157"/>
      <c r="G246" s="2157"/>
      <c r="H246" s="2157"/>
      <c r="I246" s="2157"/>
      <c r="J246" s="2157"/>
      <c r="K246" s="2157"/>
      <c r="L246" s="1429"/>
    </row>
    <row r="247" spans="1:12" s="579" customFormat="1" ht="21.75" customHeight="1">
      <c r="A247" s="577"/>
      <c r="B247" s="2155"/>
      <c r="C247" s="2156"/>
      <c r="D247" s="633"/>
      <c r="E247" s="638" t="s">
        <v>2828</v>
      </c>
      <c r="F247" s="2157"/>
      <c r="G247" s="2157"/>
      <c r="H247" s="2157"/>
      <c r="I247" s="2157"/>
      <c r="J247" s="2157"/>
      <c r="K247" s="2157"/>
      <c r="L247" s="1429"/>
    </row>
    <row r="248" spans="1:12" s="579" customFormat="1" ht="21.75" customHeight="1">
      <c r="A248" s="577"/>
      <c r="B248" s="2155"/>
      <c r="C248" s="2156"/>
      <c r="D248" s="633"/>
      <c r="E248" s="638" t="s">
        <v>2829</v>
      </c>
      <c r="F248" s="2157"/>
      <c r="G248" s="2157"/>
      <c r="H248" s="2157"/>
      <c r="I248" s="2157"/>
      <c r="J248" s="2157"/>
      <c r="K248" s="2157"/>
      <c r="L248" s="1429"/>
    </row>
    <row r="249" spans="1:12" s="579" customFormat="1" ht="21.75" customHeight="1">
      <c r="A249" s="577"/>
      <c r="B249" s="2155"/>
      <c r="C249" s="2156"/>
      <c r="D249" s="633"/>
      <c r="E249" s="638" t="s">
        <v>2959</v>
      </c>
      <c r="F249" s="2157"/>
      <c r="G249" s="2157"/>
      <c r="H249" s="2157"/>
      <c r="I249" s="2157"/>
      <c r="J249" s="2157"/>
      <c r="K249" s="2157"/>
      <c r="L249" s="1429"/>
    </row>
    <row r="250" spans="1:12" s="579" customFormat="1" ht="21.75" customHeight="1">
      <c r="A250" s="577"/>
      <c r="B250" s="2155"/>
      <c r="C250" s="2156"/>
      <c r="D250" s="633"/>
      <c r="E250" s="638" t="s">
        <v>2960</v>
      </c>
      <c r="F250" s="2157"/>
      <c r="G250" s="2157"/>
      <c r="H250" s="2157"/>
      <c r="I250" s="2157"/>
      <c r="J250" s="2157"/>
      <c r="K250" s="2157"/>
      <c r="L250" s="1429"/>
    </row>
    <row r="251" spans="1:12" s="579" customFormat="1" ht="21.75" customHeight="1">
      <c r="A251" s="577"/>
      <c r="B251" s="2155"/>
      <c r="C251" s="2156"/>
      <c r="D251" s="633"/>
      <c r="E251" s="638" t="s">
        <v>2984</v>
      </c>
      <c r="F251" s="2157"/>
      <c r="G251" s="2157"/>
      <c r="H251" s="2157"/>
      <c r="I251" s="2157"/>
      <c r="J251" s="2157"/>
      <c r="K251" s="2157"/>
      <c r="L251" s="1429"/>
    </row>
    <row r="252" spans="1:12" s="579" customFormat="1" ht="21.75" customHeight="1">
      <c r="A252" s="585"/>
      <c r="B252" s="2155"/>
      <c r="C252" s="2156"/>
      <c r="D252" s="633"/>
      <c r="E252" s="638" t="s">
        <v>3891</v>
      </c>
      <c r="F252" s="2157"/>
      <c r="G252" s="2157"/>
      <c r="H252" s="2157"/>
      <c r="I252" s="2157"/>
      <c r="J252" s="2157"/>
      <c r="K252" s="2157"/>
      <c r="L252" s="1429"/>
    </row>
    <row r="253" spans="1:12" s="579" customFormat="1" ht="21.75" customHeight="1">
      <c r="A253" s="577"/>
      <c r="B253" s="2179"/>
      <c r="C253" s="2180"/>
      <c r="D253" s="634"/>
      <c r="E253" s="641" t="s">
        <v>3892</v>
      </c>
      <c r="F253" s="2154"/>
      <c r="G253" s="2154"/>
      <c r="H253" s="2154"/>
      <c r="I253" s="2154"/>
      <c r="J253" s="2154"/>
      <c r="K253" s="2154"/>
      <c r="L253" s="918"/>
    </row>
    <row r="254" spans="1:12" s="579" customFormat="1" ht="33.75" customHeight="1">
      <c r="A254" s="2178" t="s">
        <v>2998</v>
      </c>
      <c r="B254" s="2178"/>
      <c r="C254" s="2178"/>
      <c r="D254" s="2178"/>
      <c r="E254" s="2178"/>
      <c r="F254" s="2178"/>
      <c r="G254" s="2178"/>
      <c r="H254" s="2178"/>
      <c r="I254" s="2178"/>
      <c r="J254" s="2178"/>
      <c r="K254" s="2178"/>
      <c r="L254" s="2178"/>
    </row>
    <row r="255" spans="1:12" s="579" customFormat="1">
      <c r="A255" s="577"/>
      <c r="B255" s="578"/>
      <c r="C255" s="578"/>
      <c r="D255" s="578"/>
      <c r="E255" s="582"/>
      <c r="I255" s="580"/>
    </row>
    <row r="256" spans="1:12" s="579" customFormat="1">
      <c r="A256" s="577"/>
      <c r="B256" s="578"/>
      <c r="C256" s="578"/>
      <c r="D256" s="578"/>
      <c r="E256" s="582"/>
      <c r="I256" s="580"/>
    </row>
    <row r="257" spans="1:9" s="579" customFormat="1">
      <c r="A257" s="577"/>
      <c r="B257" s="578"/>
      <c r="C257" s="578"/>
      <c r="D257" s="578"/>
      <c r="E257" s="582"/>
      <c r="I257" s="580"/>
    </row>
    <row r="258" spans="1:9" s="579" customFormat="1">
      <c r="A258" s="577"/>
      <c r="B258" s="578"/>
      <c r="C258" s="578"/>
      <c r="D258" s="578"/>
      <c r="E258" s="582"/>
      <c r="I258" s="580"/>
    </row>
    <row r="259" spans="1:9" s="579" customFormat="1">
      <c r="A259" s="577"/>
      <c r="B259" s="578"/>
      <c r="C259" s="578"/>
      <c r="D259" s="578"/>
      <c r="E259" s="582"/>
      <c r="I259" s="580"/>
    </row>
    <row r="260" spans="1:9" s="579" customFormat="1">
      <c r="A260" s="577"/>
      <c r="B260" s="578"/>
      <c r="C260" s="578"/>
      <c r="D260" s="578"/>
      <c r="E260" s="582"/>
      <c r="I260" s="580"/>
    </row>
    <row r="261" spans="1:9" s="579" customFormat="1">
      <c r="A261" s="577"/>
      <c r="B261" s="578"/>
      <c r="C261" s="578"/>
      <c r="D261" s="578"/>
      <c r="E261" s="582"/>
      <c r="I261" s="580"/>
    </row>
    <row r="262" spans="1:9" s="579" customFormat="1">
      <c r="A262" s="577"/>
      <c r="B262" s="578"/>
      <c r="C262" s="578"/>
      <c r="D262" s="578"/>
      <c r="E262" s="582"/>
      <c r="I262" s="580"/>
    </row>
    <row r="263" spans="1:9" s="579" customFormat="1">
      <c r="A263" s="577"/>
      <c r="B263" s="578"/>
      <c r="C263" s="578"/>
      <c r="D263" s="578"/>
      <c r="E263" s="582"/>
      <c r="I263" s="580"/>
    </row>
    <row r="264" spans="1:9" s="579" customFormat="1">
      <c r="A264" s="577"/>
      <c r="B264" s="578"/>
      <c r="C264" s="578"/>
      <c r="D264" s="578"/>
      <c r="E264" s="582"/>
      <c r="I264" s="580"/>
    </row>
    <row r="265" spans="1:9" s="579" customFormat="1">
      <c r="A265" s="577"/>
      <c r="B265" s="578"/>
      <c r="C265" s="578"/>
      <c r="D265" s="578"/>
      <c r="E265" s="582"/>
      <c r="I265" s="580"/>
    </row>
    <row r="266" spans="1:9" s="579" customFormat="1">
      <c r="A266" s="577"/>
      <c r="B266" s="578"/>
      <c r="C266" s="578"/>
      <c r="D266" s="578"/>
      <c r="E266" s="582"/>
      <c r="I266" s="580"/>
    </row>
    <row r="267" spans="1:9" s="579" customFormat="1">
      <c r="A267" s="577"/>
      <c r="B267" s="578"/>
      <c r="C267" s="578"/>
      <c r="D267" s="578"/>
      <c r="E267" s="582"/>
      <c r="I267" s="580"/>
    </row>
    <row r="268" spans="1:9" s="579" customFormat="1">
      <c r="A268" s="577"/>
      <c r="B268" s="578"/>
      <c r="C268" s="578"/>
      <c r="D268" s="578"/>
      <c r="E268" s="582"/>
      <c r="I268" s="580"/>
    </row>
    <row r="269" spans="1:9" s="579" customFormat="1">
      <c r="A269" s="577"/>
      <c r="B269" s="578"/>
      <c r="C269" s="578"/>
      <c r="D269" s="578"/>
      <c r="E269" s="582"/>
      <c r="I269" s="580"/>
    </row>
    <row r="270" spans="1:9" s="579" customFormat="1">
      <c r="A270" s="577"/>
      <c r="B270" s="578"/>
      <c r="C270" s="578"/>
      <c r="D270" s="578"/>
      <c r="E270" s="582"/>
      <c r="I270" s="580"/>
    </row>
    <row r="271" spans="1:9" s="579" customFormat="1">
      <c r="A271" s="577"/>
      <c r="B271" s="578"/>
      <c r="C271" s="578"/>
      <c r="D271" s="578"/>
      <c r="E271" s="582"/>
      <c r="I271" s="580"/>
    </row>
    <row r="272" spans="1:9" s="579" customFormat="1">
      <c r="A272" s="577"/>
      <c r="B272" s="578"/>
      <c r="C272" s="578"/>
      <c r="D272" s="578"/>
      <c r="E272" s="582"/>
      <c r="I272" s="580"/>
    </row>
    <row r="273" spans="1:9" s="579" customFormat="1">
      <c r="A273" s="577"/>
      <c r="B273" s="578"/>
      <c r="C273" s="578"/>
      <c r="D273" s="578"/>
      <c r="E273" s="582"/>
      <c r="I273" s="580"/>
    </row>
    <row r="274" spans="1:9" s="579" customFormat="1">
      <c r="A274" s="577"/>
      <c r="B274" s="578"/>
      <c r="C274" s="578"/>
      <c r="D274" s="578"/>
      <c r="E274" s="582"/>
      <c r="I274" s="580"/>
    </row>
    <row r="275" spans="1:9" s="579" customFormat="1">
      <c r="A275" s="577"/>
      <c r="B275" s="578"/>
      <c r="C275" s="578"/>
      <c r="D275" s="578"/>
      <c r="E275" s="582"/>
      <c r="I275" s="580"/>
    </row>
    <row r="276" spans="1:9" s="579" customFormat="1">
      <c r="A276" s="577"/>
      <c r="B276" s="578"/>
      <c r="C276" s="578"/>
      <c r="D276" s="578"/>
      <c r="E276" s="582"/>
      <c r="I276" s="580"/>
    </row>
    <row r="277" spans="1:9" s="579" customFormat="1">
      <c r="A277" s="577"/>
      <c r="B277" s="578"/>
      <c r="C277" s="578"/>
      <c r="D277" s="578"/>
      <c r="E277" s="582"/>
      <c r="I277" s="580"/>
    </row>
    <row r="278" spans="1:9" s="579" customFormat="1">
      <c r="A278" s="577"/>
      <c r="B278" s="578"/>
      <c r="C278" s="578"/>
      <c r="D278" s="578"/>
      <c r="E278" s="582"/>
      <c r="I278" s="580"/>
    </row>
    <row r="279" spans="1:9" s="579" customFormat="1">
      <c r="A279" s="577"/>
      <c r="B279" s="578"/>
      <c r="C279" s="578"/>
      <c r="D279" s="578"/>
      <c r="E279" s="582"/>
      <c r="I279" s="580"/>
    </row>
    <row r="280" spans="1:9" s="579" customFormat="1">
      <c r="A280" s="577"/>
      <c r="B280" s="578"/>
      <c r="C280" s="578"/>
      <c r="D280" s="578"/>
      <c r="E280" s="582"/>
      <c r="I280" s="580"/>
    </row>
    <row r="281" spans="1:9" s="579" customFormat="1">
      <c r="A281" s="577"/>
      <c r="B281" s="578"/>
      <c r="C281" s="578"/>
      <c r="D281" s="578"/>
      <c r="E281" s="582"/>
      <c r="I281" s="580"/>
    </row>
    <row r="282" spans="1:9" s="579" customFormat="1">
      <c r="A282" s="577"/>
      <c r="B282" s="578"/>
      <c r="C282" s="578"/>
      <c r="D282" s="578"/>
      <c r="E282" s="582"/>
      <c r="I282" s="580"/>
    </row>
    <row r="283" spans="1:9" s="579" customFormat="1">
      <c r="A283" s="577"/>
      <c r="B283" s="578"/>
      <c r="C283" s="578"/>
      <c r="D283" s="578"/>
      <c r="E283" s="582"/>
      <c r="I283" s="580"/>
    </row>
    <row r="284" spans="1:9" s="579" customFormat="1">
      <c r="A284" s="577"/>
      <c r="B284" s="578"/>
      <c r="C284" s="578"/>
      <c r="D284" s="578"/>
      <c r="E284" s="582"/>
      <c r="I284" s="580"/>
    </row>
    <row r="285" spans="1:9" s="579" customFormat="1">
      <c r="A285" s="577"/>
      <c r="B285" s="578"/>
      <c r="C285" s="578"/>
      <c r="D285" s="578"/>
      <c r="E285" s="582"/>
      <c r="I285" s="580"/>
    </row>
    <row r="286" spans="1:9" s="579" customFormat="1">
      <c r="A286" s="577"/>
      <c r="B286" s="578"/>
      <c r="C286" s="578"/>
      <c r="D286" s="578"/>
      <c r="E286" s="582"/>
      <c r="I286" s="580"/>
    </row>
    <row r="287" spans="1:9" s="579" customFormat="1">
      <c r="A287" s="577"/>
      <c r="B287" s="578"/>
      <c r="C287" s="578"/>
      <c r="D287" s="578"/>
      <c r="E287" s="582"/>
      <c r="I287" s="580"/>
    </row>
    <row r="288" spans="1:9" s="579" customFormat="1">
      <c r="A288" s="577"/>
      <c r="B288" s="578"/>
      <c r="C288" s="578"/>
      <c r="D288" s="578"/>
      <c r="E288" s="582"/>
      <c r="I288" s="580"/>
    </row>
    <row r="289" spans="1:9" s="579" customFormat="1">
      <c r="A289" s="577"/>
      <c r="B289" s="578"/>
      <c r="C289" s="578"/>
      <c r="D289" s="578"/>
      <c r="E289" s="582"/>
      <c r="I289" s="580"/>
    </row>
    <row r="290" spans="1:9" s="579" customFormat="1">
      <c r="A290" s="577"/>
      <c r="B290" s="578"/>
      <c r="C290" s="578"/>
      <c r="D290" s="578"/>
      <c r="E290" s="582"/>
      <c r="I290" s="580"/>
    </row>
    <row r="291" spans="1:9" s="579" customFormat="1">
      <c r="A291" s="577"/>
      <c r="B291" s="578"/>
      <c r="C291" s="578"/>
      <c r="D291" s="578"/>
      <c r="E291" s="582"/>
      <c r="I291" s="580"/>
    </row>
    <row r="292" spans="1:9" s="579" customFormat="1">
      <c r="A292" s="577"/>
      <c r="B292" s="578"/>
      <c r="C292" s="578"/>
      <c r="D292" s="578"/>
      <c r="E292" s="582"/>
      <c r="I292" s="580"/>
    </row>
    <row r="293" spans="1:9" s="579" customFormat="1">
      <c r="A293" s="577"/>
      <c r="B293" s="578"/>
      <c r="C293" s="578"/>
      <c r="D293" s="578"/>
      <c r="E293" s="582"/>
      <c r="I293" s="580"/>
    </row>
    <row r="294" spans="1:9" s="579" customFormat="1">
      <c r="A294" s="577"/>
      <c r="B294" s="578"/>
      <c r="C294" s="578"/>
      <c r="D294" s="578"/>
      <c r="E294" s="582"/>
      <c r="I294" s="580"/>
    </row>
    <row r="295" spans="1:9" s="579" customFormat="1">
      <c r="A295" s="577"/>
      <c r="B295" s="578"/>
      <c r="C295" s="578"/>
      <c r="D295" s="578"/>
      <c r="E295" s="582"/>
      <c r="I295" s="580"/>
    </row>
    <row r="296" spans="1:9" s="579" customFormat="1">
      <c r="A296" s="577"/>
      <c r="B296" s="578"/>
      <c r="C296" s="578"/>
      <c r="D296" s="578"/>
      <c r="E296" s="582"/>
      <c r="I296" s="580"/>
    </row>
    <row r="297" spans="1:9" s="579" customFormat="1">
      <c r="A297" s="577"/>
      <c r="B297" s="578"/>
      <c r="C297" s="578"/>
      <c r="D297" s="578"/>
      <c r="E297" s="582"/>
      <c r="I297" s="580"/>
    </row>
    <row r="298" spans="1:9" s="579" customFormat="1">
      <c r="A298" s="577"/>
      <c r="B298" s="578"/>
      <c r="C298" s="578"/>
      <c r="D298" s="578"/>
      <c r="E298" s="582"/>
      <c r="I298" s="580"/>
    </row>
    <row r="299" spans="1:9" s="579" customFormat="1">
      <c r="A299" s="577"/>
      <c r="B299" s="578"/>
      <c r="C299" s="578"/>
      <c r="D299" s="578"/>
      <c r="E299" s="582"/>
      <c r="I299" s="580"/>
    </row>
    <row r="300" spans="1:9" s="579" customFormat="1">
      <c r="A300" s="577"/>
      <c r="B300" s="578"/>
      <c r="C300" s="578"/>
      <c r="D300" s="578"/>
      <c r="E300" s="582"/>
      <c r="I300" s="580"/>
    </row>
    <row r="301" spans="1:9" s="579" customFormat="1">
      <c r="A301" s="577"/>
      <c r="B301" s="578"/>
      <c r="C301" s="578"/>
      <c r="D301" s="578"/>
      <c r="E301" s="582"/>
      <c r="I301" s="580"/>
    </row>
    <row r="302" spans="1:9" s="579" customFormat="1">
      <c r="A302" s="577"/>
      <c r="B302" s="578"/>
      <c r="C302" s="578"/>
      <c r="D302" s="578"/>
      <c r="E302" s="582"/>
      <c r="I302" s="580"/>
    </row>
    <row r="303" spans="1:9" s="579" customFormat="1">
      <c r="A303" s="577"/>
      <c r="B303" s="578"/>
      <c r="C303" s="578"/>
      <c r="D303" s="578"/>
      <c r="E303" s="582"/>
      <c r="I303" s="580"/>
    </row>
    <row r="304" spans="1:9" s="579" customFormat="1">
      <c r="A304" s="577"/>
      <c r="B304" s="578"/>
      <c r="C304" s="578"/>
      <c r="D304" s="578"/>
      <c r="E304" s="582"/>
      <c r="I304" s="580"/>
    </row>
    <row r="305" spans="1:9" s="579" customFormat="1">
      <c r="A305" s="577"/>
      <c r="B305" s="578"/>
      <c r="C305" s="578"/>
      <c r="D305" s="578"/>
      <c r="E305" s="582"/>
      <c r="I305" s="580"/>
    </row>
    <row r="306" spans="1:9" s="579" customFormat="1">
      <c r="A306" s="577"/>
      <c r="B306" s="578"/>
      <c r="C306" s="578"/>
      <c r="D306" s="578"/>
      <c r="E306" s="582"/>
      <c r="I306" s="580"/>
    </row>
    <row r="307" spans="1:9" s="579" customFormat="1">
      <c r="A307" s="577"/>
      <c r="B307" s="578"/>
      <c r="C307" s="578"/>
      <c r="D307" s="578"/>
      <c r="E307" s="582"/>
      <c r="I307" s="580"/>
    </row>
    <row r="308" spans="1:9" s="579" customFormat="1">
      <c r="A308" s="577"/>
      <c r="B308" s="578"/>
      <c r="C308" s="578"/>
      <c r="D308" s="578"/>
      <c r="E308" s="582"/>
      <c r="I308" s="580"/>
    </row>
    <row r="309" spans="1:9" s="579" customFormat="1">
      <c r="A309" s="577"/>
      <c r="B309" s="578"/>
      <c r="C309" s="578"/>
      <c r="D309" s="578"/>
      <c r="E309" s="582"/>
      <c r="I309" s="580"/>
    </row>
    <row r="310" spans="1:9" s="579" customFormat="1">
      <c r="A310" s="577"/>
      <c r="B310" s="578"/>
      <c r="C310" s="578"/>
      <c r="D310" s="578"/>
      <c r="E310" s="582"/>
      <c r="I310" s="580"/>
    </row>
    <row r="311" spans="1:9" s="579" customFormat="1">
      <c r="A311" s="577"/>
      <c r="B311" s="578"/>
      <c r="C311" s="578"/>
      <c r="D311" s="578"/>
      <c r="E311" s="582"/>
      <c r="I311" s="580"/>
    </row>
    <row r="312" spans="1:9" s="579" customFormat="1">
      <c r="A312" s="577"/>
      <c r="B312" s="578"/>
      <c r="C312" s="578"/>
      <c r="D312" s="578"/>
      <c r="E312" s="582"/>
      <c r="I312" s="580"/>
    </row>
    <row r="313" spans="1:9">
      <c r="A313" s="599"/>
      <c r="B313" s="600"/>
      <c r="C313" s="600"/>
      <c r="D313" s="600"/>
      <c r="E313" s="601"/>
    </row>
    <row r="314" spans="1:9">
      <c r="A314" s="599"/>
      <c r="B314" s="600"/>
      <c r="C314" s="600"/>
      <c r="D314" s="600"/>
      <c r="E314" s="601"/>
    </row>
    <row r="315" spans="1:9">
      <c r="A315" s="599"/>
      <c r="B315" s="600"/>
      <c r="C315" s="600"/>
      <c r="D315" s="600"/>
      <c r="E315" s="601"/>
    </row>
    <row r="316" spans="1:9">
      <c r="A316" s="599"/>
      <c r="B316" s="600"/>
      <c r="C316" s="600"/>
      <c r="D316" s="600"/>
      <c r="E316" s="601"/>
    </row>
    <row r="317" spans="1:9">
      <c r="A317" s="599"/>
      <c r="B317" s="600"/>
      <c r="C317" s="600"/>
      <c r="D317" s="600"/>
      <c r="E317" s="601"/>
    </row>
    <row r="318" spans="1:9">
      <c r="A318" s="599"/>
      <c r="B318" s="600"/>
      <c r="C318" s="600"/>
      <c r="D318" s="600"/>
      <c r="E318" s="601"/>
    </row>
  </sheetData>
  <sheetProtection algorithmName="SHA-512" hashValue="B+RwxnL0zjdEz6KtmWjeeeclJRll5ejcc92RLoSSC8BeQ6YAvnpW1/Gb9mxH4CTcE+pAY/PUlN8Ywktsgoqs2A==" saltValue="YbEjl1WeTRKQ6MVHBpE5Og==" spinCount="100000" sheet="1" objects="1" scenarios="1" formatRows="0" insertRows="0"/>
  <mergeCells count="115">
    <mergeCell ref="B193:C194"/>
    <mergeCell ref="B220:C221"/>
    <mergeCell ref="F25:H25"/>
    <mergeCell ref="F157:H157"/>
    <mergeCell ref="F156:H156"/>
    <mergeCell ref="F153:H153"/>
    <mergeCell ref="F172:H172"/>
    <mergeCell ref="F175:H175"/>
    <mergeCell ref="B176:B179"/>
    <mergeCell ref="F185:H185"/>
    <mergeCell ref="B181:C184"/>
    <mergeCell ref="B195:C197"/>
    <mergeCell ref="B199:C201"/>
    <mergeCell ref="B204:C206"/>
    <mergeCell ref="B191:C192"/>
    <mergeCell ref="F187:H187"/>
    <mergeCell ref="F199:H199"/>
    <mergeCell ref="B79:C80"/>
    <mergeCell ref="B81:C82"/>
    <mergeCell ref="B59:C60"/>
    <mergeCell ref="B83:C86"/>
    <mergeCell ref="F102:H102"/>
    <mergeCell ref="F117:H117"/>
    <mergeCell ref="B120:D123"/>
    <mergeCell ref="F248:K248"/>
    <mergeCell ref="B243:C243"/>
    <mergeCell ref="F243:K243"/>
    <mergeCell ref="B244:C244"/>
    <mergeCell ref="F244:K244"/>
    <mergeCell ref="B245:C245"/>
    <mergeCell ref="F245:K245"/>
    <mergeCell ref="F242:K242"/>
    <mergeCell ref="F220:K220"/>
    <mergeCell ref="D226:D227"/>
    <mergeCell ref="F239:H239"/>
    <mergeCell ref="B223:C225"/>
    <mergeCell ref="F230:H230"/>
    <mergeCell ref="B3:D3"/>
    <mergeCell ref="A254:L254"/>
    <mergeCell ref="B253:C253"/>
    <mergeCell ref="B127:C129"/>
    <mergeCell ref="B249:C249"/>
    <mergeCell ref="F249:K249"/>
    <mergeCell ref="B250:C250"/>
    <mergeCell ref="F250:K250"/>
    <mergeCell ref="B251:C251"/>
    <mergeCell ref="F251:K251"/>
    <mergeCell ref="B246:C246"/>
    <mergeCell ref="F246:K246"/>
    <mergeCell ref="B247:C247"/>
    <mergeCell ref="F247:K247"/>
    <mergeCell ref="B248:C248"/>
    <mergeCell ref="F214:H214"/>
    <mergeCell ref="F165:H165"/>
    <mergeCell ref="F168:H168"/>
    <mergeCell ref="F170:H170"/>
    <mergeCell ref="F192:K192"/>
    <mergeCell ref="B213:C215"/>
    <mergeCell ref="E240:E241"/>
    <mergeCell ref="B241:C241"/>
    <mergeCell ref="B242:C242"/>
    <mergeCell ref="F253:K253"/>
    <mergeCell ref="B252:C252"/>
    <mergeCell ref="F252:K252"/>
    <mergeCell ref="A1:L1"/>
    <mergeCell ref="A2:L2"/>
    <mergeCell ref="A3:A4"/>
    <mergeCell ref="E3:E4"/>
    <mergeCell ref="L3:L4"/>
    <mergeCell ref="A15:L15"/>
    <mergeCell ref="F18:H18"/>
    <mergeCell ref="F30:H30"/>
    <mergeCell ref="F48:K48"/>
    <mergeCell ref="F49:H49"/>
    <mergeCell ref="F33:H33"/>
    <mergeCell ref="F17:H17"/>
    <mergeCell ref="C23:D25"/>
    <mergeCell ref="B112:B116"/>
    <mergeCell ref="F150:H150"/>
    <mergeCell ref="F159:K159"/>
    <mergeCell ref="B164:C165"/>
    <mergeCell ref="B145:C147"/>
    <mergeCell ref="B124:D126"/>
    <mergeCell ref="F130:H130"/>
    <mergeCell ref="D182:D183"/>
    <mergeCell ref="F88:H88"/>
    <mergeCell ref="F90:H90"/>
    <mergeCell ref="F94:H94"/>
    <mergeCell ref="F67:H67"/>
    <mergeCell ref="F148:K148"/>
    <mergeCell ref="F112:H112"/>
    <mergeCell ref="F116:H116"/>
    <mergeCell ref="F118:H118"/>
    <mergeCell ref="F119:K119"/>
    <mergeCell ref="A143:L143"/>
    <mergeCell ref="F92:H92"/>
    <mergeCell ref="F93:H93"/>
    <mergeCell ref="F86:H86"/>
    <mergeCell ref="F100:H100"/>
    <mergeCell ref="F123:K123"/>
    <mergeCell ref="B131:C137"/>
    <mergeCell ref="F66:H66"/>
    <mergeCell ref="B74:D77"/>
    <mergeCell ref="B78:D78"/>
    <mergeCell ref="B6:C8"/>
    <mergeCell ref="B16:B17"/>
    <mergeCell ref="B49:C50"/>
    <mergeCell ref="B52:C53"/>
    <mergeCell ref="B55:C56"/>
    <mergeCell ref="B71:C73"/>
    <mergeCell ref="B32:B33"/>
    <mergeCell ref="B38:C42"/>
    <mergeCell ref="B62:C64"/>
    <mergeCell ref="B65:D68"/>
    <mergeCell ref="F59:H59"/>
  </mergeCells>
  <dataValidations count="1">
    <dataValidation type="list" allowBlank="1" showInputMessage="1" showErrorMessage="1" sqref="L5:L14 L242:L253 L144:L239 L16:L142">
      <formula1>"Yes, No"</formula1>
    </dataValidation>
  </dataValidations>
  <printOptions horizontalCentered="1"/>
  <pageMargins left="0.2" right="0.2" top="0.5" bottom="0.5" header="0.3" footer="0.25"/>
  <pageSetup fitToHeight="0" orientation="landscape" r:id="rId1"/>
  <headerFooter>
    <oddHeader>&amp;LGeorgia Department of Community Affairs&amp;C2016 DRAFT Funding Application&amp;RHousing  Finance and Development Division</oddHeader>
    <oddFooter>&amp;C&amp;9&amp;P of &amp;N</oddFooter>
  </headerFooter>
  <ignoredErrors>
    <ignoredError sqref="E8:E14 E145:E168 E173:E186 E188:E204 E242:E253 E206:E239 E120:E142 E118 E16:E112 E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G124" zoomScale="145" zoomScaleNormal="145" workbookViewId="0">
      <selection activeCell="G124"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3" customWidth="1"/>
    <col min="173" max="177" width="11.28515625" style="503" customWidth="1"/>
    <col min="178" max="192" width="9.140625" style="503" customWidth="1"/>
    <col min="193" max="193" width="10.140625" style="503" customWidth="1"/>
    <col min="194" max="197" width="10" style="503" customWidth="1"/>
    <col min="198" max="201" width="9.140625" style="503" customWidth="1"/>
    <col min="202" max="202" width="9.140625" style="512" customWidth="1"/>
    <col min="203" max="206" width="9.140625" style="503" customWidth="1"/>
    <col min="207" max="217" width="9.140625" style="512" customWidth="1"/>
    <col min="218" max="227" width="11.5703125" style="512" customWidth="1"/>
    <col min="228" max="238" width="9.140625" style="512" customWidth="1"/>
    <col min="239" max="244" width="9.140625" style="503" customWidth="1"/>
    <col min="245" max="245" width="9.140625" style="516" customWidth="1"/>
    <col min="246" max="260" width="9.140625" style="503" customWidth="1"/>
    <col min="261" max="262" width="9.140625" style="516" customWidth="1"/>
    <col min="263" max="269" width="10.28515625" style="503" customWidth="1"/>
    <col min="270" max="272" width="9.140625" style="503"/>
    <col min="273" max="273" width="10.42578125" style="503" customWidth="1"/>
    <col min="274" max="277" width="10.140625" style="503" customWidth="1"/>
    <col min="278" max="279" width="9.140625" style="158"/>
    <col min="280" max="296" width="9.140625" style="503"/>
    <col min="297" max="16384" width="9.140625" style="87"/>
  </cols>
  <sheetData>
    <row r="1" spans="1:296" s="96" customFormat="1" ht="13.9" customHeight="1">
      <c r="A1" s="2300" t="str">
        <f>CONCATENATE("PART SIX - PROJECTED REVENUES &amp; EXPENSES","  -  ",'Part I-Project Information'!$O$4," ",'Part I-Project Information'!$F$24,", ",'Part I-Project Information'!F28,", ",'Part I-Project Information'!J29," County")</f>
        <v>PART SIX - PROJECTED REVENUES &amp; EXPENSES  -  2016-508 Gateway Capitol View, Atlanta, Fulton County</v>
      </c>
      <c r="B1" s="2301"/>
      <c r="C1" s="2301"/>
      <c r="D1" s="2301"/>
      <c r="E1" s="2301"/>
      <c r="F1" s="2301"/>
      <c r="G1" s="2301"/>
      <c r="H1" s="2301"/>
      <c r="I1" s="2301"/>
      <c r="J1" s="2301"/>
      <c r="K1" s="2301"/>
      <c r="L1" s="2301"/>
      <c r="M1" s="2301"/>
      <c r="N1" s="2301"/>
      <c r="O1" s="2301"/>
      <c r="P1" s="2302"/>
      <c r="U1" s="2406" t="str">
        <f>A1</f>
        <v>PART SIX - PROJECTED REVENUES &amp; EXPENSES  -  2016-508 Gateway Capitol View, Atlanta, Fulton County</v>
      </c>
      <c r="V1" s="2406"/>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c r="GG1" s="506"/>
      <c r="GH1" s="506"/>
      <c r="GI1" s="506"/>
      <c r="GJ1" s="506"/>
      <c r="GK1" s="506"/>
      <c r="GL1" s="506"/>
      <c r="GM1" s="506"/>
      <c r="GN1" s="506"/>
      <c r="GO1" s="506"/>
      <c r="GP1" s="506"/>
      <c r="GQ1" s="506"/>
      <c r="GR1" s="506"/>
      <c r="GS1" s="506"/>
      <c r="GT1" s="506"/>
      <c r="GU1" s="506"/>
      <c r="GV1" s="506"/>
      <c r="GW1" s="506"/>
      <c r="GX1" s="506"/>
      <c r="GY1" s="506"/>
      <c r="GZ1" s="506"/>
      <c r="HA1" s="506"/>
      <c r="HB1" s="506"/>
      <c r="HC1" s="506"/>
      <c r="HD1" s="506"/>
      <c r="HE1" s="506"/>
      <c r="HF1" s="506"/>
      <c r="HG1" s="506"/>
      <c r="HH1" s="506"/>
      <c r="HI1" s="506"/>
      <c r="HJ1" s="506"/>
      <c r="HK1" s="506"/>
      <c r="HL1" s="506"/>
      <c r="HM1" s="505"/>
      <c r="HN1" s="505"/>
      <c r="HO1" s="506"/>
      <c r="HP1" s="506"/>
      <c r="HQ1" s="506"/>
      <c r="HR1" s="505"/>
      <c r="HS1" s="505"/>
      <c r="HT1" s="505"/>
      <c r="HU1" s="505"/>
      <c r="HV1" s="507"/>
      <c r="HW1" s="505"/>
      <c r="HX1" s="505"/>
      <c r="HY1" s="505"/>
      <c r="HZ1" s="505"/>
      <c r="IA1" s="507"/>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100"/>
      <c r="JS1" s="100"/>
      <c r="JT1" s="505"/>
      <c r="JU1" s="505"/>
      <c r="JV1" s="505"/>
      <c r="JW1" s="505"/>
      <c r="JX1" s="505"/>
      <c r="JY1" s="505"/>
      <c r="JZ1" s="505"/>
      <c r="KA1" s="505"/>
      <c r="KB1" s="505"/>
      <c r="KC1" s="505"/>
      <c r="KD1" s="505"/>
      <c r="KE1" s="505"/>
      <c r="KF1" s="505"/>
      <c r="KG1" s="505"/>
      <c r="KH1" s="505"/>
      <c r="KI1" s="505"/>
      <c r="KJ1" s="505"/>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848"/>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8"/>
      <c r="HU2" s="508"/>
      <c r="HV2" s="508"/>
      <c r="HW2" s="508"/>
      <c r="HX2" s="508"/>
      <c r="HY2" s="508"/>
      <c r="HZ2" s="508"/>
      <c r="IA2" s="508"/>
      <c r="IB2" s="508"/>
      <c r="IC2" s="508"/>
      <c r="ID2" s="503"/>
      <c r="II2" s="508"/>
      <c r="IJ2" s="508"/>
      <c r="IK2" s="508"/>
      <c r="IL2" s="508"/>
      <c r="IM2" s="508"/>
      <c r="IN2" s="508"/>
      <c r="IO2" s="508"/>
      <c r="IP2" s="508"/>
      <c r="IQ2" s="508"/>
      <c r="IR2" s="508"/>
      <c r="IS2" s="508"/>
      <c r="IT2" s="508"/>
      <c r="IU2" s="508"/>
      <c r="IV2" s="508"/>
      <c r="IW2" s="508"/>
      <c r="IX2" s="508"/>
      <c r="IY2" s="508"/>
      <c r="IZ2" s="508"/>
      <c r="JA2" s="508"/>
      <c r="JB2" s="508"/>
    </row>
    <row r="3" spans="1:296" s="96" customFormat="1" ht="12.6" customHeight="1">
      <c r="A3" s="4" t="s">
        <v>646</v>
      </c>
      <c r="B3" s="4" t="s">
        <v>2460</v>
      </c>
      <c r="C3" s="1"/>
      <c r="D3" s="1473" t="s">
        <v>4097</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849"/>
      <c r="EX3" s="511"/>
      <c r="EY3" s="511"/>
      <c r="EZ3" s="511"/>
      <c r="FA3" s="511"/>
      <c r="FB3" s="509" t="s">
        <v>508</v>
      </c>
      <c r="FC3" s="509" t="s">
        <v>2537</v>
      </c>
      <c r="FD3" s="509" t="s">
        <v>2538</v>
      </c>
      <c r="FE3" s="509" t="s">
        <v>2539</v>
      </c>
      <c r="FF3" s="509" t="s">
        <v>2540</v>
      </c>
      <c r="FG3" s="509" t="s">
        <v>508</v>
      </c>
      <c r="FH3" s="509" t="s">
        <v>2537</v>
      </c>
      <c r="FI3" s="509" t="s">
        <v>2538</v>
      </c>
      <c r="FJ3" s="509" t="s">
        <v>2539</v>
      </c>
      <c r="FK3" s="509" t="s">
        <v>2540</v>
      </c>
      <c r="FL3" s="511"/>
      <c r="FM3" s="511"/>
      <c r="FN3" s="511"/>
      <c r="FO3" s="511"/>
      <c r="FP3" s="511"/>
      <c r="FQ3" s="511"/>
      <c r="FR3" s="511"/>
      <c r="FS3" s="511"/>
      <c r="FT3" s="511"/>
      <c r="FU3" s="511"/>
      <c r="FV3" s="509" t="s">
        <v>508</v>
      </c>
      <c r="FW3" s="509" t="s">
        <v>2537</v>
      </c>
      <c r="FX3" s="509" t="s">
        <v>2538</v>
      </c>
      <c r="FY3" s="509" t="s">
        <v>2539</v>
      </c>
      <c r="FZ3" s="509" t="s">
        <v>2540</v>
      </c>
      <c r="GA3" s="509" t="s">
        <v>508</v>
      </c>
      <c r="GB3" s="509" t="s">
        <v>2537</v>
      </c>
      <c r="GC3" s="509" t="s">
        <v>2538</v>
      </c>
      <c r="GD3" s="509" t="s">
        <v>2539</v>
      </c>
      <c r="GE3" s="509" t="s">
        <v>2540</v>
      </c>
      <c r="GF3" s="509" t="s">
        <v>508</v>
      </c>
      <c r="GG3" s="509" t="s">
        <v>2537</v>
      </c>
      <c r="GH3" s="509" t="s">
        <v>2538</v>
      </c>
      <c r="GI3" s="509" t="s">
        <v>2539</v>
      </c>
      <c r="GJ3" s="509" t="s">
        <v>2540</v>
      </c>
      <c r="GK3" s="509" t="s">
        <v>508</v>
      </c>
      <c r="GL3" s="509" t="s">
        <v>2537</v>
      </c>
      <c r="GM3" s="509" t="s">
        <v>2538</v>
      </c>
      <c r="GN3" s="509" t="s">
        <v>2539</v>
      </c>
      <c r="GO3" s="509" t="s">
        <v>2540</v>
      </c>
      <c r="GP3" s="509" t="s">
        <v>508</v>
      </c>
      <c r="GQ3" s="509" t="s">
        <v>2537</v>
      </c>
      <c r="GR3" s="509" t="s">
        <v>2538</v>
      </c>
      <c r="GS3" s="509" t="s">
        <v>2539</v>
      </c>
      <c r="GT3" s="509" t="s">
        <v>2540</v>
      </c>
      <c r="GU3" s="509" t="s">
        <v>508</v>
      </c>
      <c r="GV3" s="509" t="s">
        <v>2537</v>
      </c>
      <c r="GW3" s="509" t="s">
        <v>2538</v>
      </c>
      <c r="GX3" s="509" t="s">
        <v>2539</v>
      </c>
      <c r="GY3" s="509" t="s">
        <v>2540</v>
      </c>
      <c r="GZ3" s="509" t="s">
        <v>508</v>
      </c>
      <c r="HA3" s="509" t="s">
        <v>2537</v>
      </c>
      <c r="HB3" s="509" t="s">
        <v>2538</v>
      </c>
      <c r="HC3" s="509" t="s">
        <v>2539</v>
      </c>
      <c r="HD3" s="509" t="s">
        <v>2540</v>
      </c>
      <c r="HE3" s="509" t="s">
        <v>508</v>
      </c>
      <c r="HF3" s="509" t="s">
        <v>2537</v>
      </c>
      <c r="HG3" s="509" t="s">
        <v>2538</v>
      </c>
      <c r="HH3" s="509" t="s">
        <v>2539</v>
      </c>
      <c r="HI3" s="509" t="s">
        <v>2540</v>
      </c>
      <c r="HJ3" s="509" t="s">
        <v>508</v>
      </c>
      <c r="HK3" s="509" t="s">
        <v>2537</v>
      </c>
      <c r="HL3" s="509" t="s">
        <v>2538</v>
      </c>
      <c r="HM3" s="509" t="s">
        <v>2539</v>
      </c>
      <c r="HN3" s="509" t="s">
        <v>2540</v>
      </c>
      <c r="HO3" s="509" t="s">
        <v>508</v>
      </c>
      <c r="HP3" s="509" t="s">
        <v>2537</v>
      </c>
      <c r="HQ3" s="509" t="s">
        <v>2538</v>
      </c>
      <c r="HR3" s="509" t="s">
        <v>2539</v>
      </c>
      <c r="HS3" s="509" t="s">
        <v>2540</v>
      </c>
      <c r="HT3" s="509" t="s">
        <v>508</v>
      </c>
      <c r="HU3" s="509" t="s">
        <v>2537</v>
      </c>
      <c r="HV3" s="509" t="s">
        <v>2538</v>
      </c>
      <c r="HW3" s="509" t="s">
        <v>2539</v>
      </c>
      <c r="HX3" s="509" t="s">
        <v>2540</v>
      </c>
      <c r="HY3" s="509" t="s">
        <v>508</v>
      </c>
      <c r="HZ3" s="509" t="s">
        <v>2537</v>
      </c>
      <c r="IA3" s="509" t="s">
        <v>2538</v>
      </c>
      <c r="IB3" s="509" t="s">
        <v>2539</v>
      </c>
      <c r="IC3" s="509" t="s">
        <v>2540</v>
      </c>
      <c r="ID3" s="505"/>
      <c r="IE3" s="505"/>
      <c r="IF3" s="505"/>
      <c r="IG3" s="505"/>
      <c r="IH3" s="505"/>
      <c r="II3" s="510"/>
      <c r="IJ3" s="510"/>
      <c r="IK3" s="510"/>
      <c r="IL3" s="510"/>
      <c r="IM3" s="510"/>
      <c r="IN3" s="510"/>
      <c r="IO3" s="510"/>
      <c r="IP3" s="510"/>
      <c r="IQ3" s="510"/>
      <c r="IR3" s="510"/>
      <c r="IS3" s="510"/>
      <c r="IT3" s="510"/>
      <c r="IU3" s="510"/>
      <c r="IV3" s="510"/>
      <c r="IW3" s="510"/>
      <c r="IX3" s="510"/>
      <c r="IY3" s="510"/>
      <c r="IZ3" s="510"/>
      <c r="JA3" s="510"/>
      <c r="JB3" s="510"/>
      <c r="JC3" s="2407" t="s">
        <v>3812</v>
      </c>
      <c r="JD3" s="2407" t="s">
        <v>3813</v>
      </c>
      <c r="JE3" s="2407" t="s">
        <v>3814</v>
      </c>
      <c r="JF3" s="2407" t="s">
        <v>3815</v>
      </c>
      <c r="JG3" s="2407" t="s">
        <v>3816</v>
      </c>
      <c r="JH3" s="505"/>
      <c r="JI3" s="505"/>
      <c r="JJ3" s="505"/>
      <c r="JK3" s="505"/>
      <c r="JL3" s="505"/>
      <c r="JM3" s="505"/>
      <c r="JN3" s="505"/>
      <c r="JO3" s="505"/>
      <c r="JP3" s="505"/>
      <c r="JQ3" s="505"/>
      <c r="JR3" s="100"/>
      <c r="JS3" s="100"/>
      <c r="JT3" s="505"/>
      <c r="JU3" s="505"/>
      <c r="JV3" s="505"/>
      <c r="JW3" s="505"/>
      <c r="JX3" s="505"/>
      <c r="JY3" s="505"/>
      <c r="JZ3" s="505"/>
      <c r="KA3" s="505"/>
      <c r="KB3" s="505"/>
      <c r="KC3" s="505"/>
      <c r="KD3" s="505"/>
      <c r="KE3" s="505"/>
      <c r="KF3" s="505"/>
      <c r="KG3" s="505"/>
      <c r="KH3" s="505"/>
      <c r="KI3" s="505"/>
      <c r="KJ3" s="505"/>
    </row>
    <row r="4" spans="1:296" s="96" customFormat="1" ht="3" customHeight="1">
      <c r="B4" s="4"/>
      <c r="C4" s="1"/>
      <c r="D4" s="4"/>
      <c r="E4" s="1"/>
      <c r="F4" s="1"/>
      <c r="G4" s="1"/>
      <c r="I4" s="1"/>
      <c r="J4" s="1"/>
      <c r="K4" s="1"/>
      <c r="L4" s="1"/>
      <c r="M4" s="1"/>
      <c r="P4" s="2401" t="s">
        <v>4529</v>
      </c>
      <c r="Q4" s="2030"/>
      <c r="R4" s="464"/>
      <c r="S4" s="464"/>
      <c r="T4" s="464"/>
      <c r="U4" s="464"/>
      <c r="V4" s="465"/>
      <c r="W4" s="2408" t="s">
        <v>959</v>
      </c>
      <c r="X4" s="2408" t="s">
        <v>793</v>
      </c>
      <c r="Y4" s="2408" t="s">
        <v>794</v>
      </c>
      <c r="Z4" s="2408" t="s">
        <v>795</v>
      </c>
      <c r="AA4" s="2408" t="s">
        <v>796</v>
      </c>
      <c r="AB4" s="2408" t="s">
        <v>960</v>
      </c>
      <c r="AC4" s="2408" t="s">
        <v>2401</v>
      </c>
      <c r="AD4" s="2408" t="s">
        <v>2402</v>
      </c>
      <c r="AE4" s="2408" t="s">
        <v>2403</v>
      </c>
      <c r="AF4" s="2408" t="s">
        <v>2404</v>
      </c>
      <c r="AG4" s="2408" t="s">
        <v>961</v>
      </c>
      <c r="AH4" s="2408" t="s">
        <v>2405</v>
      </c>
      <c r="AI4" s="2408" t="s">
        <v>2406</v>
      </c>
      <c r="AJ4" s="2408" t="s">
        <v>2407</v>
      </c>
      <c r="AK4" s="2408" t="s">
        <v>2408</v>
      </c>
      <c r="AL4" s="2408" t="s">
        <v>131</v>
      </c>
      <c r="AM4" s="2408" t="s">
        <v>2409</v>
      </c>
      <c r="AN4" s="2408" t="s">
        <v>2410</v>
      </c>
      <c r="AO4" s="2408" t="s">
        <v>2411</v>
      </c>
      <c r="AP4" s="2408" t="s">
        <v>1197</v>
      </c>
      <c r="AQ4" s="2408" t="s">
        <v>581</v>
      </c>
      <c r="AR4" s="2408" t="s">
        <v>582</v>
      </c>
      <c r="AS4" s="2408" t="s">
        <v>604</v>
      </c>
      <c r="AT4" s="2408" t="s">
        <v>605</v>
      </c>
      <c r="AU4" s="2408" t="s">
        <v>606</v>
      </c>
      <c r="AV4" s="2408" t="s">
        <v>607</v>
      </c>
      <c r="AW4" s="2408" t="s">
        <v>608</v>
      </c>
      <c r="AX4" s="2408" t="s">
        <v>609</v>
      </c>
      <c r="AY4" s="2408" t="s">
        <v>610</v>
      </c>
      <c r="AZ4" s="2408" t="s">
        <v>611</v>
      </c>
      <c r="BA4" s="2408" t="s">
        <v>612</v>
      </c>
      <c r="BB4" s="2408" t="s">
        <v>613</v>
      </c>
      <c r="BC4" s="2408" t="s">
        <v>971</v>
      </c>
      <c r="BD4" s="2408" t="s">
        <v>972</v>
      </c>
      <c r="BE4" s="2408" t="s">
        <v>973</v>
      </c>
      <c r="BF4" s="2408" t="s">
        <v>520</v>
      </c>
      <c r="BG4" s="2408" t="s">
        <v>521</v>
      </c>
      <c r="BH4" s="2408" t="s">
        <v>522</v>
      </c>
      <c r="BI4" s="2408" t="s">
        <v>523</v>
      </c>
      <c r="BJ4" s="2408" t="s">
        <v>524</v>
      </c>
      <c r="BK4" s="2408" t="s">
        <v>920</v>
      </c>
      <c r="BL4" s="2408" t="s">
        <v>921</v>
      </c>
      <c r="BM4" s="2408" t="s">
        <v>922</v>
      </c>
      <c r="BN4" s="2408" t="s">
        <v>923</v>
      </c>
      <c r="BO4" s="2408" t="s">
        <v>924</v>
      </c>
      <c r="BP4" s="2408" t="s">
        <v>925</v>
      </c>
      <c r="BQ4" s="2408" t="s">
        <v>926</v>
      </c>
      <c r="BR4" s="2408" t="s">
        <v>927</v>
      </c>
      <c r="BS4" s="2408" t="s">
        <v>928</v>
      </c>
      <c r="BT4" s="2408" t="s">
        <v>929</v>
      </c>
      <c r="BU4" s="2408" t="s">
        <v>2527</v>
      </c>
      <c r="BV4" s="2408" t="s">
        <v>2528</v>
      </c>
      <c r="BW4" s="2408" t="s">
        <v>2529</v>
      </c>
      <c r="BX4" s="2408" t="s">
        <v>2530</v>
      </c>
      <c r="BY4" s="2408" t="s">
        <v>2531</v>
      </c>
      <c r="BZ4" s="2408" t="s">
        <v>119</v>
      </c>
      <c r="CA4" s="2408" t="s">
        <v>1200</v>
      </c>
      <c r="CB4" s="2408" t="s">
        <v>1201</v>
      </c>
      <c r="CC4" s="2408" t="s">
        <v>1266</v>
      </c>
      <c r="CD4" s="2408" t="s">
        <v>1267</v>
      </c>
      <c r="CE4" s="2409" t="s">
        <v>134</v>
      </c>
      <c r="CF4" s="2409" t="s">
        <v>1268</v>
      </c>
      <c r="CG4" s="2409" t="s">
        <v>1269</v>
      </c>
      <c r="CH4" s="2409" t="s">
        <v>1270</v>
      </c>
      <c r="CI4" s="2409" t="s">
        <v>1271</v>
      </c>
      <c r="CJ4" s="2409" t="s">
        <v>133</v>
      </c>
      <c r="CK4" s="2409" t="s">
        <v>951</v>
      </c>
      <c r="CL4" s="2409" t="s">
        <v>952</v>
      </c>
      <c r="CM4" s="2409" t="s">
        <v>953</v>
      </c>
      <c r="CN4" s="2409" t="s">
        <v>954</v>
      </c>
      <c r="CO4" s="2409" t="s">
        <v>132</v>
      </c>
      <c r="CP4" s="2409" t="s">
        <v>955</v>
      </c>
      <c r="CQ4" s="2409" t="s">
        <v>956</v>
      </c>
      <c r="CR4" s="2409" t="s">
        <v>957</v>
      </c>
      <c r="CS4" s="2409" t="s">
        <v>958</v>
      </c>
      <c r="CT4" s="2409" t="s">
        <v>848</v>
      </c>
      <c r="CU4" s="2409" t="s">
        <v>849</v>
      </c>
      <c r="CV4" s="2409" t="s">
        <v>850</v>
      </c>
      <c r="CW4" s="2409" t="s">
        <v>851</v>
      </c>
      <c r="CX4" s="2409" t="s">
        <v>852</v>
      </c>
      <c r="CY4" s="2409" t="s">
        <v>998</v>
      </c>
      <c r="CZ4" s="2409" t="s">
        <v>999</v>
      </c>
      <c r="DA4" s="2409" t="s">
        <v>1000</v>
      </c>
      <c r="DB4" s="2409" t="s">
        <v>1001</v>
      </c>
      <c r="DC4" s="2409" t="s">
        <v>2526</v>
      </c>
      <c r="DD4" s="2409" t="s">
        <v>1495</v>
      </c>
      <c r="DE4" s="2409" t="s">
        <v>1496</v>
      </c>
      <c r="DF4" s="2409" t="s">
        <v>1497</v>
      </c>
      <c r="DG4" s="2409" t="s">
        <v>1498</v>
      </c>
      <c r="DH4" s="2409" t="s">
        <v>1499</v>
      </c>
      <c r="DI4" s="2409" t="s">
        <v>454</v>
      </c>
      <c r="DJ4" s="2409" t="s">
        <v>455</v>
      </c>
      <c r="DK4" s="2409" t="s">
        <v>456</v>
      </c>
      <c r="DL4" s="2409" t="s">
        <v>457</v>
      </c>
      <c r="DM4" s="2409" t="s">
        <v>458</v>
      </c>
      <c r="DN4" s="2409" t="s">
        <v>18</v>
      </c>
      <c r="DO4" s="2409" t="s">
        <v>19</v>
      </c>
      <c r="DP4" s="2409" t="s">
        <v>20</v>
      </c>
      <c r="DQ4" s="2409" t="s">
        <v>21</v>
      </c>
      <c r="DR4" s="2409" t="s">
        <v>22</v>
      </c>
      <c r="DS4" s="2409" t="s">
        <v>232</v>
      </c>
      <c r="DT4" s="2409" t="s">
        <v>233</v>
      </c>
      <c r="DU4" s="2409" t="s">
        <v>234</v>
      </c>
      <c r="DV4" s="2409" t="s">
        <v>1889</v>
      </c>
      <c r="DW4" s="2409" t="s">
        <v>1890</v>
      </c>
      <c r="DX4" s="2409" t="s">
        <v>1891</v>
      </c>
      <c r="DY4" s="2409" t="s">
        <v>620</v>
      </c>
      <c r="DZ4" s="2409" t="s">
        <v>621</v>
      </c>
      <c r="EA4" s="2409" t="s">
        <v>622</v>
      </c>
      <c r="EB4" s="2409" t="s">
        <v>623</v>
      </c>
      <c r="EC4" s="2409" t="s">
        <v>23</v>
      </c>
      <c r="ED4" s="2409" t="s">
        <v>24</v>
      </c>
      <c r="EE4" s="2409" t="s">
        <v>25</v>
      </c>
      <c r="EF4" s="2409" t="s">
        <v>26</v>
      </c>
      <c r="EG4" s="2409" t="s">
        <v>27</v>
      </c>
      <c r="EH4" s="2409" t="s">
        <v>519</v>
      </c>
      <c r="EI4" s="2409" t="s">
        <v>450</v>
      </c>
      <c r="EJ4" s="2409" t="s">
        <v>451</v>
      </c>
      <c r="EK4" s="2409" t="s">
        <v>452</v>
      </c>
      <c r="EL4" s="2409" t="s">
        <v>453</v>
      </c>
      <c r="EM4" s="2409" t="s">
        <v>2297</v>
      </c>
      <c r="EN4" s="2409" t="s">
        <v>2298</v>
      </c>
      <c r="EO4" s="2409" t="s">
        <v>2299</v>
      </c>
      <c r="EP4" s="2409" t="s">
        <v>1545</v>
      </c>
      <c r="EQ4" s="2409" t="s">
        <v>1546</v>
      </c>
      <c r="ER4" s="2409" t="s">
        <v>28</v>
      </c>
      <c r="ES4" s="2409" t="s">
        <v>29</v>
      </c>
      <c r="ET4" s="2409" t="s">
        <v>30</v>
      </c>
      <c r="EU4" s="2409" t="s">
        <v>31</v>
      </c>
      <c r="EV4" s="2409" t="s">
        <v>32</v>
      </c>
      <c r="EW4" s="77"/>
      <c r="EX4" s="506"/>
      <c r="EY4" s="506"/>
      <c r="EZ4" s="506"/>
      <c r="FA4" s="506"/>
      <c r="FB4" s="506"/>
      <c r="FC4" s="506"/>
      <c r="FD4" s="506"/>
      <c r="FE4" s="506"/>
      <c r="FF4" s="506"/>
      <c r="FG4" s="506"/>
      <c r="FH4" s="506"/>
      <c r="FI4" s="506"/>
      <c r="FJ4" s="506"/>
      <c r="FK4" s="506"/>
      <c r="FL4" s="506"/>
      <c r="FM4" s="506"/>
      <c r="FN4" s="506"/>
      <c r="FO4" s="506"/>
      <c r="FP4" s="506"/>
      <c r="FQ4" s="506"/>
      <c r="FR4" s="506"/>
      <c r="FS4" s="506"/>
      <c r="FT4" s="506"/>
      <c r="FU4" s="506"/>
      <c r="FV4" s="506"/>
      <c r="FW4" s="506"/>
      <c r="FX4" s="506"/>
      <c r="FY4" s="506"/>
      <c r="FZ4" s="506"/>
      <c r="GA4" s="506"/>
      <c r="GB4" s="506"/>
      <c r="GC4" s="506"/>
      <c r="GD4" s="506"/>
      <c r="GE4" s="506"/>
      <c r="GF4" s="506"/>
      <c r="GG4" s="506"/>
      <c r="GH4" s="506"/>
      <c r="GI4" s="506"/>
      <c r="GJ4" s="506"/>
      <c r="GK4" s="506"/>
      <c r="GL4" s="506"/>
      <c r="GM4" s="506"/>
      <c r="GN4" s="506"/>
      <c r="GO4" s="506"/>
      <c r="GP4" s="506"/>
      <c r="GQ4" s="506"/>
      <c r="GR4" s="506"/>
      <c r="GS4" s="506"/>
      <c r="GT4" s="506"/>
      <c r="GU4" s="506"/>
      <c r="GV4" s="506"/>
      <c r="GW4" s="506"/>
      <c r="GX4" s="506"/>
      <c r="GY4" s="506"/>
      <c r="GZ4" s="506"/>
      <c r="HA4" s="506"/>
      <c r="HB4" s="506"/>
      <c r="HC4" s="506"/>
      <c r="HD4" s="506"/>
      <c r="HE4" s="506"/>
      <c r="HF4" s="506"/>
      <c r="HG4" s="506"/>
      <c r="HH4" s="506"/>
      <c r="HI4" s="506"/>
      <c r="HJ4" s="506"/>
      <c r="HK4" s="506"/>
      <c r="HL4" s="506"/>
      <c r="HM4" s="506"/>
      <c r="HN4" s="506"/>
      <c r="HO4" s="506"/>
      <c r="HP4" s="506"/>
      <c r="HQ4" s="506"/>
      <c r="HR4" s="506"/>
      <c r="HS4" s="506"/>
      <c r="HT4" s="505"/>
      <c r="HU4" s="505"/>
      <c r="HV4" s="505"/>
      <c r="HW4" s="505"/>
      <c r="HX4" s="505"/>
      <c r="HY4" s="505"/>
      <c r="HZ4" s="505"/>
      <c r="IA4" s="505"/>
      <c r="IB4" s="505"/>
      <c r="IC4" s="505"/>
      <c r="ID4" s="2407" t="s">
        <v>1693</v>
      </c>
      <c r="IE4" s="2407" t="s">
        <v>2623</v>
      </c>
      <c r="IF4" s="2407" t="s">
        <v>2624</v>
      </c>
      <c r="IG4" s="2407" t="s">
        <v>401</v>
      </c>
      <c r="IH4" s="2407" t="s">
        <v>402</v>
      </c>
      <c r="II4" s="2407" t="s">
        <v>403</v>
      </c>
      <c r="IJ4" s="2407" t="s">
        <v>404</v>
      </c>
      <c r="IK4" s="2407" t="s">
        <v>405</v>
      </c>
      <c r="IL4" s="2407" t="s">
        <v>406</v>
      </c>
      <c r="IM4" s="2407" t="s">
        <v>407</v>
      </c>
      <c r="IN4" s="2407" t="s">
        <v>209</v>
      </c>
      <c r="IO4" s="2407" t="s">
        <v>210</v>
      </c>
      <c r="IP4" s="2407" t="s">
        <v>211</v>
      </c>
      <c r="IQ4" s="2407" t="s">
        <v>212</v>
      </c>
      <c r="IR4" s="2407" t="s">
        <v>213</v>
      </c>
      <c r="IS4" s="2407" t="s">
        <v>214</v>
      </c>
      <c r="IT4" s="2407" t="s">
        <v>215</v>
      </c>
      <c r="IU4" s="2407" t="s">
        <v>216</v>
      </c>
      <c r="IV4" s="2407" t="s">
        <v>217</v>
      </c>
      <c r="IW4" s="2407" t="s">
        <v>218</v>
      </c>
      <c r="IX4" s="2407" t="s">
        <v>219</v>
      </c>
      <c r="IY4" s="2407" t="s">
        <v>220</v>
      </c>
      <c r="IZ4" s="2407" t="s">
        <v>221</v>
      </c>
      <c r="JA4" s="2407" t="s">
        <v>222</v>
      </c>
      <c r="JB4" s="2407" t="s">
        <v>223</v>
      </c>
      <c r="JC4" s="2407"/>
      <c r="JD4" s="2407"/>
      <c r="JE4" s="2407"/>
      <c r="JF4" s="2407"/>
      <c r="JG4" s="2407"/>
      <c r="JH4" s="505"/>
      <c r="JI4" s="505"/>
      <c r="JJ4" s="505"/>
      <c r="JK4" s="505"/>
      <c r="JL4" s="505"/>
      <c r="JM4" s="505"/>
      <c r="JN4" s="505"/>
      <c r="JO4" s="505"/>
      <c r="JP4" s="505"/>
      <c r="JQ4" s="505"/>
      <c r="JR4" s="100"/>
      <c r="JS4" s="100"/>
      <c r="JT4" s="505"/>
      <c r="JU4" s="505"/>
      <c r="JV4" s="505"/>
      <c r="JW4" s="505"/>
      <c r="JX4" s="505"/>
      <c r="JY4" s="505"/>
      <c r="JZ4" s="505"/>
      <c r="KA4" s="505"/>
      <c r="KB4" s="505"/>
      <c r="KC4" s="505"/>
      <c r="KD4" s="505"/>
      <c r="KE4" s="505"/>
      <c r="KF4" s="505"/>
      <c r="KG4" s="505"/>
      <c r="KH4" s="505"/>
      <c r="KI4" s="505"/>
      <c r="KJ4" s="505"/>
    </row>
    <row r="5" spans="1:296" s="96" customFormat="1" ht="13.15" customHeight="1">
      <c r="A5" s="2403" t="str">
        <f>IF(A48&gt;0,"Finish Row!","")</f>
        <v/>
      </c>
      <c r="B5" s="4" t="s">
        <v>1926</v>
      </c>
      <c r="D5" s="1"/>
      <c r="E5" s="4"/>
      <c r="F5" s="1"/>
      <c r="H5" s="3208" t="s">
        <v>4751</v>
      </c>
      <c r="J5" s="2029" t="s">
        <v>4090</v>
      </c>
      <c r="M5" s="2037" t="s">
        <v>603</v>
      </c>
      <c r="O5" s="2028" t="s">
        <v>1079</v>
      </c>
      <c r="P5" s="2401"/>
      <c r="Q5" s="2030"/>
      <c r="R5" s="100"/>
      <c r="S5" s="100"/>
      <c r="T5" s="100"/>
      <c r="W5" s="2408"/>
      <c r="X5" s="2408"/>
      <c r="Y5" s="2408"/>
      <c r="Z5" s="2408"/>
      <c r="AA5" s="2408"/>
      <c r="AB5" s="2408"/>
      <c r="AC5" s="2408"/>
      <c r="AD5" s="2408"/>
      <c r="AE5" s="2408"/>
      <c r="AF5" s="2408"/>
      <c r="AG5" s="2408"/>
      <c r="AH5" s="2408"/>
      <c r="AI5" s="2408"/>
      <c r="AJ5" s="2408"/>
      <c r="AK5" s="2408"/>
      <c r="AL5" s="2408"/>
      <c r="AM5" s="2408"/>
      <c r="AN5" s="2408"/>
      <c r="AO5" s="2408"/>
      <c r="AP5" s="2408"/>
      <c r="AQ5" s="2408"/>
      <c r="AR5" s="2408"/>
      <c r="AS5" s="2408"/>
      <c r="AT5" s="2408"/>
      <c r="AU5" s="2408"/>
      <c r="AV5" s="2408"/>
      <c r="AW5" s="2408"/>
      <c r="AX5" s="2408"/>
      <c r="AY5" s="2408"/>
      <c r="AZ5" s="2408"/>
      <c r="BA5" s="2408"/>
      <c r="BB5" s="2408"/>
      <c r="BC5" s="2408"/>
      <c r="BD5" s="2408"/>
      <c r="BE5" s="2408"/>
      <c r="BF5" s="2408"/>
      <c r="BG5" s="2408"/>
      <c r="BH5" s="2408"/>
      <c r="BI5" s="2408"/>
      <c r="BJ5" s="2408"/>
      <c r="BK5" s="2408"/>
      <c r="BL5" s="2408"/>
      <c r="BM5" s="2408"/>
      <c r="BN5" s="2408"/>
      <c r="BO5" s="2408"/>
      <c r="BP5" s="2408"/>
      <c r="BQ5" s="2408"/>
      <c r="BR5" s="2408"/>
      <c r="BS5" s="2408"/>
      <c r="BT5" s="2408"/>
      <c r="BU5" s="2408"/>
      <c r="BV5" s="2408"/>
      <c r="BW5" s="2408"/>
      <c r="BX5" s="2408"/>
      <c r="BY5" s="2408"/>
      <c r="BZ5" s="2408"/>
      <c r="CA5" s="2408"/>
      <c r="CB5" s="2408"/>
      <c r="CC5" s="2408"/>
      <c r="CD5" s="2408"/>
      <c r="CE5" s="2409"/>
      <c r="CF5" s="2409"/>
      <c r="CG5" s="2409"/>
      <c r="CH5" s="2409"/>
      <c r="CI5" s="2409"/>
      <c r="CJ5" s="2409"/>
      <c r="CK5" s="2409"/>
      <c r="CL5" s="2409"/>
      <c r="CM5" s="2409"/>
      <c r="CN5" s="2409"/>
      <c r="CO5" s="2409"/>
      <c r="CP5" s="2409"/>
      <c r="CQ5" s="2409"/>
      <c r="CR5" s="2409"/>
      <c r="CS5" s="2409"/>
      <c r="CT5" s="2409"/>
      <c r="CU5" s="2409"/>
      <c r="CV5" s="2409"/>
      <c r="CW5" s="2409"/>
      <c r="CX5" s="2409"/>
      <c r="CY5" s="2409"/>
      <c r="CZ5" s="2409"/>
      <c r="DA5" s="2409"/>
      <c r="DB5" s="2409"/>
      <c r="DC5" s="2409"/>
      <c r="DD5" s="2409"/>
      <c r="DE5" s="2409"/>
      <c r="DF5" s="2409"/>
      <c r="DG5" s="2409"/>
      <c r="DH5" s="2409"/>
      <c r="DI5" s="2409"/>
      <c r="DJ5" s="2409"/>
      <c r="DK5" s="2409"/>
      <c r="DL5" s="2409"/>
      <c r="DM5" s="2409"/>
      <c r="DN5" s="2409"/>
      <c r="DO5" s="2409"/>
      <c r="DP5" s="2409"/>
      <c r="DQ5" s="2409"/>
      <c r="DR5" s="2409"/>
      <c r="DS5" s="2409"/>
      <c r="DT5" s="2409"/>
      <c r="DU5" s="2409"/>
      <c r="DV5" s="2409"/>
      <c r="DW5" s="2409"/>
      <c r="DX5" s="2409"/>
      <c r="DY5" s="2409"/>
      <c r="DZ5" s="2409"/>
      <c r="EA5" s="2409"/>
      <c r="EB5" s="2409"/>
      <c r="EC5" s="2409"/>
      <c r="ED5" s="2409"/>
      <c r="EE5" s="2409"/>
      <c r="EF5" s="2409"/>
      <c r="EG5" s="2409"/>
      <c r="EH5" s="2409"/>
      <c r="EI5" s="2409"/>
      <c r="EJ5" s="2409"/>
      <c r="EK5" s="2409"/>
      <c r="EL5" s="2409"/>
      <c r="EM5" s="2409"/>
      <c r="EN5" s="2409"/>
      <c r="EO5" s="2409"/>
      <c r="EP5" s="2409"/>
      <c r="EQ5" s="2409"/>
      <c r="ER5" s="2409"/>
      <c r="ES5" s="2409"/>
      <c r="ET5" s="2409"/>
      <c r="EU5" s="2409"/>
      <c r="EV5" s="2409"/>
      <c r="EW5" s="77"/>
      <c r="EX5" s="506"/>
      <c r="EY5" s="506"/>
      <c r="EZ5" s="506"/>
      <c r="FA5" s="506"/>
      <c r="FB5" s="506"/>
      <c r="FC5" s="506"/>
      <c r="FD5" s="506"/>
      <c r="FE5" s="506"/>
      <c r="FF5" s="506"/>
      <c r="FG5" s="506"/>
      <c r="FH5" s="506"/>
      <c r="FI5" s="506"/>
      <c r="FJ5" s="506"/>
      <c r="FK5" s="506"/>
      <c r="FL5" s="506"/>
      <c r="FM5" s="506"/>
      <c r="FN5" s="506"/>
      <c r="FO5" s="506"/>
      <c r="FP5" s="506"/>
      <c r="FQ5" s="506"/>
      <c r="FR5" s="506"/>
      <c r="FS5" s="506"/>
      <c r="FT5" s="506"/>
      <c r="FU5" s="506"/>
      <c r="FV5" s="506"/>
      <c r="FW5" s="506"/>
      <c r="FX5" s="506"/>
      <c r="FY5" s="506"/>
      <c r="FZ5" s="506"/>
      <c r="GA5" s="506"/>
      <c r="GB5" s="506"/>
      <c r="GC5" s="506"/>
      <c r="GD5" s="506"/>
      <c r="GE5" s="506"/>
      <c r="GF5" s="506"/>
      <c r="GG5" s="506"/>
      <c r="GH5" s="506"/>
      <c r="GI5" s="506"/>
      <c r="GJ5" s="506"/>
      <c r="GK5" s="506"/>
      <c r="GL5" s="506"/>
      <c r="GM5" s="506"/>
      <c r="GN5" s="506"/>
      <c r="GO5" s="506"/>
      <c r="GP5" s="506"/>
      <c r="GQ5" s="506"/>
      <c r="GR5" s="506"/>
      <c r="GS5" s="506"/>
      <c r="GT5" s="506"/>
      <c r="GU5" s="506"/>
      <c r="GV5" s="506"/>
      <c r="GW5" s="506"/>
      <c r="GX5" s="506"/>
      <c r="GY5" s="506"/>
      <c r="GZ5" s="506"/>
      <c r="HA5" s="506"/>
      <c r="HB5" s="506"/>
      <c r="HC5" s="506"/>
      <c r="HD5" s="506"/>
      <c r="HE5" s="506"/>
      <c r="HF5" s="506"/>
      <c r="HG5" s="506"/>
      <c r="HH5" s="506"/>
      <c r="HI5" s="506"/>
      <c r="HJ5" s="506"/>
      <c r="HK5" s="506"/>
      <c r="HL5" s="506"/>
      <c r="HM5" s="506"/>
      <c r="HN5" s="506"/>
      <c r="HO5" s="506"/>
      <c r="HP5" s="506"/>
      <c r="HQ5" s="506"/>
      <c r="HR5" s="506"/>
      <c r="HS5" s="506"/>
      <c r="HT5" s="505"/>
      <c r="HU5" s="505"/>
      <c r="HV5" s="505"/>
      <c r="HW5" s="505"/>
      <c r="HX5" s="505"/>
      <c r="HY5" s="505"/>
      <c r="HZ5" s="505"/>
      <c r="IA5" s="505"/>
      <c r="IB5" s="505"/>
      <c r="IC5" s="505"/>
      <c r="ID5" s="2407"/>
      <c r="IE5" s="2407"/>
      <c r="IF5" s="2407"/>
      <c r="IG5" s="2407"/>
      <c r="IH5" s="2407"/>
      <c r="II5" s="2407"/>
      <c r="IJ5" s="2407"/>
      <c r="IK5" s="2407"/>
      <c r="IL5" s="2407"/>
      <c r="IM5" s="2407"/>
      <c r="IN5" s="2407"/>
      <c r="IO5" s="2407"/>
      <c r="IP5" s="2407"/>
      <c r="IQ5" s="2407"/>
      <c r="IR5" s="2407"/>
      <c r="IS5" s="2407"/>
      <c r="IT5" s="2407"/>
      <c r="IU5" s="2407"/>
      <c r="IV5" s="2407"/>
      <c r="IW5" s="2407"/>
      <c r="IX5" s="2407"/>
      <c r="IY5" s="2407"/>
      <c r="IZ5" s="2407"/>
      <c r="JA5" s="2407"/>
      <c r="JB5" s="2407"/>
      <c r="JC5" s="2407"/>
      <c r="JD5" s="2407"/>
      <c r="JE5" s="2407"/>
      <c r="JF5" s="2407"/>
      <c r="JG5" s="2407"/>
      <c r="JH5" s="2412" t="s">
        <v>3807</v>
      </c>
      <c r="JI5" s="2412" t="s">
        <v>3808</v>
      </c>
      <c r="JJ5" s="2412" t="s">
        <v>3809</v>
      </c>
      <c r="JK5" s="2412" t="s">
        <v>3810</v>
      </c>
      <c r="JL5" s="2412" t="s">
        <v>3811</v>
      </c>
      <c r="JM5" s="2407" t="s">
        <v>3821</v>
      </c>
      <c r="JN5" s="2407" t="s">
        <v>3823</v>
      </c>
      <c r="JO5" s="2407" t="s">
        <v>3824</v>
      </c>
      <c r="JP5" s="2407" t="s">
        <v>3825</v>
      </c>
      <c r="JQ5" s="2407" t="s">
        <v>3826</v>
      </c>
      <c r="JR5" s="100"/>
      <c r="JS5" s="100"/>
      <c r="JT5" s="505"/>
      <c r="JU5" s="505"/>
      <c r="JV5" s="505"/>
      <c r="JW5" s="505"/>
      <c r="JX5" s="505"/>
      <c r="JY5" s="505"/>
      <c r="JZ5" s="505"/>
      <c r="KA5" s="505"/>
      <c r="KB5" s="505"/>
      <c r="KC5" s="505"/>
      <c r="KD5" s="505"/>
      <c r="KE5" s="505"/>
      <c r="KF5" s="505"/>
      <c r="KG5" s="505"/>
      <c r="KH5" s="505"/>
      <c r="KI5" s="505"/>
      <c r="KJ5" s="505"/>
    </row>
    <row r="6" spans="1:296" s="96" customFormat="1" ht="13.15" customHeight="1">
      <c r="A6" s="2403"/>
      <c r="B6" s="30" t="s">
        <v>1882</v>
      </c>
      <c r="D6" s="1"/>
      <c r="E6" s="4"/>
      <c r="F6" s="3209" t="s">
        <v>3300</v>
      </c>
      <c r="G6" s="2029" t="s">
        <v>4453</v>
      </c>
      <c r="H6" s="2405" t="s">
        <v>4456</v>
      </c>
      <c r="J6" s="2029" t="s">
        <v>4458</v>
      </c>
      <c r="M6" s="2410" t="str">
        <f>'Part I-Project Information'!$O$30</f>
        <v>Atlanta-Sandy Springs-Marietta</v>
      </c>
      <c r="N6" s="2410"/>
      <c r="O6" s="1282">
        <f>VLOOKUP('Part I-Project Information'!$O$30,'DCA Underwriting Assumptions'!$C$141:$D$251,2)</f>
        <v>68300</v>
      </c>
      <c r="P6" s="2401"/>
      <c r="Q6" s="2030"/>
      <c r="R6" s="100"/>
      <c r="S6" s="2411" t="s">
        <v>2818</v>
      </c>
      <c r="T6" s="2411"/>
      <c r="W6" s="2408"/>
      <c r="X6" s="2408"/>
      <c r="Y6" s="2408"/>
      <c r="Z6" s="2408"/>
      <c r="AA6" s="2408"/>
      <c r="AB6" s="2408"/>
      <c r="AC6" s="2408"/>
      <c r="AD6" s="2408"/>
      <c r="AE6" s="2408"/>
      <c r="AF6" s="2408"/>
      <c r="AG6" s="2408"/>
      <c r="AH6" s="2408"/>
      <c r="AI6" s="2408"/>
      <c r="AJ6" s="2408"/>
      <c r="AK6" s="2408"/>
      <c r="AL6" s="2408"/>
      <c r="AM6" s="2408"/>
      <c r="AN6" s="2408"/>
      <c r="AO6" s="2408"/>
      <c r="AP6" s="2408"/>
      <c r="AQ6" s="2408"/>
      <c r="AR6" s="2408"/>
      <c r="AS6" s="2408"/>
      <c r="AT6" s="2408"/>
      <c r="AU6" s="2408"/>
      <c r="AV6" s="2408"/>
      <c r="AW6" s="2408"/>
      <c r="AX6" s="2408"/>
      <c r="AY6" s="2408"/>
      <c r="AZ6" s="2408"/>
      <c r="BA6" s="2408"/>
      <c r="BB6" s="2408"/>
      <c r="BC6" s="2408"/>
      <c r="BD6" s="2408"/>
      <c r="BE6" s="2408"/>
      <c r="BF6" s="2408"/>
      <c r="BG6" s="2408"/>
      <c r="BH6" s="2408"/>
      <c r="BI6" s="2408"/>
      <c r="BJ6" s="2408"/>
      <c r="BK6" s="2408"/>
      <c r="BL6" s="2408"/>
      <c r="BM6" s="2408"/>
      <c r="BN6" s="2408"/>
      <c r="BO6" s="2408"/>
      <c r="BP6" s="2408"/>
      <c r="BQ6" s="2408"/>
      <c r="BR6" s="2408"/>
      <c r="BS6" s="2408"/>
      <c r="BT6" s="2408"/>
      <c r="BU6" s="2408"/>
      <c r="BV6" s="2408"/>
      <c r="BW6" s="2408"/>
      <c r="BX6" s="2408"/>
      <c r="BY6" s="2408"/>
      <c r="BZ6" s="2408"/>
      <c r="CA6" s="2408"/>
      <c r="CB6" s="2408"/>
      <c r="CC6" s="2408"/>
      <c r="CD6" s="2408"/>
      <c r="CE6" s="2409"/>
      <c r="CF6" s="2409"/>
      <c r="CG6" s="2409"/>
      <c r="CH6" s="2409"/>
      <c r="CI6" s="2409"/>
      <c r="CJ6" s="2409"/>
      <c r="CK6" s="2409"/>
      <c r="CL6" s="2409"/>
      <c r="CM6" s="2409"/>
      <c r="CN6" s="2409"/>
      <c r="CO6" s="2409"/>
      <c r="CP6" s="2409"/>
      <c r="CQ6" s="2409"/>
      <c r="CR6" s="2409"/>
      <c r="CS6" s="2409"/>
      <c r="CT6" s="2409"/>
      <c r="CU6" s="2409"/>
      <c r="CV6" s="2409"/>
      <c r="CW6" s="2409"/>
      <c r="CX6" s="2409"/>
      <c r="CY6" s="2409"/>
      <c r="CZ6" s="2409"/>
      <c r="DA6" s="2409"/>
      <c r="DB6" s="2409"/>
      <c r="DC6" s="2409"/>
      <c r="DD6" s="2409"/>
      <c r="DE6" s="2409"/>
      <c r="DF6" s="2409"/>
      <c r="DG6" s="2409"/>
      <c r="DH6" s="2409"/>
      <c r="DI6" s="2409"/>
      <c r="DJ6" s="2409"/>
      <c r="DK6" s="2409"/>
      <c r="DL6" s="2409"/>
      <c r="DM6" s="2409"/>
      <c r="DN6" s="2409"/>
      <c r="DO6" s="2409"/>
      <c r="DP6" s="2409"/>
      <c r="DQ6" s="2409"/>
      <c r="DR6" s="2409"/>
      <c r="DS6" s="2409"/>
      <c r="DT6" s="2409"/>
      <c r="DU6" s="2409"/>
      <c r="DV6" s="2409"/>
      <c r="DW6" s="2409"/>
      <c r="DX6" s="2409"/>
      <c r="DY6" s="2409"/>
      <c r="DZ6" s="2409"/>
      <c r="EA6" s="2409"/>
      <c r="EB6" s="2409"/>
      <c r="EC6" s="2409"/>
      <c r="ED6" s="2409"/>
      <c r="EE6" s="2409"/>
      <c r="EF6" s="2409"/>
      <c r="EG6" s="2409"/>
      <c r="EH6" s="2409"/>
      <c r="EI6" s="2409"/>
      <c r="EJ6" s="2409"/>
      <c r="EK6" s="2409"/>
      <c r="EL6" s="2409"/>
      <c r="EM6" s="2409"/>
      <c r="EN6" s="2409"/>
      <c r="EO6" s="2409"/>
      <c r="EP6" s="2409"/>
      <c r="EQ6" s="2409"/>
      <c r="ER6" s="2409"/>
      <c r="ES6" s="2409"/>
      <c r="ET6" s="2409"/>
      <c r="EU6" s="2409"/>
      <c r="EV6" s="2409"/>
      <c r="EW6" s="77"/>
      <c r="EX6" s="506"/>
      <c r="EY6" s="506"/>
      <c r="EZ6" s="506"/>
      <c r="FA6" s="506"/>
      <c r="FB6" s="506"/>
      <c r="FC6" s="506"/>
      <c r="FD6" s="506"/>
      <c r="FE6" s="506"/>
      <c r="FF6" s="506"/>
      <c r="FG6" s="506"/>
      <c r="FH6" s="506"/>
      <c r="FI6" s="506"/>
      <c r="FJ6" s="506"/>
      <c r="FK6" s="506"/>
      <c r="FL6" s="506"/>
      <c r="FM6" s="506"/>
      <c r="FN6" s="506"/>
      <c r="FO6" s="506"/>
      <c r="FP6" s="506"/>
      <c r="FQ6" s="506"/>
      <c r="FR6" s="506"/>
      <c r="FS6" s="506"/>
      <c r="FT6" s="506"/>
      <c r="FU6" s="506"/>
      <c r="FV6" s="506"/>
      <c r="FW6" s="506"/>
      <c r="FX6" s="506"/>
      <c r="FY6" s="506"/>
      <c r="FZ6" s="506"/>
      <c r="GA6" s="506"/>
      <c r="GB6" s="506"/>
      <c r="GC6" s="506"/>
      <c r="GD6" s="506"/>
      <c r="GE6" s="506"/>
      <c r="GF6" s="506"/>
      <c r="GG6" s="506"/>
      <c r="GH6" s="506"/>
      <c r="GI6" s="506"/>
      <c r="GJ6" s="506"/>
      <c r="GK6" s="506"/>
      <c r="GL6" s="506"/>
      <c r="GM6" s="506"/>
      <c r="GN6" s="506"/>
      <c r="GO6" s="506"/>
      <c r="GP6" s="506"/>
      <c r="GQ6" s="506"/>
      <c r="GR6" s="506"/>
      <c r="GS6" s="506"/>
      <c r="GT6" s="506"/>
      <c r="GU6" s="506"/>
      <c r="GV6" s="506"/>
      <c r="GW6" s="506"/>
      <c r="GX6" s="506"/>
      <c r="GY6" s="506"/>
      <c r="GZ6" s="506"/>
      <c r="HA6" s="506"/>
      <c r="HB6" s="506"/>
      <c r="HC6" s="506"/>
      <c r="HD6" s="506"/>
      <c r="HE6" s="506"/>
      <c r="HF6" s="506"/>
      <c r="HG6" s="506"/>
      <c r="HH6" s="506"/>
      <c r="HI6" s="506"/>
      <c r="HJ6" s="506"/>
      <c r="HK6" s="506"/>
      <c r="HL6" s="506"/>
      <c r="HM6" s="506"/>
      <c r="HN6" s="506"/>
      <c r="HO6" s="506"/>
      <c r="HP6" s="506"/>
      <c r="HQ6" s="506"/>
      <c r="HR6" s="506"/>
      <c r="HS6" s="506"/>
      <c r="HT6" s="505"/>
      <c r="HU6" s="505"/>
      <c r="HV6" s="505"/>
      <c r="HW6" s="505"/>
      <c r="HX6" s="505"/>
      <c r="HY6" s="505"/>
      <c r="HZ6" s="505"/>
      <c r="IA6" s="505"/>
      <c r="IB6" s="505"/>
      <c r="IC6" s="505"/>
      <c r="ID6" s="2407"/>
      <c r="IE6" s="2407"/>
      <c r="IF6" s="2407"/>
      <c r="IG6" s="2407"/>
      <c r="IH6" s="2407"/>
      <c r="II6" s="2407"/>
      <c r="IJ6" s="2407"/>
      <c r="IK6" s="2407"/>
      <c r="IL6" s="2407"/>
      <c r="IM6" s="2407"/>
      <c r="IN6" s="2407"/>
      <c r="IO6" s="2407"/>
      <c r="IP6" s="2407"/>
      <c r="IQ6" s="2407"/>
      <c r="IR6" s="2407"/>
      <c r="IS6" s="2407"/>
      <c r="IT6" s="2407"/>
      <c r="IU6" s="2407"/>
      <c r="IV6" s="2407"/>
      <c r="IW6" s="2407"/>
      <c r="IX6" s="2407"/>
      <c r="IY6" s="2407"/>
      <c r="IZ6" s="2407"/>
      <c r="JA6" s="2407"/>
      <c r="JB6" s="2407"/>
      <c r="JC6" s="2407"/>
      <c r="JD6" s="2407"/>
      <c r="JE6" s="2407"/>
      <c r="JF6" s="2407"/>
      <c r="JG6" s="2407"/>
      <c r="JH6" s="2412"/>
      <c r="JI6" s="2412"/>
      <c r="JJ6" s="2412"/>
      <c r="JK6" s="2412"/>
      <c r="JL6" s="2412"/>
      <c r="JM6" s="2407"/>
      <c r="JN6" s="2407"/>
      <c r="JO6" s="2407"/>
      <c r="JP6" s="2407"/>
      <c r="JQ6" s="2407"/>
      <c r="JR6" s="100"/>
      <c r="JS6" s="100"/>
      <c r="JT6" s="505"/>
      <c r="JU6" s="505"/>
      <c r="JV6" s="505"/>
      <c r="JW6" s="505"/>
      <c r="JX6" s="505"/>
      <c r="JY6" s="505"/>
      <c r="JZ6" s="505"/>
      <c r="KA6" s="505"/>
      <c r="KB6" s="505"/>
      <c r="KC6" s="505"/>
      <c r="KD6" s="505"/>
      <c r="KE6" s="505"/>
      <c r="KF6" s="505"/>
      <c r="KG6" s="505"/>
      <c r="KH6" s="505"/>
      <c r="KI6" s="505"/>
      <c r="KJ6" s="505"/>
    </row>
    <row r="7" spans="1:296" s="96" customFormat="1" ht="11.25" customHeight="1">
      <c r="A7" s="2403"/>
      <c r="B7" s="4"/>
      <c r="C7" s="1"/>
      <c r="D7" s="4"/>
      <c r="E7" s="1"/>
      <c r="F7" s="1"/>
      <c r="G7" s="2029" t="s">
        <v>4454</v>
      </c>
      <c r="H7" s="2405"/>
      <c r="J7" s="2029" t="s">
        <v>4459</v>
      </c>
      <c r="M7" s="1"/>
      <c r="P7" s="2401"/>
      <c r="Q7" s="2030"/>
      <c r="R7" s="1272"/>
      <c r="S7" s="1273"/>
      <c r="T7" s="1279" t="s">
        <v>2815</v>
      </c>
      <c r="U7" s="464"/>
      <c r="V7" s="465"/>
      <c r="W7" s="2408"/>
      <c r="X7" s="2408"/>
      <c r="Y7" s="2408"/>
      <c r="Z7" s="2408"/>
      <c r="AA7" s="2408"/>
      <c r="AB7" s="2408"/>
      <c r="AC7" s="2408"/>
      <c r="AD7" s="2408"/>
      <c r="AE7" s="2408"/>
      <c r="AF7" s="2408"/>
      <c r="AG7" s="2408"/>
      <c r="AH7" s="2408"/>
      <c r="AI7" s="2408"/>
      <c r="AJ7" s="2408"/>
      <c r="AK7" s="2408"/>
      <c r="AL7" s="2408"/>
      <c r="AM7" s="2408"/>
      <c r="AN7" s="2408"/>
      <c r="AO7" s="2408"/>
      <c r="AP7" s="2408"/>
      <c r="AQ7" s="2408"/>
      <c r="AR7" s="2408"/>
      <c r="AS7" s="2408"/>
      <c r="AT7" s="2408"/>
      <c r="AU7" s="2408"/>
      <c r="AV7" s="2408"/>
      <c r="AW7" s="2408"/>
      <c r="AX7" s="2408"/>
      <c r="AY7" s="2408"/>
      <c r="AZ7" s="2408"/>
      <c r="BA7" s="2408"/>
      <c r="BB7" s="2408"/>
      <c r="BC7" s="2408"/>
      <c r="BD7" s="2408"/>
      <c r="BE7" s="2408"/>
      <c r="BF7" s="2408"/>
      <c r="BG7" s="2408"/>
      <c r="BH7" s="2408"/>
      <c r="BI7" s="2408"/>
      <c r="BJ7" s="2408"/>
      <c r="BK7" s="2408"/>
      <c r="BL7" s="2408"/>
      <c r="BM7" s="2408"/>
      <c r="BN7" s="2408"/>
      <c r="BO7" s="2408"/>
      <c r="BP7" s="2408"/>
      <c r="BQ7" s="2408"/>
      <c r="BR7" s="2408"/>
      <c r="BS7" s="2408"/>
      <c r="BT7" s="2408"/>
      <c r="BU7" s="2408"/>
      <c r="BV7" s="2408"/>
      <c r="BW7" s="2408"/>
      <c r="BX7" s="2408"/>
      <c r="BY7" s="2408"/>
      <c r="BZ7" s="2408"/>
      <c r="CA7" s="2408"/>
      <c r="CB7" s="2408"/>
      <c r="CC7" s="2408"/>
      <c r="CD7" s="2408"/>
      <c r="CE7" s="2409"/>
      <c r="CF7" s="2409"/>
      <c r="CG7" s="2409"/>
      <c r="CH7" s="2409"/>
      <c r="CI7" s="2409"/>
      <c r="CJ7" s="2409"/>
      <c r="CK7" s="2409"/>
      <c r="CL7" s="2409"/>
      <c r="CM7" s="2409"/>
      <c r="CN7" s="2409"/>
      <c r="CO7" s="2409"/>
      <c r="CP7" s="2409"/>
      <c r="CQ7" s="2409"/>
      <c r="CR7" s="2409"/>
      <c r="CS7" s="2409"/>
      <c r="CT7" s="2409"/>
      <c r="CU7" s="2409"/>
      <c r="CV7" s="2409"/>
      <c r="CW7" s="2409"/>
      <c r="CX7" s="2409"/>
      <c r="CY7" s="2409"/>
      <c r="CZ7" s="2409"/>
      <c r="DA7" s="2409"/>
      <c r="DB7" s="2409"/>
      <c r="DC7" s="2409"/>
      <c r="DD7" s="2409"/>
      <c r="DE7" s="2409"/>
      <c r="DF7" s="2409"/>
      <c r="DG7" s="2409"/>
      <c r="DH7" s="2409"/>
      <c r="DI7" s="2409"/>
      <c r="DJ7" s="2409"/>
      <c r="DK7" s="2409"/>
      <c r="DL7" s="2409"/>
      <c r="DM7" s="2409"/>
      <c r="DN7" s="2409"/>
      <c r="DO7" s="2409"/>
      <c r="DP7" s="2409"/>
      <c r="DQ7" s="2409"/>
      <c r="DR7" s="2409"/>
      <c r="DS7" s="2409"/>
      <c r="DT7" s="2409"/>
      <c r="DU7" s="2409"/>
      <c r="DV7" s="2409"/>
      <c r="DW7" s="2409"/>
      <c r="DX7" s="2409"/>
      <c r="DY7" s="2409"/>
      <c r="DZ7" s="2409"/>
      <c r="EA7" s="2409"/>
      <c r="EB7" s="2409"/>
      <c r="EC7" s="2409"/>
      <c r="ED7" s="2409"/>
      <c r="EE7" s="2409"/>
      <c r="EF7" s="2409"/>
      <c r="EG7" s="2409"/>
      <c r="EH7" s="2409"/>
      <c r="EI7" s="2409"/>
      <c r="EJ7" s="2409"/>
      <c r="EK7" s="2409"/>
      <c r="EL7" s="2409"/>
      <c r="EM7" s="2409"/>
      <c r="EN7" s="2409"/>
      <c r="EO7" s="2409"/>
      <c r="EP7" s="2409"/>
      <c r="EQ7" s="2409"/>
      <c r="ER7" s="2409"/>
      <c r="ES7" s="2409"/>
      <c r="ET7" s="2409"/>
      <c r="EU7" s="2409"/>
      <c r="EV7" s="2409"/>
      <c r="EW7" s="77"/>
      <c r="EX7" s="506"/>
      <c r="EY7" s="506"/>
      <c r="EZ7" s="506"/>
      <c r="FA7" s="506"/>
      <c r="FB7" s="506"/>
      <c r="FC7" s="506"/>
      <c r="FD7" s="506"/>
      <c r="FE7" s="506"/>
      <c r="FF7" s="506"/>
      <c r="FG7" s="506"/>
      <c r="FH7" s="506"/>
      <c r="FI7" s="506"/>
      <c r="FJ7" s="506"/>
      <c r="FK7" s="506"/>
      <c r="FL7" s="506"/>
      <c r="FM7" s="506"/>
      <c r="FN7" s="506"/>
      <c r="FO7" s="506"/>
      <c r="FP7" s="506"/>
      <c r="FQ7" s="506"/>
      <c r="FR7" s="506"/>
      <c r="FS7" s="506"/>
      <c r="FT7" s="506"/>
      <c r="FU7" s="506"/>
      <c r="FV7" s="512"/>
      <c r="FW7" s="512"/>
      <c r="FX7" s="512"/>
      <c r="FY7" s="512"/>
      <c r="FZ7" s="512"/>
      <c r="GA7" s="512"/>
      <c r="GB7" s="512"/>
      <c r="GC7" s="512"/>
      <c r="GD7" s="512"/>
      <c r="GE7" s="512"/>
      <c r="GF7" s="512"/>
      <c r="GG7" s="512"/>
      <c r="GH7" s="512"/>
      <c r="GI7" s="512"/>
      <c r="GJ7" s="512"/>
      <c r="GK7" s="512"/>
      <c r="GL7" s="512"/>
      <c r="GM7" s="512"/>
      <c r="GN7" s="512"/>
      <c r="GO7" s="512"/>
      <c r="GP7" s="512"/>
      <c r="GQ7" s="512"/>
      <c r="GR7" s="512"/>
      <c r="GS7" s="512"/>
      <c r="GT7" s="512"/>
      <c r="GU7" s="512"/>
      <c r="GV7" s="512"/>
      <c r="GW7" s="512"/>
      <c r="GX7" s="512"/>
      <c r="GY7" s="512"/>
      <c r="GZ7" s="512"/>
      <c r="HA7" s="512"/>
      <c r="HB7" s="512"/>
      <c r="HC7" s="512"/>
      <c r="HD7" s="512"/>
      <c r="HE7" s="512"/>
      <c r="HF7" s="512"/>
      <c r="HG7" s="512"/>
      <c r="HH7" s="512"/>
      <c r="HI7" s="512"/>
      <c r="HJ7" s="512"/>
      <c r="HK7" s="512"/>
      <c r="HL7" s="512"/>
      <c r="HM7" s="512"/>
      <c r="HN7" s="512"/>
      <c r="HO7" s="512"/>
      <c r="HP7" s="512"/>
      <c r="HQ7" s="512"/>
      <c r="HR7" s="512"/>
      <c r="HS7" s="512"/>
      <c r="HT7" s="512"/>
      <c r="HU7" s="512"/>
      <c r="HV7" s="512"/>
      <c r="HW7" s="512"/>
      <c r="HX7" s="512"/>
      <c r="HY7" s="512"/>
      <c r="HZ7" s="512"/>
      <c r="IA7" s="512"/>
      <c r="IB7" s="512"/>
      <c r="IC7" s="512"/>
      <c r="ID7" s="2407"/>
      <c r="IE7" s="2407"/>
      <c r="IF7" s="2407"/>
      <c r="IG7" s="2407"/>
      <c r="IH7" s="2407"/>
      <c r="II7" s="2407"/>
      <c r="IJ7" s="2407"/>
      <c r="IK7" s="2407"/>
      <c r="IL7" s="2407"/>
      <c r="IM7" s="2407"/>
      <c r="IN7" s="2407"/>
      <c r="IO7" s="2407"/>
      <c r="IP7" s="2407"/>
      <c r="IQ7" s="2407"/>
      <c r="IR7" s="2407"/>
      <c r="IS7" s="2407"/>
      <c r="IT7" s="2407"/>
      <c r="IU7" s="2407"/>
      <c r="IV7" s="2407"/>
      <c r="IW7" s="2407"/>
      <c r="IX7" s="2407"/>
      <c r="IY7" s="2407"/>
      <c r="IZ7" s="2407"/>
      <c r="JA7" s="2407"/>
      <c r="JB7" s="2407"/>
      <c r="JC7" s="2407"/>
      <c r="JD7" s="2407"/>
      <c r="JE7" s="2407"/>
      <c r="JF7" s="2407"/>
      <c r="JG7" s="2407"/>
      <c r="JH7" s="2412"/>
      <c r="JI7" s="2412"/>
      <c r="JJ7" s="2412"/>
      <c r="JK7" s="2412"/>
      <c r="JL7" s="2412"/>
      <c r="JM7" s="2407"/>
      <c r="JN7" s="2407"/>
      <c r="JO7" s="2407"/>
      <c r="JP7" s="2407"/>
      <c r="JQ7" s="2407"/>
      <c r="JR7" s="100"/>
      <c r="JS7" s="100"/>
      <c r="JT7" s="505"/>
      <c r="JU7" s="505"/>
      <c r="JV7" s="505"/>
      <c r="JW7" s="505"/>
      <c r="JX7" s="505"/>
      <c r="JY7" s="505"/>
      <c r="JZ7" s="505"/>
      <c r="KA7" s="505"/>
      <c r="KB7" s="505"/>
      <c r="KC7" s="505"/>
      <c r="KD7" s="505"/>
      <c r="KE7" s="505"/>
      <c r="KF7" s="505"/>
      <c r="KG7" s="505"/>
      <c r="KH7" s="505"/>
      <c r="KI7" s="505"/>
      <c r="KJ7" s="505"/>
    </row>
    <row r="8" spans="1:296" s="118" customFormat="1" ht="11.25" customHeight="1">
      <c r="A8" s="2403"/>
      <c r="B8" s="2031" t="s">
        <v>1544</v>
      </c>
      <c r="C8" s="2029" t="s">
        <v>178</v>
      </c>
      <c r="D8" s="2029" t="s">
        <v>570</v>
      </c>
      <c r="E8" s="2029" t="s">
        <v>1542</v>
      </c>
      <c r="F8" s="2029" t="s">
        <v>1542</v>
      </c>
      <c r="G8" s="2029" t="s">
        <v>1544</v>
      </c>
      <c r="H8" s="2029" t="s">
        <v>4454</v>
      </c>
      <c r="I8" s="2029" t="s">
        <v>837</v>
      </c>
      <c r="J8" s="2029" t="s">
        <v>2502</v>
      </c>
      <c r="K8" s="2404" t="s">
        <v>147</v>
      </c>
      <c r="L8" s="2404"/>
      <c r="M8" s="2029" t="s">
        <v>2461</v>
      </c>
      <c r="N8" s="2029" t="s">
        <v>557</v>
      </c>
      <c r="O8" s="2029" t="s">
        <v>398</v>
      </c>
      <c r="P8" s="2401"/>
      <c r="Q8" s="2404" t="s">
        <v>4102</v>
      </c>
      <c r="R8" s="2404"/>
      <c r="S8" s="2029" t="s">
        <v>2814</v>
      </c>
      <c r="T8" s="2029" t="s">
        <v>2816</v>
      </c>
      <c r="U8" s="466"/>
      <c r="V8" s="467"/>
      <c r="W8" s="2408"/>
      <c r="X8" s="2408"/>
      <c r="Y8" s="2408"/>
      <c r="Z8" s="2408"/>
      <c r="AA8" s="2408"/>
      <c r="AB8" s="2408"/>
      <c r="AC8" s="2408"/>
      <c r="AD8" s="2408"/>
      <c r="AE8" s="2408"/>
      <c r="AF8" s="2408"/>
      <c r="AG8" s="2408"/>
      <c r="AH8" s="2408"/>
      <c r="AI8" s="2408"/>
      <c r="AJ8" s="2408"/>
      <c r="AK8" s="2408"/>
      <c r="AL8" s="2408"/>
      <c r="AM8" s="2408"/>
      <c r="AN8" s="2408"/>
      <c r="AO8" s="2408"/>
      <c r="AP8" s="2408"/>
      <c r="AQ8" s="2408"/>
      <c r="AR8" s="2408"/>
      <c r="AS8" s="2408"/>
      <c r="AT8" s="2408"/>
      <c r="AU8" s="2408"/>
      <c r="AV8" s="2408"/>
      <c r="AW8" s="2408"/>
      <c r="AX8" s="2408"/>
      <c r="AY8" s="2408"/>
      <c r="AZ8" s="2408"/>
      <c r="BA8" s="2408"/>
      <c r="BB8" s="2408"/>
      <c r="BC8" s="2408"/>
      <c r="BD8" s="2408"/>
      <c r="BE8" s="2408"/>
      <c r="BF8" s="2408"/>
      <c r="BG8" s="2408"/>
      <c r="BH8" s="2408"/>
      <c r="BI8" s="2408"/>
      <c r="BJ8" s="2408"/>
      <c r="BK8" s="2408"/>
      <c r="BL8" s="2408"/>
      <c r="BM8" s="2408"/>
      <c r="BN8" s="2408"/>
      <c r="BO8" s="2408"/>
      <c r="BP8" s="2408"/>
      <c r="BQ8" s="2408"/>
      <c r="BR8" s="2408"/>
      <c r="BS8" s="2408"/>
      <c r="BT8" s="2408"/>
      <c r="BU8" s="2408"/>
      <c r="BV8" s="2408"/>
      <c r="BW8" s="2408"/>
      <c r="BX8" s="2408"/>
      <c r="BY8" s="2408"/>
      <c r="BZ8" s="2408"/>
      <c r="CA8" s="2408"/>
      <c r="CB8" s="2408"/>
      <c r="CC8" s="2408"/>
      <c r="CD8" s="2408"/>
      <c r="CE8" s="2409"/>
      <c r="CF8" s="2409"/>
      <c r="CG8" s="2409"/>
      <c r="CH8" s="2409"/>
      <c r="CI8" s="2409"/>
      <c r="CJ8" s="2409"/>
      <c r="CK8" s="2409"/>
      <c r="CL8" s="2409"/>
      <c r="CM8" s="2409"/>
      <c r="CN8" s="2409"/>
      <c r="CO8" s="2409"/>
      <c r="CP8" s="2409"/>
      <c r="CQ8" s="2409"/>
      <c r="CR8" s="2409"/>
      <c r="CS8" s="2409"/>
      <c r="CT8" s="2409"/>
      <c r="CU8" s="2409"/>
      <c r="CV8" s="2409"/>
      <c r="CW8" s="2409"/>
      <c r="CX8" s="2409"/>
      <c r="CY8" s="2409"/>
      <c r="CZ8" s="2409"/>
      <c r="DA8" s="2409"/>
      <c r="DB8" s="2409"/>
      <c r="DC8" s="2409"/>
      <c r="DD8" s="2409"/>
      <c r="DE8" s="2409"/>
      <c r="DF8" s="2409"/>
      <c r="DG8" s="2409"/>
      <c r="DH8" s="2409"/>
      <c r="DI8" s="2409"/>
      <c r="DJ8" s="2409"/>
      <c r="DK8" s="2409"/>
      <c r="DL8" s="2409"/>
      <c r="DM8" s="2409"/>
      <c r="DN8" s="2409"/>
      <c r="DO8" s="2409"/>
      <c r="DP8" s="2409"/>
      <c r="DQ8" s="2409"/>
      <c r="DR8" s="2409"/>
      <c r="DS8" s="2409"/>
      <c r="DT8" s="2409"/>
      <c r="DU8" s="2409"/>
      <c r="DV8" s="2409"/>
      <c r="DW8" s="2409"/>
      <c r="DX8" s="2409"/>
      <c r="DY8" s="2409"/>
      <c r="DZ8" s="2409"/>
      <c r="EA8" s="2409"/>
      <c r="EB8" s="2409"/>
      <c r="EC8" s="2409"/>
      <c r="ED8" s="2409"/>
      <c r="EE8" s="2409"/>
      <c r="EF8" s="2409"/>
      <c r="EG8" s="2409"/>
      <c r="EH8" s="2409"/>
      <c r="EI8" s="2409"/>
      <c r="EJ8" s="2409"/>
      <c r="EK8" s="2409"/>
      <c r="EL8" s="2409"/>
      <c r="EM8" s="2409"/>
      <c r="EN8" s="2409"/>
      <c r="EO8" s="2409"/>
      <c r="EP8" s="2409"/>
      <c r="EQ8" s="2409"/>
      <c r="ER8" s="2409"/>
      <c r="ES8" s="2409"/>
      <c r="ET8" s="2409"/>
      <c r="EU8" s="2409"/>
      <c r="EV8" s="2409"/>
      <c r="EW8" s="2409" t="s">
        <v>1526</v>
      </c>
      <c r="EX8" s="512" t="s">
        <v>2537</v>
      </c>
      <c r="EY8" s="512" t="s">
        <v>2538</v>
      </c>
      <c r="EZ8" s="512" t="s">
        <v>2539</v>
      </c>
      <c r="FA8" s="512" t="s">
        <v>2540</v>
      </c>
      <c r="FB8" s="2407" t="s">
        <v>2595</v>
      </c>
      <c r="FC8" s="2407" t="s">
        <v>2595</v>
      </c>
      <c r="FD8" s="2407" t="s">
        <v>2595</v>
      </c>
      <c r="FE8" s="2407" t="s">
        <v>2595</v>
      </c>
      <c r="FF8" s="2407" t="s">
        <v>2595</v>
      </c>
      <c r="FG8" s="2407" t="s">
        <v>3698</v>
      </c>
      <c r="FH8" s="2407" t="s">
        <v>3698</v>
      </c>
      <c r="FI8" s="2407" t="s">
        <v>3698</v>
      </c>
      <c r="FJ8" s="2407" t="s">
        <v>3698</v>
      </c>
      <c r="FK8" s="2407" t="s">
        <v>3698</v>
      </c>
      <c r="FL8" s="512" t="s">
        <v>593</v>
      </c>
      <c r="FM8" s="512" t="s">
        <v>2537</v>
      </c>
      <c r="FN8" s="512" t="s">
        <v>2538</v>
      </c>
      <c r="FO8" s="512" t="s">
        <v>2539</v>
      </c>
      <c r="FP8" s="512" t="s">
        <v>2540</v>
      </c>
      <c r="FQ8" s="512" t="s">
        <v>593</v>
      </c>
      <c r="FR8" s="512" t="s">
        <v>2537</v>
      </c>
      <c r="FS8" s="512" t="s">
        <v>2538</v>
      </c>
      <c r="FT8" s="512" t="s">
        <v>2539</v>
      </c>
      <c r="FU8" s="512" t="s">
        <v>2540</v>
      </c>
      <c r="FV8" s="2407" t="s">
        <v>2597</v>
      </c>
      <c r="FW8" s="2407" t="s">
        <v>2597</v>
      </c>
      <c r="FX8" s="2407" t="s">
        <v>2597</v>
      </c>
      <c r="FY8" s="2407" t="s">
        <v>2597</v>
      </c>
      <c r="FZ8" s="2407" t="s">
        <v>2597</v>
      </c>
      <c r="GA8" s="2407" t="s">
        <v>3694</v>
      </c>
      <c r="GB8" s="2407" t="s">
        <v>3694</v>
      </c>
      <c r="GC8" s="2407" t="s">
        <v>3694</v>
      </c>
      <c r="GD8" s="2407" t="s">
        <v>3694</v>
      </c>
      <c r="GE8" s="2407" t="s">
        <v>3694</v>
      </c>
      <c r="GF8" s="2407" t="s">
        <v>373</v>
      </c>
      <c r="GG8" s="2407" t="s">
        <v>373</v>
      </c>
      <c r="GH8" s="2407" t="s">
        <v>373</v>
      </c>
      <c r="GI8" s="2407" t="s">
        <v>373</v>
      </c>
      <c r="GJ8" s="2407" t="s">
        <v>373</v>
      </c>
      <c r="GK8" s="2407" t="s">
        <v>3693</v>
      </c>
      <c r="GL8" s="2407" t="s">
        <v>3693</v>
      </c>
      <c r="GM8" s="2407" t="s">
        <v>3693</v>
      </c>
      <c r="GN8" s="2407" t="s">
        <v>3693</v>
      </c>
      <c r="GO8" s="2407" t="s">
        <v>3693</v>
      </c>
      <c r="GP8" s="2407" t="s">
        <v>374</v>
      </c>
      <c r="GQ8" s="2407" t="s">
        <v>374</v>
      </c>
      <c r="GR8" s="2407" t="s">
        <v>374</v>
      </c>
      <c r="GS8" s="2407" t="s">
        <v>374</v>
      </c>
      <c r="GT8" s="2407" t="s">
        <v>374</v>
      </c>
      <c r="GU8" s="2407" t="s">
        <v>3692</v>
      </c>
      <c r="GV8" s="2407" t="s">
        <v>3692</v>
      </c>
      <c r="GW8" s="2407" t="s">
        <v>3692</v>
      </c>
      <c r="GX8" s="2407" t="s">
        <v>3692</v>
      </c>
      <c r="GY8" s="2407" t="s">
        <v>3692</v>
      </c>
      <c r="GZ8" s="2407" t="s">
        <v>375</v>
      </c>
      <c r="HA8" s="2407" t="s">
        <v>375</v>
      </c>
      <c r="HB8" s="2407" t="s">
        <v>375</v>
      </c>
      <c r="HC8" s="2407" t="s">
        <v>375</v>
      </c>
      <c r="HD8" s="2407" t="s">
        <v>375</v>
      </c>
      <c r="HE8" s="2407" t="s">
        <v>3695</v>
      </c>
      <c r="HF8" s="2407" t="s">
        <v>3695</v>
      </c>
      <c r="HG8" s="2407" t="s">
        <v>3695</v>
      </c>
      <c r="HH8" s="2407" t="s">
        <v>3695</v>
      </c>
      <c r="HI8" s="2407" t="s">
        <v>3695</v>
      </c>
      <c r="HJ8" s="2407" t="s">
        <v>376</v>
      </c>
      <c r="HK8" s="2407" t="s">
        <v>376</v>
      </c>
      <c r="HL8" s="2407" t="s">
        <v>376</v>
      </c>
      <c r="HM8" s="2407" t="s">
        <v>376</v>
      </c>
      <c r="HN8" s="2407" t="s">
        <v>376</v>
      </c>
      <c r="HO8" s="2407" t="s">
        <v>3696</v>
      </c>
      <c r="HP8" s="2407" t="s">
        <v>3696</v>
      </c>
      <c r="HQ8" s="2407" t="s">
        <v>3696</v>
      </c>
      <c r="HR8" s="2407" t="s">
        <v>3696</v>
      </c>
      <c r="HS8" s="2407" t="s">
        <v>3696</v>
      </c>
      <c r="HT8" s="2407" t="s">
        <v>1525</v>
      </c>
      <c r="HU8" s="2407" t="s">
        <v>1525</v>
      </c>
      <c r="HV8" s="2407" t="s">
        <v>1525</v>
      </c>
      <c r="HW8" s="2407" t="s">
        <v>1525</v>
      </c>
      <c r="HX8" s="2407" t="s">
        <v>1525</v>
      </c>
      <c r="HY8" s="2407" t="s">
        <v>3697</v>
      </c>
      <c r="HZ8" s="2407" t="s">
        <v>3697</v>
      </c>
      <c r="IA8" s="2407" t="s">
        <v>3697</v>
      </c>
      <c r="IB8" s="2407" t="s">
        <v>3697</v>
      </c>
      <c r="IC8" s="2407" t="s">
        <v>3697</v>
      </c>
      <c r="ID8" s="2407"/>
      <c r="IE8" s="2407"/>
      <c r="IF8" s="2407"/>
      <c r="IG8" s="2407"/>
      <c r="IH8" s="2407"/>
      <c r="II8" s="2407"/>
      <c r="IJ8" s="2407"/>
      <c r="IK8" s="2407"/>
      <c r="IL8" s="2407"/>
      <c r="IM8" s="2407"/>
      <c r="IN8" s="2407"/>
      <c r="IO8" s="2407"/>
      <c r="IP8" s="2407"/>
      <c r="IQ8" s="2407"/>
      <c r="IR8" s="2407"/>
      <c r="IS8" s="2407"/>
      <c r="IT8" s="2407"/>
      <c r="IU8" s="2407"/>
      <c r="IV8" s="2407"/>
      <c r="IW8" s="2407"/>
      <c r="IX8" s="2407"/>
      <c r="IY8" s="2407"/>
      <c r="IZ8" s="2407"/>
      <c r="JA8" s="2407"/>
      <c r="JB8" s="2407"/>
      <c r="JC8" s="2407"/>
      <c r="JD8" s="2407"/>
      <c r="JE8" s="2407"/>
      <c r="JF8" s="2407"/>
      <c r="JG8" s="2407"/>
      <c r="JH8" s="2412"/>
      <c r="JI8" s="2412"/>
      <c r="JJ8" s="2412"/>
      <c r="JK8" s="2412"/>
      <c r="JL8" s="2412"/>
      <c r="JM8" s="2407"/>
      <c r="JN8" s="2407"/>
      <c r="JO8" s="2407"/>
      <c r="JP8" s="2407"/>
      <c r="JQ8" s="2407"/>
      <c r="JR8" s="95"/>
      <c r="JS8" s="95"/>
      <c r="JT8" s="508"/>
      <c r="JU8" s="508"/>
      <c r="JV8" s="508"/>
      <c r="JW8" s="508"/>
      <c r="JX8" s="508"/>
      <c r="JY8" s="508"/>
      <c r="JZ8" s="508"/>
      <c r="KA8" s="508"/>
      <c r="KB8" s="508"/>
      <c r="KC8" s="508"/>
      <c r="KD8" s="508"/>
      <c r="KE8" s="508"/>
      <c r="KF8" s="508"/>
      <c r="KG8" s="508"/>
      <c r="KH8" s="508"/>
      <c r="KI8" s="508"/>
      <c r="KJ8" s="508"/>
    </row>
    <row r="9" spans="1:296" s="118" customFormat="1" ht="11.25" customHeight="1">
      <c r="A9" s="2403"/>
      <c r="B9" s="2031" t="s">
        <v>1352</v>
      </c>
      <c r="C9" s="2029" t="s">
        <v>177</v>
      </c>
      <c r="D9" s="2029" t="s">
        <v>179</v>
      </c>
      <c r="E9" s="2029" t="s">
        <v>1543</v>
      </c>
      <c r="F9" s="2029" t="s">
        <v>1333</v>
      </c>
      <c r="G9" s="2029" t="s">
        <v>4455</v>
      </c>
      <c r="H9" s="2029" t="s">
        <v>1544</v>
      </c>
      <c r="I9" s="2029" t="s">
        <v>838</v>
      </c>
      <c r="J9" s="504" t="s">
        <v>364</v>
      </c>
      <c r="K9" s="2029" t="s">
        <v>1596</v>
      </c>
      <c r="L9" s="2029" t="s">
        <v>564</v>
      </c>
      <c r="M9" s="2029" t="s">
        <v>1542</v>
      </c>
      <c r="N9" s="2029" t="s">
        <v>3642</v>
      </c>
      <c r="O9" s="2029" t="s">
        <v>399</v>
      </c>
      <c r="P9" s="2402"/>
      <c r="Q9" s="2029" t="s">
        <v>4103</v>
      </c>
      <c r="R9" s="2029" t="s">
        <v>1084</v>
      </c>
      <c r="S9" s="2029" t="s">
        <v>1544</v>
      </c>
      <c r="T9" s="2029" t="s">
        <v>2817</v>
      </c>
      <c r="U9" s="2293" t="s">
        <v>1925</v>
      </c>
      <c r="V9" s="2293"/>
      <c r="W9" s="2408"/>
      <c r="X9" s="2408"/>
      <c r="Y9" s="2408"/>
      <c r="Z9" s="2408"/>
      <c r="AA9" s="2408"/>
      <c r="AB9" s="2408"/>
      <c r="AC9" s="2408"/>
      <c r="AD9" s="2408"/>
      <c r="AE9" s="2408"/>
      <c r="AF9" s="2408"/>
      <c r="AG9" s="2408"/>
      <c r="AH9" s="2408"/>
      <c r="AI9" s="2408"/>
      <c r="AJ9" s="2408"/>
      <c r="AK9" s="2408"/>
      <c r="AL9" s="2408"/>
      <c r="AM9" s="2408"/>
      <c r="AN9" s="2408"/>
      <c r="AO9" s="2408"/>
      <c r="AP9" s="2408"/>
      <c r="AQ9" s="2408"/>
      <c r="AR9" s="2408"/>
      <c r="AS9" s="2408"/>
      <c r="AT9" s="2408"/>
      <c r="AU9" s="2408"/>
      <c r="AV9" s="2408"/>
      <c r="AW9" s="2408"/>
      <c r="AX9" s="2408"/>
      <c r="AY9" s="2408"/>
      <c r="AZ9" s="2408"/>
      <c r="BA9" s="2408"/>
      <c r="BB9" s="2408"/>
      <c r="BC9" s="2408"/>
      <c r="BD9" s="2408"/>
      <c r="BE9" s="2408"/>
      <c r="BF9" s="2408"/>
      <c r="BG9" s="2408"/>
      <c r="BH9" s="2408"/>
      <c r="BI9" s="2408"/>
      <c r="BJ9" s="2408"/>
      <c r="BK9" s="2408"/>
      <c r="BL9" s="2408"/>
      <c r="BM9" s="2408"/>
      <c r="BN9" s="2408"/>
      <c r="BO9" s="2408"/>
      <c r="BP9" s="2408"/>
      <c r="BQ9" s="2408"/>
      <c r="BR9" s="2408"/>
      <c r="BS9" s="2408"/>
      <c r="BT9" s="2408"/>
      <c r="BU9" s="2408"/>
      <c r="BV9" s="2408"/>
      <c r="BW9" s="2408"/>
      <c r="BX9" s="2408"/>
      <c r="BY9" s="2408"/>
      <c r="BZ9" s="2408"/>
      <c r="CA9" s="2408"/>
      <c r="CB9" s="2408"/>
      <c r="CC9" s="2408"/>
      <c r="CD9" s="2408"/>
      <c r="CE9" s="2409"/>
      <c r="CF9" s="2409"/>
      <c r="CG9" s="2409"/>
      <c r="CH9" s="2409"/>
      <c r="CI9" s="2409"/>
      <c r="CJ9" s="2409"/>
      <c r="CK9" s="2409"/>
      <c r="CL9" s="2409"/>
      <c r="CM9" s="2409"/>
      <c r="CN9" s="2409"/>
      <c r="CO9" s="2409"/>
      <c r="CP9" s="2409"/>
      <c r="CQ9" s="2409"/>
      <c r="CR9" s="2409"/>
      <c r="CS9" s="2409"/>
      <c r="CT9" s="2409"/>
      <c r="CU9" s="2409"/>
      <c r="CV9" s="2409"/>
      <c r="CW9" s="2409"/>
      <c r="CX9" s="2409"/>
      <c r="CY9" s="2409"/>
      <c r="CZ9" s="2409"/>
      <c r="DA9" s="2409"/>
      <c r="DB9" s="2409"/>
      <c r="DC9" s="2409"/>
      <c r="DD9" s="2409"/>
      <c r="DE9" s="2409"/>
      <c r="DF9" s="2409"/>
      <c r="DG9" s="2409"/>
      <c r="DH9" s="2409"/>
      <c r="DI9" s="2409"/>
      <c r="DJ9" s="2409"/>
      <c r="DK9" s="2409"/>
      <c r="DL9" s="2409"/>
      <c r="DM9" s="2409"/>
      <c r="DN9" s="2409"/>
      <c r="DO9" s="2409"/>
      <c r="DP9" s="2409"/>
      <c r="DQ9" s="2409"/>
      <c r="DR9" s="2409"/>
      <c r="DS9" s="2409"/>
      <c r="DT9" s="2409"/>
      <c r="DU9" s="2409"/>
      <c r="DV9" s="2409"/>
      <c r="DW9" s="2409"/>
      <c r="DX9" s="2409"/>
      <c r="DY9" s="2409"/>
      <c r="DZ9" s="2409"/>
      <c r="EA9" s="2409"/>
      <c r="EB9" s="2409"/>
      <c r="EC9" s="2409"/>
      <c r="ED9" s="2409"/>
      <c r="EE9" s="2409"/>
      <c r="EF9" s="2409"/>
      <c r="EG9" s="2409"/>
      <c r="EH9" s="2409"/>
      <c r="EI9" s="2409"/>
      <c r="EJ9" s="2409"/>
      <c r="EK9" s="2409"/>
      <c r="EL9" s="2409"/>
      <c r="EM9" s="2409"/>
      <c r="EN9" s="2409"/>
      <c r="EO9" s="2409"/>
      <c r="EP9" s="2409"/>
      <c r="EQ9" s="2409"/>
      <c r="ER9" s="2409"/>
      <c r="ES9" s="2409"/>
      <c r="ET9" s="2409"/>
      <c r="EU9" s="2409"/>
      <c r="EV9" s="2409"/>
      <c r="EW9" s="2409"/>
      <c r="EX9" s="512" t="s">
        <v>2594</v>
      </c>
      <c r="EY9" s="512" t="s">
        <v>2594</v>
      </c>
      <c r="EZ9" s="512" t="s">
        <v>2594</v>
      </c>
      <c r="FA9" s="512" t="s">
        <v>2594</v>
      </c>
      <c r="FB9" s="2407"/>
      <c r="FC9" s="2407"/>
      <c r="FD9" s="2407"/>
      <c r="FE9" s="2407"/>
      <c r="FF9" s="2407"/>
      <c r="FG9" s="2407"/>
      <c r="FH9" s="2407"/>
      <c r="FI9" s="2407"/>
      <c r="FJ9" s="2407"/>
      <c r="FK9" s="2407"/>
      <c r="FL9" s="512" t="s">
        <v>2596</v>
      </c>
      <c r="FM9" s="512" t="s">
        <v>2596</v>
      </c>
      <c r="FN9" s="512" t="s">
        <v>2596</v>
      </c>
      <c r="FO9" s="512" t="s">
        <v>2596</v>
      </c>
      <c r="FP9" s="512" t="s">
        <v>2596</v>
      </c>
      <c r="FQ9" s="512" t="s">
        <v>3699</v>
      </c>
      <c r="FR9" s="512" t="s">
        <v>3699</v>
      </c>
      <c r="FS9" s="512" t="s">
        <v>3699</v>
      </c>
      <c r="FT9" s="512" t="s">
        <v>3699</v>
      </c>
      <c r="FU9" s="512" t="s">
        <v>3699</v>
      </c>
      <c r="FV9" s="2407"/>
      <c r="FW9" s="2407"/>
      <c r="FX9" s="2407"/>
      <c r="FY9" s="2407"/>
      <c r="FZ9" s="2407"/>
      <c r="GA9" s="2407"/>
      <c r="GB9" s="2407"/>
      <c r="GC9" s="2407"/>
      <c r="GD9" s="2407"/>
      <c r="GE9" s="2407"/>
      <c r="GF9" s="2407"/>
      <c r="GG9" s="2407"/>
      <c r="GH9" s="2407"/>
      <c r="GI9" s="2407"/>
      <c r="GJ9" s="2407"/>
      <c r="GK9" s="2407"/>
      <c r="GL9" s="2407"/>
      <c r="GM9" s="2407"/>
      <c r="GN9" s="2407"/>
      <c r="GO9" s="2407"/>
      <c r="GP9" s="2407"/>
      <c r="GQ9" s="2407"/>
      <c r="GR9" s="2407"/>
      <c r="GS9" s="2407"/>
      <c r="GT9" s="2407"/>
      <c r="GU9" s="2407"/>
      <c r="GV9" s="2407"/>
      <c r="GW9" s="2407"/>
      <c r="GX9" s="2407"/>
      <c r="GY9" s="2407"/>
      <c r="GZ9" s="2407"/>
      <c r="HA9" s="2407"/>
      <c r="HB9" s="2407"/>
      <c r="HC9" s="2407"/>
      <c r="HD9" s="2407"/>
      <c r="HE9" s="2407"/>
      <c r="HF9" s="2407"/>
      <c r="HG9" s="2407"/>
      <c r="HH9" s="2407"/>
      <c r="HI9" s="2407"/>
      <c r="HJ9" s="2407"/>
      <c r="HK9" s="2407"/>
      <c r="HL9" s="2407"/>
      <c r="HM9" s="2407"/>
      <c r="HN9" s="2407"/>
      <c r="HO9" s="2407"/>
      <c r="HP9" s="2407"/>
      <c r="HQ9" s="2407"/>
      <c r="HR9" s="2407"/>
      <c r="HS9" s="2407"/>
      <c r="HT9" s="2407"/>
      <c r="HU9" s="2407"/>
      <c r="HV9" s="2407"/>
      <c r="HW9" s="2407"/>
      <c r="HX9" s="2407"/>
      <c r="HY9" s="2407"/>
      <c r="HZ9" s="2407"/>
      <c r="IA9" s="2407"/>
      <c r="IB9" s="2407"/>
      <c r="IC9" s="2407"/>
      <c r="ID9" s="2407"/>
      <c r="IE9" s="2407"/>
      <c r="IF9" s="2407"/>
      <c r="IG9" s="2407"/>
      <c r="IH9" s="2407"/>
      <c r="II9" s="2407"/>
      <c r="IJ9" s="2407"/>
      <c r="IK9" s="2407"/>
      <c r="IL9" s="2407"/>
      <c r="IM9" s="2407"/>
      <c r="IN9" s="2407"/>
      <c r="IO9" s="2407"/>
      <c r="IP9" s="2407"/>
      <c r="IQ9" s="2407"/>
      <c r="IR9" s="2407"/>
      <c r="IS9" s="2407"/>
      <c r="IT9" s="2407"/>
      <c r="IU9" s="2407"/>
      <c r="IV9" s="2407"/>
      <c r="IW9" s="2407"/>
      <c r="IX9" s="2407"/>
      <c r="IY9" s="2407"/>
      <c r="IZ9" s="2407"/>
      <c r="JA9" s="2407"/>
      <c r="JB9" s="2407"/>
      <c r="JC9" s="2407"/>
      <c r="JD9" s="2407"/>
      <c r="JE9" s="2407"/>
      <c r="JF9" s="2407"/>
      <c r="JG9" s="2407"/>
      <c r="JH9" s="2412"/>
      <c r="JI9" s="2412"/>
      <c r="JJ9" s="2412"/>
      <c r="JK9" s="2412"/>
      <c r="JL9" s="2412"/>
      <c r="JM9" s="2407"/>
      <c r="JN9" s="2407"/>
      <c r="JO9" s="2407"/>
      <c r="JP9" s="2407"/>
      <c r="JQ9" s="2407"/>
      <c r="JR9" s="95"/>
      <c r="JS9" s="95"/>
      <c r="JT9" s="508"/>
      <c r="JU9" s="508"/>
      <c r="JV9" s="508"/>
      <c r="JW9" s="508"/>
      <c r="JX9" s="508"/>
      <c r="JY9" s="508"/>
      <c r="JZ9" s="508"/>
      <c r="KA9" s="508"/>
      <c r="KB9" s="508"/>
      <c r="KC9" s="508"/>
      <c r="KD9" s="508"/>
      <c r="KE9" s="508"/>
      <c r="KF9" s="508"/>
      <c r="KG9" s="508"/>
      <c r="KH9" s="508"/>
      <c r="KI9" s="508"/>
      <c r="KJ9" s="508"/>
    </row>
    <row r="10" spans="1:296" ht="12" customHeight="1">
      <c r="A10" s="115" t="str">
        <f t="shared" ref="A10:A47" si="0">IF(AND(E10&gt;0,OR(B10="",C10="",D10="",F10="",G10="", H10="",M10="",N10="",O10="",P10="")),1,"")</f>
        <v/>
      </c>
      <c r="B10" s="3210" t="s">
        <v>1198</v>
      </c>
      <c r="C10" s="3211">
        <v>1</v>
      </c>
      <c r="D10" s="3212">
        <v>1</v>
      </c>
      <c r="E10" s="3213">
        <v>16</v>
      </c>
      <c r="F10" s="3213">
        <v>750</v>
      </c>
      <c r="G10" s="3213">
        <v>759</v>
      </c>
      <c r="H10" s="3213">
        <v>768</v>
      </c>
      <c r="I10" s="3213">
        <v>56</v>
      </c>
      <c r="J10" s="3214" t="s">
        <v>4701</v>
      </c>
      <c r="K10" s="858">
        <f t="shared" ref="K10:K47" si="1">MAX(0,H10-I10)</f>
        <v>712</v>
      </c>
      <c r="L10" s="858">
        <f t="shared" ref="L10:L47" si="2">MAX(0,E10*K10)</f>
        <v>11392</v>
      </c>
      <c r="M10" s="3215" t="s">
        <v>3300</v>
      </c>
      <c r="N10" s="3215" t="s">
        <v>4700</v>
      </c>
      <c r="O10" s="3215" t="s">
        <v>2386</v>
      </c>
      <c r="P10" s="3216" t="s">
        <v>3300</v>
      </c>
      <c r="Q10" s="1380">
        <f t="shared" ref="Q10:Q47" si="3">IF(H10="","",H10*12/0.3)</f>
        <v>30720</v>
      </c>
      <c r="R10" s="1381">
        <f>IF(H10="","",IF(C10="Efficiency",Q10/($O$6*VLOOKUP(0,'DCA Underwriting Assumptions'!$J$132:$K$137,2,FALSE)),Q10/($O$6*VLOOKUP(C10,'DCA Underwriting Assumptions'!$J$132:$K$137,2,FALSE))))</f>
        <v>0.59970717423133235</v>
      </c>
      <c r="S10" s="1382"/>
      <c r="T10" s="1383"/>
      <c r="U10" s="3217"/>
      <c r="V10" s="3154"/>
      <c r="W10" s="158" t="str">
        <f t="shared" ref="W10:W47" si="4">IF(AND(C10="Efficiency",B10="60% AMI",NOT(M10="Common Space")),E10,"")</f>
        <v/>
      </c>
      <c r="X10" s="158">
        <f t="shared" ref="X10:X47" si="5">IF(AND(C10=1,B10="60% AMI",NOT(M10="Common Space")),E10,"")</f>
        <v>16</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16</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12000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12000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461" t="str">
        <f t="shared" ref="EW10:EW47" si="134">IF(AND($C10="Efficiency", NOT(OR($N10="SF Detached",$N10="Mfd Home",$N10="Duplex",$N10="Townhome"))),$E10,"")</f>
        <v/>
      </c>
      <c r="EX10" s="513">
        <f t="shared" ref="EX10:EX47" si="135">IF(AND($C10=1, NOT(OR($N10="SF Detached",$N10="Mfd Home",$N10="Duplex",$N10="Townhome"))),$E10,"")</f>
        <v>16</v>
      </c>
      <c r="EY10" s="513" t="str">
        <f t="shared" ref="EY10:EY47" si="136">IF(AND($C10=2, NOT(OR($N10="SF Detached",$N10="Mfd Home",$N10="Duplex",$N10="Townhome"))),$E10,"")</f>
        <v/>
      </c>
      <c r="EZ10" s="513" t="str">
        <f t="shared" ref="EZ10:EZ47" si="137">IF(AND($C10=3, NOT(OR($N10="SF Detached",$N10="Mfd Home",$N10="Duplex",$N10="Townhome"))),$E10,"")</f>
        <v/>
      </c>
      <c r="FA10" s="513" t="str">
        <f t="shared" ref="FA10:FA47" si="138">IF(AND($C10=4, NOT(OR($N10="SF Detached",$N10="Mfd Home",$N10="Duplex",$N10="Townhome"))),$E10,"")</f>
        <v/>
      </c>
      <c r="FB10" s="513" t="str">
        <f t="shared" ref="FB10:FB47" si="139">IF(AND($C10="Efficiency", $N10="SF Detached",NOT($P10="Yes")),$E10,"")</f>
        <v/>
      </c>
      <c r="FC10" s="513" t="str">
        <f t="shared" ref="FC10:FC47" si="140">IF(AND($C10=1, $N10="SF Detached",NOT($P10="Yes")),$E10,"")</f>
        <v/>
      </c>
      <c r="FD10" s="513" t="str">
        <f t="shared" ref="FD10:FD47" si="141">IF(AND($C10=2, $N10="SF Detached",NOT($P10="Yes")),$E10,"")</f>
        <v/>
      </c>
      <c r="FE10" s="513" t="str">
        <f t="shared" ref="FE10:FE47" si="142">IF(AND($C10=3, $N10="SF Detached",NOT($P10="Yes")),$E10,"")</f>
        <v/>
      </c>
      <c r="FF10" s="513" t="str">
        <f t="shared" ref="FF10:FF47" si="143">IF(AND($C10=4, $N10="SF Detached",NOT($P10="Yes")),$E10,"")</f>
        <v/>
      </c>
      <c r="FG10" s="513" t="str">
        <f t="shared" ref="FG10:FG47" si="144">IF(AND($C10="Efficiency", $N10="SF Detached",$P10="Yes"),$E10,"")</f>
        <v/>
      </c>
      <c r="FH10" s="513" t="str">
        <f t="shared" ref="FH10:FH47" si="145">IF(AND($C10=1, $N10="SF Detached",$P10="Yes"),$E10,"")</f>
        <v/>
      </c>
      <c r="FI10" s="513" t="str">
        <f t="shared" ref="FI10:FI47" si="146">IF(AND($C10=2, $N10="SF Detached",$P10="Yes"),$E10,"")</f>
        <v/>
      </c>
      <c r="FJ10" s="513" t="str">
        <f t="shared" ref="FJ10:FJ47" si="147">IF(AND($C10=3, $N10="SF Detached",$P10="Yes"),$E10,"")</f>
        <v/>
      </c>
      <c r="FK10" s="513" t="str">
        <f t="shared" ref="FK10:FK47" si="148">IF(AND($C10=4, $N10="SF Detached",$P10="Yes"),$E10,"")</f>
        <v/>
      </c>
      <c r="FL10" s="513" t="str">
        <f t="shared" ref="FL10:FL47" si="149">IF(AND($C10="Efficiency", $N10="Mfd Home",NOT($P10="Yes")),$E10,"")</f>
        <v/>
      </c>
      <c r="FM10" s="513" t="str">
        <f t="shared" ref="FM10:FM47" si="150">IF(AND($C10=1, $N10="Mfd Home",NOT($P10="Yes")),$E10,"")</f>
        <v/>
      </c>
      <c r="FN10" s="513" t="str">
        <f t="shared" ref="FN10:FN47" si="151">IF(AND($C10=2, $N10="Mfd Home",NOT($P10="Yes")),$E10,"")</f>
        <v/>
      </c>
      <c r="FO10" s="513" t="str">
        <f t="shared" ref="FO10:FO47" si="152">IF(AND($C10=3, $N10="Mfd Home",NOT($P10="Yes")),$E10,"")</f>
        <v/>
      </c>
      <c r="FP10" s="513" t="str">
        <f t="shared" ref="FP10:FP47" si="153">IF(AND($C10=4, $N10="Mfd Home",NOT($P10="Yes")),$E10,"")</f>
        <v/>
      </c>
      <c r="FQ10" s="513" t="str">
        <f t="shared" ref="FQ10:FQ47" si="154">IF(AND($C10="Efficiency", $N10="Mfd Home",$P10="Yes"),$E10,"")</f>
        <v/>
      </c>
      <c r="FR10" s="513" t="str">
        <f t="shared" ref="FR10:FR47" si="155">IF(AND($C10=1, $N10="Mfd Home",$P10="Yes"),$E10,"")</f>
        <v/>
      </c>
      <c r="FS10" s="513" t="str">
        <f t="shared" ref="FS10:FS47" si="156">IF(AND($C10=2, $N10="Mfd Home",$P10="Yes"),$E10,"")</f>
        <v/>
      </c>
      <c r="FT10" s="513" t="str">
        <f t="shared" ref="FT10:FT47" si="157">IF(AND($C10=3, $N10="Mfd Home",$P10="Yes"),$E10,"")</f>
        <v/>
      </c>
      <c r="FU10" s="513" t="str">
        <f t="shared" ref="FU10:FU47" si="158">IF(AND($C10=4, $N10="Mfd Home",$P10="Yes"),$E10,"")</f>
        <v/>
      </c>
      <c r="FV10" s="513" t="str">
        <f t="shared" ref="FV10:FV47" si="159">IF(AND($C10="Efficiency", $N10="Duplex",NOT($P10="Yes")),$E10,"")</f>
        <v/>
      </c>
      <c r="FW10" s="513" t="str">
        <f t="shared" ref="FW10:FW47" si="160">IF(AND($C10=1, $N10="Duplex",NOT($P10="Yes")),$E10,"")</f>
        <v/>
      </c>
      <c r="FX10" s="513" t="str">
        <f t="shared" ref="FX10:FX47" si="161">IF(AND($C10=2, $N10="Duplex",NOT($P10="Yes")),$E10,"")</f>
        <v/>
      </c>
      <c r="FY10" s="513" t="str">
        <f t="shared" ref="FY10:FY47" si="162">IF(AND($C10=3, $N10="Duplex",NOT($P10="Yes")),$E10,"")</f>
        <v/>
      </c>
      <c r="FZ10" s="513" t="str">
        <f t="shared" ref="FZ10:FZ47" si="163">IF(AND($C10=4, $N10="Duplex",NOT($P10="Yes")),$E10,"")</f>
        <v/>
      </c>
      <c r="GA10" s="513" t="str">
        <f t="shared" ref="GA10:GA47" si="164">IF(AND($C10="Efficiency", $N10="Duplex",$P10="Yes"),$E10,"")</f>
        <v/>
      </c>
      <c r="GB10" s="513" t="str">
        <f t="shared" ref="GB10:GB47" si="165">IF(AND($C10=1, $N10="Duplex",$P10="Yes"),$E10,"")</f>
        <v/>
      </c>
      <c r="GC10" s="513" t="str">
        <f t="shared" ref="GC10:GC47" si="166">IF(AND($C10=2, $N10="Duplex",$P10="Yes"),$E10,"")</f>
        <v/>
      </c>
      <c r="GD10" s="513" t="str">
        <f t="shared" ref="GD10:GD47" si="167">IF(AND($C10=3, $N10="Duplex",$P10="Yes"),$E10,"")</f>
        <v/>
      </c>
      <c r="GE10" s="513" t="str">
        <f t="shared" ref="GE10:GE47" si="168">IF(AND($C10=4, $N10="Duplex",$P10="Yes"),$E10,"")</f>
        <v/>
      </c>
      <c r="GF10" s="513" t="str">
        <f t="shared" ref="GF10:GF47" si="169">IF(AND($C10="Efficiency", $N10="Townhome",NOT($P10="Yes")),$E10,"")</f>
        <v/>
      </c>
      <c r="GG10" s="513" t="str">
        <f t="shared" ref="GG10:GG47" si="170">IF(AND($C10=1, $N10="Townhome",NOT($P10="Yes")),$E10,"")</f>
        <v/>
      </c>
      <c r="GH10" s="513" t="str">
        <f t="shared" ref="GH10:GH47" si="171">IF(AND($C10=2, $N10="Townhome",NOT($P10="Yes")),$E10,"")</f>
        <v/>
      </c>
      <c r="GI10" s="513" t="str">
        <f t="shared" ref="GI10:GI47" si="172">IF(AND($C10=3, $N10="Townhome",NOT($P10="Yes")),$E10,"")</f>
        <v/>
      </c>
      <c r="GJ10" s="513" t="str">
        <f t="shared" ref="GJ10:GJ47" si="173">IF(AND($C10=4, $N10="Townhome",NOT($P10="Yes")),$E10,"")</f>
        <v/>
      </c>
      <c r="GK10" s="513" t="str">
        <f t="shared" ref="GK10:GK47" si="174">IF(AND($C10="Efficiency", $N10="Townhome",$P10="Yes"),$E10,"")</f>
        <v/>
      </c>
      <c r="GL10" s="513" t="str">
        <f t="shared" ref="GL10:GL47" si="175">IF(AND($C10=1, $N10="Townhome",$P10="Yes"),$E10,"")</f>
        <v/>
      </c>
      <c r="GM10" s="513" t="str">
        <f t="shared" ref="GM10:GM47" si="176">IF(AND($C10=2, $N10="Townhome",$P10="Yes"),$E10,"")</f>
        <v/>
      </c>
      <c r="GN10" s="513" t="str">
        <f t="shared" ref="GN10:GN47" si="177">IF(AND($C10=3, $N10="Townhome",$P10="Yes"),$E10,"")</f>
        <v/>
      </c>
      <c r="GO10" s="513" t="str">
        <f t="shared" ref="GO10:GO47" si="178">IF(AND($C10=4, $N10="Townhome",$P10="Yes"),$E10,"")</f>
        <v/>
      </c>
      <c r="GP10" s="513" t="str">
        <f t="shared" ref="GP10:GP47" si="179">IF(AND($C10="Efficiency", $N10="1-Story",NOT($P10="Yes")),$E10,"")</f>
        <v/>
      </c>
      <c r="GQ10" s="513" t="str">
        <f t="shared" ref="GQ10:GQ47" si="180">IF(AND($C10=1, $N10="1-Story",NOT($P10="Yes")),$E10,"")</f>
        <v/>
      </c>
      <c r="GR10" s="513" t="str">
        <f t="shared" ref="GR10:GR47" si="181">IF(AND($C10=2, $N10="1-Story",NOT($P10="Yes")),$E10,"")</f>
        <v/>
      </c>
      <c r="GS10" s="513" t="str">
        <f t="shared" ref="GS10:GS47" si="182">IF(AND($C10=3, $N10="1-Story",NOT($P10="Yes")),$E10,"")</f>
        <v/>
      </c>
      <c r="GT10" s="513" t="str">
        <f t="shared" ref="GT10:GT47" si="183">IF(AND($C10=4, $N10="1-Story",NOT($P10="Yes")),$E10,"")</f>
        <v/>
      </c>
      <c r="GU10" s="513" t="str">
        <f t="shared" ref="GU10:GU47" si="184">IF(AND($C10="Efficiency", $N10="1-Story",$P10="Yes"),$E10,"")</f>
        <v/>
      </c>
      <c r="GV10" s="513" t="str">
        <f t="shared" ref="GV10:GV47" si="185">IF(AND($C10=1, $N10="1-Story",$P10="Yes"),$E10,"")</f>
        <v/>
      </c>
      <c r="GW10" s="513" t="str">
        <f t="shared" ref="GW10:GW47" si="186">IF(AND($C10=2, $N10="1-Story",$P10="Yes"),$E10,"")</f>
        <v/>
      </c>
      <c r="GX10" s="513" t="str">
        <f t="shared" ref="GX10:GX47" si="187">IF(AND($C10=3, $N10="1-Story",$P10="Yes"),$E10,"")</f>
        <v/>
      </c>
      <c r="GY10" s="513" t="str">
        <f t="shared" ref="GY10:GY47" si="188">IF(AND($C10=4, $N10="1-Story",$P10="Yes"),$E10,"")</f>
        <v/>
      </c>
      <c r="GZ10" s="513" t="str">
        <f t="shared" ref="GZ10:GZ47" si="189">IF(AND($C10="Efficiency", $N10="2-Story",NOT($P10="Yes")),$E10,"")</f>
        <v/>
      </c>
      <c r="HA10" s="513" t="str">
        <f t="shared" ref="HA10:HA47" si="190">IF(AND($C10=1, $N10="2-Story",NOT($P10="Yes")),$E10,"")</f>
        <v/>
      </c>
      <c r="HB10" s="513" t="str">
        <f t="shared" ref="HB10:HB47" si="191">IF(AND($C10=2, $N10="2-Story",NOT($P10="Yes")),$E10,"")</f>
        <v/>
      </c>
      <c r="HC10" s="513" t="str">
        <f t="shared" ref="HC10:HC47" si="192">IF(AND($C10=3, $N10="2-Story",NOT($P10="Yes")),$E10,"")</f>
        <v/>
      </c>
      <c r="HD10" s="513" t="str">
        <f t="shared" ref="HD10:HD47" si="193">IF(AND($C10=4, $N10="2-Story",NOT($P10="Yes")),$E10,"")</f>
        <v/>
      </c>
      <c r="HE10" s="513" t="str">
        <f t="shared" ref="HE10:HE47" si="194">IF(AND($C10="Efficiency", $N10="2-Story",$P10="Yes"),$E10,"")</f>
        <v/>
      </c>
      <c r="HF10" s="513" t="str">
        <f t="shared" ref="HF10:HF47" si="195">IF(AND($C10=1, $N10="2-Story",$P10="Yes"),$E10,"")</f>
        <v/>
      </c>
      <c r="HG10" s="513" t="str">
        <f t="shared" ref="HG10:HG47" si="196">IF(AND($C10=2, $N10="2-Story",$P10="Yes"),$E10,"")</f>
        <v/>
      </c>
      <c r="HH10" s="513" t="str">
        <f t="shared" ref="HH10:HH47" si="197">IF(AND($C10=3, $N10="2-Story",$P10="Yes"),$E10,"")</f>
        <v/>
      </c>
      <c r="HI10" s="513" t="str">
        <f t="shared" ref="HI10:HI47" si="198">IF(AND($C10=4, $N10="2-Story",$P10="Yes"),$E10,"")</f>
        <v/>
      </c>
      <c r="HJ10" s="513" t="str">
        <f t="shared" ref="HJ10:HJ47" si="199">IF(AND($C10="Efficiency", $N10="2-Story Walkup",NOT($P10="Yes")),$E10,"")</f>
        <v/>
      </c>
      <c r="HK10" s="513" t="str">
        <f t="shared" ref="HK10:HK47" si="200">IF(AND($C10=1, $N10="2-Story Walkup",NOT($P10="Yes")),$E10,"")</f>
        <v/>
      </c>
      <c r="HL10" s="513" t="str">
        <f t="shared" ref="HL10:HL47" si="201">IF(AND($C10=2, $N10="2-Story Walkup",NOT($P10="Yes")),$E10,"")</f>
        <v/>
      </c>
      <c r="HM10" s="513" t="str">
        <f t="shared" ref="HM10:HM47" si="202">IF(AND($C10=3, $N10="2-Story Walkup",NOT($P10="Yes")),$E10,"")</f>
        <v/>
      </c>
      <c r="HN10" s="513" t="str">
        <f t="shared" ref="HN10:HN47" si="203">IF(AND($C10=4, $N10="2-Story Walkup",NOT($P10="Yes")),$E10,"")</f>
        <v/>
      </c>
      <c r="HO10" s="513" t="str">
        <f t="shared" ref="HO10:HO47" si="204">IF(AND($C10="Efficiency", $N10="2-Story Walkup",$P10="Yes"),$E10,"")</f>
        <v/>
      </c>
      <c r="HP10" s="513" t="str">
        <f t="shared" ref="HP10:HP47" si="205">IF(AND($C10=1, $N10="2-Story Walkup",$P10="Yes"),$E10,"")</f>
        <v/>
      </c>
      <c r="HQ10" s="513" t="str">
        <f t="shared" ref="HQ10:HQ47" si="206">IF(AND($C10=2, $N10="2-Story Walkup",$P10="Yes"),$E10,"")</f>
        <v/>
      </c>
      <c r="HR10" s="513" t="str">
        <f t="shared" ref="HR10:HR47" si="207">IF(AND($C10=3, $N10="2-Story Walkup",$P10="Yes"),$E10,"")</f>
        <v/>
      </c>
      <c r="HS10" s="513" t="str">
        <f t="shared" ref="HS10:HS47" si="208">IF(AND($C10=4, $N10="2-Story Walkup",$P10="Yes"),$E10,"")</f>
        <v/>
      </c>
      <c r="HT10" s="513" t="str">
        <f t="shared" ref="HT10:HT47" si="209">IF(AND($C10="Efficiency", $N10="3+ Story",NOT($P10="Yes")),$E10,"")</f>
        <v/>
      </c>
      <c r="HU10" s="513">
        <f t="shared" ref="HU10:HU47" si="210">IF(AND($C10=1, $N10="3+ Story",NOT($P10="Yes")),$E10,"")</f>
        <v>16</v>
      </c>
      <c r="HV10" s="513" t="str">
        <f t="shared" ref="HV10:HV47" si="211">IF(AND($C10=2, $N10="3+ Story",NOT($P10="Yes")),$E10,"")</f>
        <v/>
      </c>
      <c r="HW10" s="513" t="str">
        <f t="shared" ref="HW10:HW47" si="212">IF(AND($C10=3, $N10="3+ Story",NOT($P10="Yes")),$E10,"")</f>
        <v/>
      </c>
      <c r="HX10" s="513" t="str">
        <f t="shared" ref="HX10:HX47" si="213">IF(AND($C10=4, $N10="3+ Story",NOT($P10="Yes")),$E10,"")</f>
        <v/>
      </c>
      <c r="HY10" s="513" t="str">
        <f t="shared" ref="HY10:HY47" si="214">IF(AND($C10="Efficiency", $N10="3+ Story",$P10="Yes"),$E10,"")</f>
        <v/>
      </c>
      <c r="HZ10" s="513" t="str">
        <f t="shared" ref="HZ10:HZ47" si="215">IF(AND($C10=1, $N10="3+ Story",$P10="Yes"),$E10,"")</f>
        <v/>
      </c>
      <c r="IA10" s="513" t="str">
        <f t="shared" ref="IA10:IA47" si="216">IF(AND($C10=2, $N10="3+ Story",$P10="Yes"),$E10,"")</f>
        <v/>
      </c>
      <c r="IB10" s="513" t="str">
        <f t="shared" ref="IB10:IB47" si="217">IF(AND($C10=3, $N10="3+ Story",$P10="Yes"),$E10,"")</f>
        <v/>
      </c>
      <c r="IC10" s="513" t="str">
        <f t="shared" ref="IC10:IC47" si="218">IF(AND($C10=4, $N10="3+ Story",$P10="Yes"),$E10,"")</f>
        <v/>
      </c>
      <c r="ID10" s="514" t="str">
        <f t="shared" ref="ID10:ID47" si="219">IF(AND($B10="NSP 120% AMI",$C10="Efficiency", NOT($M10="Common Space")),$E10,"")</f>
        <v/>
      </c>
      <c r="IE10" s="514" t="str">
        <f t="shared" ref="IE10:IE47" si="220">IF(AND($B10="NSP 120% AMI",$C10=1,NOT($M10="Common Space")),$E10,"")</f>
        <v/>
      </c>
      <c r="IF10" s="514" t="str">
        <f t="shared" ref="IF10:IF47" si="221">IF(AND($B10="NSP 120% AMI",$C10=2,NOT($M10="Common Space")),$E10,"")</f>
        <v/>
      </c>
      <c r="IG10" s="514" t="str">
        <f t="shared" ref="IG10:IG47" si="222">IF(AND($B10="NSP 120% AMI",$C10=3,NOT($M10="Common Space")),$E10,"")</f>
        <v/>
      </c>
      <c r="IH10" s="514" t="str">
        <f t="shared" ref="IH10:IH47" si="223">IF(AND($B10="NSP 120% AMI",$C10=4,NOT($M10="Common Space")),$E10,"")</f>
        <v/>
      </c>
      <c r="II10" s="503" t="str">
        <f t="shared" ref="II10:II47" si="224">IF(AND(C10="Efficiency",B10="NSP 120% AMI",NOT(M10="Common Space")),E10*F10,"")</f>
        <v/>
      </c>
      <c r="IJ10" s="503" t="str">
        <f t="shared" ref="IJ10:IJ47" si="225">IF(AND(C10=1,B10="NSP 120% AMI",NOT(M10="Common Space")),E10*F10,"")</f>
        <v/>
      </c>
      <c r="IK10" s="503" t="str">
        <f t="shared" ref="IK10:IK47" si="226">IF(AND(C10=2,B10="NSP 120% AMI",NOT(M10="Common Space")),E10*F10,"")</f>
        <v/>
      </c>
      <c r="IL10" s="503" t="str">
        <f t="shared" ref="IL10:IL47" si="227">IF(AND(C10=3,B10="NSP 120% AMI",NOT(M10="Common Space")),E10*F10,"")</f>
        <v/>
      </c>
      <c r="IM10" s="503" t="str">
        <f t="shared" ref="IM10:IM47" si="228">IF(AND(C10=4,B10="NSP 120% AMI",NOT(M10="Common Space")),E10*F10,"")</f>
        <v/>
      </c>
      <c r="IN10" s="503" t="str">
        <f t="shared" ref="IN10:IN47" si="229">IF(AND($C10="Efficiency", $O10="New Construction",$B10="NSP 120% AMI",NOT($M10="Common Space")),$E10,"")</f>
        <v/>
      </c>
      <c r="IO10" s="503" t="str">
        <f t="shared" ref="IO10:IO47" si="230">IF(AND($C10=1, $O10="New Construction",$B10="NSP 120% AMI",NOT($M10="Common Space")),$E10,"")</f>
        <v/>
      </c>
      <c r="IP10" s="503" t="str">
        <f t="shared" ref="IP10:IP47" si="231">IF(AND($C10=2, $O10="New Construction",$B10="NSP 120% AMI",NOT($M10="Common Space")),$E10,"")</f>
        <v/>
      </c>
      <c r="IQ10" s="503" t="str">
        <f t="shared" ref="IQ10:IQ47" si="232">IF(AND($C10=3, $O10="New Construction",$B10="NSP 120% AMI",NOT($M10="Common Space")),$E10,"")</f>
        <v/>
      </c>
      <c r="IR10" s="503" t="str">
        <f t="shared" ref="IR10:IR47" si="233">IF(AND($C10=4, $O10="New Construction",$B10="NSP 120% AMI",NOT($M10="Common Space")),$E10,"")</f>
        <v/>
      </c>
      <c r="IS10" s="503" t="str">
        <f t="shared" ref="IS10:IS47" si="234">IF(AND($C10="Efficiency", $O10="Acquisition/Rehab",$B10="NSP 120% AMI",NOT($M10="Common Space")),$E10,"")</f>
        <v/>
      </c>
      <c r="IT10" s="503" t="str">
        <f t="shared" ref="IT10:IT47" si="235">IF(AND($C10=1, $O10="Acquisition/Rehab",$B10="NSP 120% AMI",NOT($M10="Common Space")),$E10,"")</f>
        <v/>
      </c>
      <c r="IU10" s="503" t="str">
        <f t="shared" ref="IU10:IU47" si="236">IF(AND($C10=2, $O10="Acquisition/Rehab",$B10="NSP 120% AMI",NOT($M10="Common Space")),$E10,"")</f>
        <v/>
      </c>
      <c r="IV10" s="503" t="str">
        <f t="shared" ref="IV10:IV47" si="237">IF(AND($C10=3, $O10="Acquisition/Rehab",$B10="NSP 120% AMI",NOT($M10="Common Space")),$E10,"")</f>
        <v/>
      </c>
      <c r="IW10" s="503" t="str">
        <f t="shared" ref="IW10:IW47" si="238">IF(AND($C10=4, $O10="Acquisition/Rehab",$B10="NSP 120% AMI",NOT($M10="Common Space")),$E10,"")</f>
        <v/>
      </c>
      <c r="IX10" s="503" t="str">
        <f t="shared" ref="IX10:IX47" si="239">IF(AND($C10="Efficiency", $O10="Rehabilitation",$B10="NSP 120% AMI",NOT($M10="Common Space")),$E10,"")</f>
        <v/>
      </c>
      <c r="IY10" s="503" t="str">
        <f t="shared" ref="IY10:IY47" si="240">IF(AND($C10=1, $O10="Rehabilitation",$B10="NSP 120% AMI",NOT($M10="Common Space")),$E10,"")</f>
        <v/>
      </c>
      <c r="IZ10" s="503" t="str">
        <f t="shared" ref="IZ10:IZ47" si="241">IF(AND($C10=2, $O10="Rehabilitation",$B10="NSP 120% AMI",NOT($M10="Common Space")),$E10,"")</f>
        <v/>
      </c>
      <c r="JA10" s="503" t="str">
        <f t="shared" ref="JA10:JA47" si="242">IF(AND($C10=3, $O10="Rehabilitation",$B10="NSP 120% AMI",NOT($M10="Common Space")),$E10,"")</f>
        <v/>
      </c>
      <c r="JB10" s="503" t="str">
        <f t="shared" ref="JB10:JB47" si="243">IF(AND($C10=4, $O10="Rehabilitation",$B10="NSP 120% AMI",NOT($M10="Common Space")),$E10,"")</f>
        <v/>
      </c>
      <c r="JC10" s="512">
        <f>IF(AND($C10="Efficiency",$E10&gt;0,OR($N10="1-Story",$N10="2-Story",$N10="3+ Story",$N10="2-Story Walkup",$N10="Townhome"),OR($O10="Acquisition/Rehab",$O10="Rehabilitation"),NOT($P10="Yes")),$E10,0)</f>
        <v>0</v>
      </c>
      <c r="JD10" s="512">
        <f>IF(AND($C10=1,$E10&gt;0,OR($N10="1-Story",$N10="2-Story",$N10="3+ Story",$N10="2-Story Walkup",$N10="Townhome"),OR($O10="Acquisition/Rehab",$O10="Rehabilitation"),NOT($P10="Yes")),$E10,0)</f>
        <v>0</v>
      </c>
      <c r="JE10" s="512">
        <f>IF(AND($C10=2,$E10&gt;0,OR($N10="1-Story",$N10="2-Story",$N10="3+ Story",$N10="2-Story Walkup",$N10="Townhome"),OR($O10="Acquisition/Rehab",$O10="Rehabilitation"),NOT($P10="Yes")),$E10,0)</f>
        <v>0</v>
      </c>
      <c r="JF10" s="512">
        <f>IF(AND($C10=3,$E10&gt;0,OR($N10="1-Story",$N10="2-Story",$N10="3+ Story",$N10="2-Story Walkup",$N10="Townhome"),OR($O10="Acquisition/Rehab",$O10="Rehabilitation"),NOT($P10="Yes")),$E10,0)</f>
        <v>0</v>
      </c>
      <c r="JG10" s="512">
        <f>IF(AND($C10=4,$E10&gt;0,OR($N10="1-Story",$N10="2-Story",$N10="3+ Story",$N10="2-Story Walkup",$N10="Townhome"),OR($O10="Acquisition/Rehab",$O10="Rehabilitation"),NOT($P10="Yes")),$E10,0)</f>
        <v>0</v>
      </c>
      <c r="JH10" s="512">
        <f>IF(AND($C10="Efficiency",$E10&gt;0,OR($N10="1-Story",$N10="2-Story",$N10="3+ Story",$N10="2-Story Walkup",$N10="Townhome"),$O10="New Construction"),$E10,0)</f>
        <v>0</v>
      </c>
      <c r="JI10" s="512">
        <f>IF(AND($C10=1,$E10&gt;0,OR($N10="1-Story",$N10="2-Story",$N10="3+ Story",$N10="2-Story Walkup",$N10="Townhome"),$O10="New Construction"),$E10,0)</f>
        <v>16</v>
      </c>
      <c r="JJ10" s="512">
        <f>IF(AND($C10=2,$E10&gt;0,OR($N10="1-Story",$N10="2-Story",$N10="3+ Story",$N10="2-Story Walkup",$N10="Townhome"),$O10="New Construction"),$E10,0)</f>
        <v>0</v>
      </c>
      <c r="JK10" s="512">
        <f>IF(AND($C10=3,$E10&gt;0,OR($N10="1-Story",$N10="2-Story",$N10="3+ Story",$N10="2-Story Walkup",$N10="Townhome"),$O10="New Construction"),$E10,0)</f>
        <v>0</v>
      </c>
      <c r="JL10" s="512">
        <f>IF(AND($C10=4,$E10&gt;0,OR($N10="1-Story",$N10="2-Story",$N10="3+ Story",$N10="2-Story Walkup",$N10="Townhome"),$O10="New Construction"),$E10,0)</f>
        <v>0</v>
      </c>
      <c r="JM10" s="512">
        <f>IF(AND($C10="Efficiency",$E10&gt;0,OR($N10="SF Detached",$N10="Duplex",$N10="Mfd Home"),NOT($P10="Yes")),$E10,0)</f>
        <v>0</v>
      </c>
      <c r="JN10" s="512">
        <f>IF(AND($C10=1,$E10&gt;0,OR($N10="SF Detached",$N10="Duplex",$N10="Mfd Home"),NOT($P10="Yes")),$E10,0)</f>
        <v>0</v>
      </c>
      <c r="JO10" s="512">
        <f>IF(AND($C10=2,$E10&gt;0,OR($N10="SF Detached",$N10="Duplex",$N10="Mfd Home"),NOT($P10="Yes")),$E10,0)</f>
        <v>0</v>
      </c>
      <c r="JP10" s="512">
        <f>IF(AND($C10=3,$E10&gt;0,OR($N10="SF Detached",$N10="Duplex",$N10="Mfd Home"),NOT($P10="Yes")),$E10,0)</f>
        <v>0</v>
      </c>
      <c r="JQ10" s="512">
        <f>IF(AND($C10=4,$E10&gt;0,OR($N10="SF Detached",$N10="Duplex",$N10="Mfd Home"),NOT($P10="Yes")),$E10,0)</f>
        <v>0</v>
      </c>
    </row>
    <row r="11" spans="1:296" ht="12" customHeight="1">
      <c r="A11" s="115" t="str">
        <f t="shared" si="0"/>
        <v/>
      </c>
      <c r="B11" s="3218" t="s">
        <v>1198</v>
      </c>
      <c r="C11" s="3219">
        <v>1</v>
      </c>
      <c r="D11" s="3220">
        <v>1</v>
      </c>
      <c r="E11" s="3221">
        <v>46</v>
      </c>
      <c r="F11" s="3221">
        <v>826</v>
      </c>
      <c r="G11" s="3221">
        <v>759</v>
      </c>
      <c r="H11" s="3221">
        <v>768</v>
      </c>
      <c r="I11" s="3221">
        <v>56</v>
      </c>
      <c r="J11" s="3222" t="s">
        <v>4701</v>
      </c>
      <c r="K11" s="859">
        <f t="shared" si="1"/>
        <v>712</v>
      </c>
      <c r="L11" s="859">
        <f t="shared" si="2"/>
        <v>32752</v>
      </c>
      <c r="M11" s="3223" t="s">
        <v>3300</v>
      </c>
      <c r="N11" s="3223" t="s">
        <v>4700</v>
      </c>
      <c r="O11" s="3223" t="s">
        <v>2386</v>
      </c>
      <c r="P11" s="3224" t="s">
        <v>3300</v>
      </c>
      <c r="Q11" s="1384">
        <f t="shared" si="3"/>
        <v>30720</v>
      </c>
      <c r="R11" s="1385">
        <f>IF(H11="","",IF(C11="Efficiency",Q11/($O$6*VLOOKUP(0,'DCA Underwriting Assumptions'!$J$132:$K$137,2,FALSE)),Q11/($O$6*VLOOKUP(C11,'DCA Underwriting Assumptions'!$J$132:$K$137,2,FALSE))))</f>
        <v>0.59970717423133235</v>
      </c>
      <c r="S11" s="1386"/>
      <c r="T11" s="1387"/>
      <c r="U11" s="3225"/>
      <c r="V11" s="3156"/>
      <c r="W11" s="158" t="str">
        <f t="shared" si="4"/>
        <v/>
      </c>
      <c r="X11" s="158">
        <f t="shared" si="5"/>
        <v>46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46</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37996</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37996</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46</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461" t="str">
        <f t="shared" si="134"/>
        <v/>
      </c>
      <c r="EX11" s="513">
        <f t="shared" si="135"/>
        <v>46</v>
      </c>
      <c r="EY11" s="513" t="str">
        <f t="shared" si="136"/>
        <v/>
      </c>
      <c r="EZ11" s="513" t="str">
        <f t="shared" si="137"/>
        <v/>
      </c>
      <c r="FA11" s="513" t="str">
        <f t="shared" si="138"/>
        <v/>
      </c>
      <c r="FB11" s="513" t="str">
        <f t="shared" si="139"/>
        <v/>
      </c>
      <c r="FC11" s="513" t="str">
        <f t="shared" si="140"/>
        <v/>
      </c>
      <c r="FD11" s="513" t="str">
        <f t="shared" si="141"/>
        <v/>
      </c>
      <c r="FE11" s="513" t="str">
        <f t="shared" si="142"/>
        <v/>
      </c>
      <c r="FF11" s="513" t="str">
        <f t="shared" si="143"/>
        <v/>
      </c>
      <c r="FG11" s="513" t="str">
        <f t="shared" si="144"/>
        <v/>
      </c>
      <c r="FH11" s="513" t="str">
        <f t="shared" si="145"/>
        <v/>
      </c>
      <c r="FI11" s="513" t="str">
        <f t="shared" si="146"/>
        <v/>
      </c>
      <c r="FJ11" s="513" t="str">
        <f t="shared" si="147"/>
        <v/>
      </c>
      <c r="FK11" s="513" t="str">
        <f t="shared" si="148"/>
        <v/>
      </c>
      <c r="FL11" s="513" t="str">
        <f t="shared" si="149"/>
        <v/>
      </c>
      <c r="FM11" s="513" t="str">
        <f t="shared" si="150"/>
        <v/>
      </c>
      <c r="FN11" s="513" t="str">
        <f t="shared" si="151"/>
        <v/>
      </c>
      <c r="FO11" s="513" t="str">
        <f t="shared" si="152"/>
        <v/>
      </c>
      <c r="FP11" s="513" t="str">
        <f t="shared" si="153"/>
        <v/>
      </c>
      <c r="FQ11" s="513" t="str">
        <f t="shared" si="154"/>
        <v/>
      </c>
      <c r="FR11" s="513" t="str">
        <f t="shared" si="155"/>
        <v/>
      </c>
      <c r="FS11" s="513" t="str">
        <f t="shared" si="156"/>
        <v/>
      </c>
      <c r="FT11" s="513" t="str">
        <f t="shared" si="157"/>
        <v/>
      </c>
      <c r="FU11" s="513" t="str">
        <f t="shared" si="158"/>
        <v/>
      </c>
      <c r="FV11" s="513" t="str">
        <f t="shared" si="159"/>
        <v/>
      </c>
      <c r="FW11" s="513" t="str">
        <f t="shared" si="160"/>
        <v/>
      </c>
      <c r="FX11" s="513" t="str">
        <f t="shared" si="161"/>
        <v/>
      </c>
      <c r="FY11" s="513" t="str">
        <f t="shared" si="162"/>
        <v/>
      </c>
      <c r="FZ11" s="513" t="str">
        <f t="shared" si="163"/>
        <v/>
      </c>
      <c r="GA11" s="513" t="str">
        <f t="shared" si="164"/>
        <v/>
      </c>
      <c r="GB11" s="513" t="str">
        <f t="shared" si="165"/>
        <v/>
      </c>
      <c r="GC11" s="513" t="str">
        <f t="shared" si="166"/>
        <v/>
      </c>
      <c r="GD11" s="513" t="str">
        <f t="shared" si="167"/>
        <v/>
      </c>
      <c r="GE11" s="513" t="str">
        <f t="shared" si="168"/>
        <v/>
      </c>
      <c r="GF11" s="513" t="str">
        <f t="shared" si="169"/>
        <v/>
      </c>
      <c r="GG11" s="513" t="str">
        <f t="shared" si="170"/>
        <v/>
      </c>
      <c r="GH11" s="513" t="str">
        <f t="shared" si="171"/>
        <v/>
      </c>
      <c r="GI11" s="513" t="str">
        <f t="shared" si="172"/>
        <v/>
      </c>
      <c r="GJ11" s="513" t="str">
        <f t="shared" si="173"/>
        <v/>
      </c>
      <c r="GK11" s="513" t="str">
        <f t="shared" si="174"/>
        <v/>
      </c>
      <c r="GL11" s="513" t="str">
        <f t="shared" si="175"/>
        <v/>
      </c>
      <c r="GM11" s="513" t="str">
        <f t="shared" si="176"/>
        <v/>
      </c>
      <c r="GN11" s="513" t="str">
        <f t="shared" si="177"/>
        <v/>
      </c>
      <c r="GO11" s="513" t="str">
        <f t="shared" si="178"/>
        <v/>
      </c>
      <c r="GP11" s="513" t="str">
        <f t="shared" si="179"/>
        <v/>
      </c>
      <c r="GQ11" s="513" t="str">
        <f t="shared" si="180"/>
        <v/>
      </c>
      <c r="GR11" s="513" t="str">
        <f t="shared" si="181"/>
        <v/>
      </c>
      <c r="GS11" s="513" t="str">
        <f t="shared" si="182"/>
        <v/>
      </c>
      <c r="GT11" s="513" t="str">
        <f t="shared" si="183"/>
        <v/>
      </c>
      <c r="GU11" s="513" t="str">
        <f t="shared" si="184"/>
        <v/>
      </c>
      <c r="GV11" s="513" t="str">
        <f t="shared" si="185"/>
        <v/>
      </c>
      <c r="GW11" s="513" t="str">
        <f t="shared" si="186"/>
        <v/>
      </c>
      <c r="GX11" s="513" t="str">
        <f t="shared" si="187"/>
        <v/>
      </c>
      <c r="GY11" s="513" t="str">
        <f t="shared" si="188"/>
        <v/>
      </c>
      <c r="GZ11" s="513" t="str">
        <f t="shared" si="189"/>
        <v/>
      </c>
      <c r="HA11" s="513" t="str">
        <f t="shared" si="190"/>
        <v/>
      </c>
      <c r="HB11" s="513" t="str">
        <f t="shared" si="191"/>
        <v/>
      </c>
      <c r="HC11" s="513" t="str">
        <f t="shared" si="192"/>
        <v/>
      </c>
      <c r="HD11" s="513" t="str">
        <f t="shared" si="193"/>
        <v/>
      </c>
      <c r="HE11" s="513" t="str">
        <f t="shared" si="194"/>
        <v/>
      </c>
      <c r="HF11" s="513" t="str">
        <f t="shared" si="195"/>
        <v/>
      </c>
      <c r="HG11" s="513" t="str">
        <f t="shared" si="196"/>
        <v/>
      </c>
      <c r="HH11" s="513" t="str">
        <f t="shared" si="197"/>
        <v/>
      </c>
      <c r="HI11" s="513" t="str">
        <f t="shared" si="198"/>
        <v/>
      </c>
      <c r="HJ11" s="513" t="str">
        <f t="shared" si="199"/>
        <v/>
      </c>
      <c r="HK11" s="513" t="str">
        <f t="shared" si="200"/>
        <v/>
      </c>
      <c r="HL11" s="513" t="str">
        <f t="shared" si="201"/>
        <v/>
      </c>
      <c r="HM11" s="513" t="str">
        <f t="shared" si="202"/>
        <v/>
      </c>
      <c r="HN11" s="513" t="str">
        <f t="shared" si="203"/>
        <v/>
      </c>
      <c r="HO11" s="513" t="str">
        <f t="shared" si="204"/>
        <v/>
      </c>
      <c r="HP11" s="513" t="str">
        <f t="shared" si="205"/>
        <v/>
      </c>
      <c r="HQ11" s="513" t="str">
        <f t="shared" si="206"/>
        <v/>
      </c>
      <c r="HR11" s="513" t="str">
        <f t="shared" si="207"/>
        <v/>
      </c>
      <c r="HS11" s="513" t="str">
        <f t="shared" si="208"/>
        <v/>
      </c>
      <c r="HT11" s="513" t="str">
        <f t="shared" si="209"/>
        <v/>
      </c>
      <c r="HU11" s="513">
        <f t="shared" si="210"/>
        <v>46</v>
      </c>
      <c r="HV11" s="513" t="str">
        <f t="shared" si="211"/>
        <v/>
      </c>
      <c r="HW11" s="513" t="str">
        <f t="shared" si="212"/>
        <v/>
      </c>
      <c r="HX11" s="513" t="str">
        <f t="shared" si="213"/>
        <v/>
      </c>
      <c r="HY11" s="513" t="str">
        <f t="shared" si="214"/>
        <v/>
      </c>
      <c r="HZ11" s="513" t="str">
        <f t="shared" si="215"/>
        <v/>
      </c>
      <c r="IA11" s="513" t="str">
        <f t="shared" si="216"/>
        <v/>
      </c>
      <c r="IB11" s="513" t="str">
        <f t="shared" si="217"/>
        <v/>
      </c>
      <c r="IC11" s="513" t="str">
        <f t="shared" si="218"/>
        <v/>
      </c>
      <c r="ID11" s="514" t="str">
        <f t="shared" si="219"/>
        <v/>
      </c>
      <c r="IE11" s="514" t="str">
        <f t="shared" si="220"/>
        <v/>
      </c>
      <c r="IF11" s="514" t="str">
        <f t="shared" si="221"/>
        <v/>
      </c>
      <c r="IG11" s="514" t="str">
        <f t="shared" si="222"/>
        <v/>
      </c>
      <c r="IH11" s="514" t="str">
        <f t="shared" si="223"/>
        <v/>
      </c>
      <c r="II11" s="503" t="str">
        <f t="shared" si="224"/>
        <v/>
      </c>
      <c r="IJ11" s="503" t="str">
        <f t="shared" si="225"/>
        <v/>
      </c>
      <c r="IK11" s="503" t="str">
        <f t="shared" si="226"/>
        <v/>
      </c>
      <c r="IL11" s="503" t="str">
        <f t="shared" si="227"/>
        <v/>
      </c>
      <c r="IM11" s="503" t="str">
        <f t="shared" si="228"/>
        <v/>
      </c>
      <c r="IN11" s="503" t="str">
        <f t="shared" si="229"/>
        <v/>
      </c>
      <c r="IO11" s="503" t="str">
        <f t="shared" si="230"/>
        <v/>
      </c>
      <c r="IP11" s="503" t="str">
        <f t="shared" si="231"/>
        <v/>
      </c>
      <c r="IQ11" s="503" t="str">
        <f t="shared" si="232"/>
        <v/>
      </c>
      <c r="IR11" s="503" t="str">
        <f t="shared" si="233"/>
        <v/>
      </c>
      <c r="IS11" s="503" t="str">
        <f t="shared" si="234"/>
        <v/>
      </c>
      <c r="IT11" s="503" t="str">
        <f t="shared" si="235"/>
        <v/>
      </c>
      <c r="IU11" s="503" t="str">
        <f t="shared" si="236"/>
        <v/>
      </c>
      <c r="IV11" s="503" t="str">
        <f t="shared" si="237"/>
        <v/>
      </c>
      <c r="IW11" s="503" t="str">
        <f t="shared" si="238"/>
        <v/>
      </c>
      <c r="IX11" s="503" t="str">
        <f t="shared" si="239"/>
        <v/>
      </c>
      <c r="IY11" s="503" t="str">
        <f t="shared" si="240"/>
        <v/>
      </c>
      <c r="IZ11" s="503" t="str">
        <f t="shared" si="241"/>
        <v/>
      </c>
      <c r="JA11" s="503" t="str">
        <f t="shared" si="242"/>
        <v/>
      </c>
      <c r="JB11" s="503" t="str">
        <f t="shared" si="243"/>
        <v/>
      </c>
      <c r="JC11" s="512">
        <f t="shared" ref="JC11:JC47" si="244">IF(AND($C11="Efficiency",$E11&gt;0,OR($N11="1-Story",$N11="2-Story",$N11="3+ Story",$N11="2-Story Walkup",$N11="Townhome"),OR($O11="Acquisition/Rehab",$O11="Rehabilitation"),NOT($P11="Yes")),$E11,0)</f>
        <v>0</v>
      </c>
      <c r="JD11" s="512">
        <f t="shared" ref="JD11:JD47" si="245">IF(AND($C11=1,$E11&gt;0,OR($N11="1-Story",$N11="2-Story",$N11="3+ Story",$N11="2-Story Walkup",$N11="Townhome"),OR($O11="Acquisition/Rehab",$O11="Rehabilitation"),NOT($P11="Yes")),$E11,0)</f>
        <v>0</v>
      </c>
      <c r="JE11" s="512">
        <f t="shared" ref="JE11:JE47" si="246">IF(AND($C11=2,$E11&gt;0,OR($N11="1-Story",$N11="2-Story",$N11="3+ Story",$N11="2-Story Walkup",$N11="Townhome"),OR($O11="Acquisition/Rehab",$O11="Rehabilitation"),NOT($P11="Yes")),$E11,0)</f>
        <v>0</v>
      </c>
      <c r="JF11" s="512">
        <f t="shared" ref="JF11:JF47" si="247">IF(AND($C11=3,$E11&gt;0,OR($N11="1-Story",$N11="2-Story",$N11="3+ Story",$N11="2-Story Walkup",$N11="Townhome"),OR($O11="Acquisition/Rehab",$O11="Rehabilitation"),NOT($P11="Yes")),$E11,0)</f>
        <v>0</v>
      </c>
      <c r="JG11" s="512">
        <f t="shared" ref="JG11:JG47" si="248">IF(AND($C11=4,$E11&gt;0,OR($N11="1-Story",$N11="2-Story",$N11="3+ Story",$N11="2-Story Walkup",$N11="Townhome"),OR($O11="Acquisition/Rehab",$O11="Rehabilitation"),NOT($P11="Yes")),$E11,0)</f>
        <v>0</v>
      </c>
      <c r="JH11" s="512">
        <f t="shared" ref="JH11:JH47" si="249">IF(AND($C11="Efficiency",$E11&gt;0,OR($N11="1-Story",$N11="2-Story",$N11="3+ Story",$N11="2-Story Walkup",$N11="Townhome"),$O11="New Construction"),$E11,0)</f>
        <v>0</v>
      </c>
      <c r="JI11" s="512">
        <f t="shared" ref="JI11:JI47" si="250">IF(AND($C11=1,$E11&gt;0,OR($N11="1-Story",$N11="2-Story",$N11="3+ Story",$N11="2-Story Walkup",$N11="Townhome"),$O11="New Construction"),$E11,0)</f>
        <v>46</v>
      </c>
      <c r="JJ11" s="512">
        <f t="shared" ref="JJ11:JJ47" si="251">IF(AND($C11=2,$E11&gt;0,OR($N11="1-Story",$N11="2-Story",$N11="3+ Story",$N11="2-Story Walkup",$N11="Townhome"),$O11="New Construction"),$E11,0)</f>
        <v>0</v>
      </c>
      <c r="JK11" s="512">
        <f t="shared" ref="JK11:JK47" si="252">IF(AND($C11=3,$E11&gt;0,OR($N11="1-Story",$N11="2-Story",$N11="3+ Story",$N11="2-Story Walkup",$N11="Townhome"),$O11="New Construction"),$E11,0)</f>
        <v>0</v>
      </c>
      <c r="JL11" s="512">
        <f t="shared" ref="JL11:JL47" si="253">IF(AND($C11=4,$E11&gt;0,OR($N11="1-Story",$N11="2-Story",$N11="3+ Story",$N11="2-Story Walkup",$N11="Townhome"),$O11="New Construction"),$E11,0)</f>
        <v>0</v>
      </c>
      <c r="JM11" s="512">
        <f t="shared" ref="JM11:JM47" si="254">IF(AND($C11="Efficiency",$E11&gt;0,OR($N11="SF Detached",$N11="Duplex",$N11="Mfd Home"),NOT($P11="Yes")),$E11,0)</f>
        <v>0</v>
      </c>
      <c r="JN11" s="512">
        <f t="shared" ref="JN11:JN47" si="255">IF(AND($C11=1,$E11&gt;0,OR($N11="SF Detached",$N11="Duplex",$N11="Mfd Home"),NOT($P11="Yes")),$E11,0)</f>
        <v>0</v>
      </c>
      <c r="JO11" s="512">
        <f t="shared" ref="JO11:JO47" si="256">IF(AND($C11=2,$E11&gt;0,OR($N11="SF Detached",$N11="Duplex",$N11="Mfd Home"),NOT($P11="Yes")),$E11,0)</f>
        <v>0</v>
      </c>
      <c r="JP11" s="512">
        <f t="shared" ref="JP11:JP47" si="257">IF(AND($C11=3,$E11&gt;0,OR($N11="SF Detached",$N11="Duplex",$N11="Mfd Home"),NOT($P11="Yes")),$E11,0)</f>
        <v>0</v>
      </c>
      <c r="JQ11" s="512">
        <f t="shared" ref="JQ11:JQ47" si="258">IF(AND($C11=4,$E11&gt;0,OR($N11="SF Detached",$N11="Duplex",$N11="Mfd Home"),NOT($P11="Yes")),$E11,0)</f>
        <v>0</v>
      </c>
    </row>
    <row r="12" spans="1:296" ht="12" customHeight="1">
      <c r="A12" s="115" t="str">
        <f t="shared" si="0"/>
        <v/>
      </c>
      <c r="B12" s="3218" t="s">
        <v>1198</v>
      </c>
      <c r="C12" s="3219">
        <v>1</v>
      </c>
      <c r="D12" s="3220">
        <v>1</v>
      </c>
      <c r="E12" s="3221">
        <v>49</v>
      </c>
      <c r="F12" s="3221">
        <v>755</v>
      </c>
      <c r="G12" s="3221">
        <v>759</v>
      </c>
      <c r="H12" s="3221">
        <v>768</v>
      </c>
      <c r="I12" s="3221">
        <v>56</v>
      </c>
      <c r="J12" s="3222" t="s">
        <v>4701</v>
      </c>
      <c r="K12" s="859">
        <f t="shared" si="1"/>
        <v>712</v>
      </c>
      <c r="L12" s="859">
        <f t="shared" si="2"/>
        <v>34888</v>
      </c>
      <c r="M12" s="3223" t="s">
        <v>3300</v>
      </c>
      <c r="N12" s="3223" t="s">
        <v>4700</v>
      </c>
      <c r="O12" s="3223" t="s">
        <v>2386</v>
      </c>
      <c r="P12" s="3224" t="s">
        <v>3300</v>
      </c>
      <c r="Q12" s="1384">
        <f t="shared" si="3"/>
        <v>30720</v>
      </c>
      <c r="R12" s="1385">
        <f>IF(H12="","",IF(C12="Efficiency",Q12/($O$6*VLOOKUP(0,'DCA Underwriting Assumptions'!$J$132:$K$137,2,FALSE)),Q12/($O$6*VLOOKUP(C12,'DCA Underwriting Assumptions'!$J$132:$K$137,2,FALSE))))</f>
        <v>0.59970717423133235</v>
      </c>
      <c r="S12" s="1386"/>
      <c r="T12" s="1387"/>
      <c r="U12" s="3225"/>
      <c r="V12" s="3156"/>
      <c r="W12" s="158" t="str">
        <f t="shared" si="4"/>
        <v/>
      </c>
      <c r="X12" s="158">
        <f t="shared" si="5"/>
        <v>49</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f t="shared" si="35"/>
        <v>49</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36995</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36995</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49</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461" t="str">
        <f t="shared" si="134"/>
        <v/>
      </c>
      <c r="EX12" s="513">
        <f t="shared" si="135"/>
        <v>49</v>
      </c>
      <c r="EY12" s="513" t="str">
        <f t="shared" si="136"/>
        <v/>
      </c>
      <c r="EZ12" s="513" t="str">
        <f t="shared" si="137"/>
        <v/>
      </c>
      <c r="FA12" s="513" t="str">
        <f t="shared" si="138"/>
        <v/>
      </c>
      <c r="FB12" s="513" t="str">
        <f t="shared" si="139"/>
        <v/>
      </c>
      <c r="FC12" s="513" t="str">
        <f t="shared" si="140"/>
        <v/>
      </c>
      <c r="FD12" s="513" t="str">
        <f t="shared" si="141"/>
        <v/>
      </c>
      <c r="FE12" s="513" t="str">
        <f t="shared" si="142"/>
        <v/>
      </c>
      <c r="FF12" s="513" t="str">
        <f t="shared" si="143"/>
        <v/>
      </c>
      <c r="FG12" s="513" t="str">
        <f t="shared" si="144"/>
        <v/>
      </c>
      <c r="FH12" s="513" t="str">
        <f t="shared" si="145"/>
        <v/>
      </c>
      <c r="FI12" s="513" t="str">
        <f t="shared" si="146"/>
        <v/>
      </c>
      <c r="FJ12" s="513" t="str">
        <f t="shared" si="147"/>
        <v/>
      </c>
      <c r="FK12" s="513" t="str">
        <f t="shared" si="148"/>
        <v/>
      </c>
      <c r="FL12" s="513" t="str">
        <f t="shared" si="149"/>
        <v/>
      </c>
      <c r="FM12" s="513" t="str">
        <f t="shared" si="150"/>
        <v/>
      </c>
      <c r="FN12" s="513" t="str">
        <f t="shared" si="151"/>
        <v/>
      </c>
      <c r="FO12" s="513" t="str">
        <f t="shared" si="152"/>
        <v/>
      </c>
      <c r="FP12" s="513" t="str">
        <f t="shared" si="153"/>
        <v/>
      </c>
      <c r="FQ12" s="513" t="str">
        <f t="shared" si="154"/>
        <v/>
      </c>
      <c r="FR12" s="513" t="str">
        <f t="shared" si="155"/>
        <v/>
      </c>
      <c r="FS12" s="513" t="str">
        <f t="shared" si="156"/>
        <v/>
      </c>
      <c r="FT12" s="513" t="str">
        <f t="shared" si="157"/>
        <v/>
      </c>
      <c r="FU12" s="513" t="str">
        <f t="shared" si="158"/>
        <v/>
      </c>
      <c r="FV12" s="513" t="str">
        <f t="shared" si="159"/>
        <v/>
      </c>
      <c r="FW12" s="513" t="str">
        <f t="shared" si="160"/>
        <v/>
      </c>
      <c r="FX12" s="513" t="str">
        <f t="shared" si="161"/>
        <v/>
      </c>
      <c r="FY12" s="513" t="str">
        <f t="shared" si="162"/>
        <v/>
      </c>
      <c r="FZ12" s="513" t="str">
        <f t="shared" si="163"/>
        <v/>
      </c>
      <c r="GA12" s="513" t="str">
        <f t="shared" si="164"/>
        <v/>
      </c>
      <c r="GB12" s="513" t="str">
        <f t="shared" si="165"/>
        <v/>
      </c>
      <c r="GC12" s="513" t="str">
        <f t="shared" si="166"/>
        <v/>
      </c>
      <c r="GD12" s="513" t="str">
        <f t="shared" si="167"/>
        <v/>
      </c>
      <c r="GE12" s="513" t="str">
        <f t="shared" si="168"/>
        <v/>
      </c>
      <c r="GF12" s="513" t="str">
        <f t="shared" si="169"/>
        <v/>
      </c>
      <c r="GG12" s="513" t="str">
        <f t="shared" si="170"/>
        <v/>
      </c>
      <c r="GH12" s="513" t="str">
        <f t="shared" si="171"/>
        <v/>
      </c>
      <c r="GI12" s="513" t="str">
        <f t="shared" si="172"/>
        <v/>
      </c>
      <c r="GJ12" s="513" t="str">
        <f t="shared" si="173"/>
        <v/>
      </c>
      <c r="GK12" s="513" t="str">
        <f t="shared" si="174"/>
        <v/>
      </c>
      <c r="GL12" s="513" t="str">
        <f t="shared" si="175"/>
        <v/>
      </c>
      <c r="GM12" s="513" t="str">
        <f t="shared" si="176"/>
        <v/>
      </c>
      <c r="GN12" s="513" t="str">
        <f t="shared" si="177"/>
        <v/>
      </c>
      <c r="GO12" s="513" t="str">
        <f t="shared" si="178"/>
        <v/>
      </c>
      <c r="GP12" s="513" t="str">
        <f t="shared" si="179"/>
        <v/>
      </c>
      <c r="GQ12" s="513" t="str">
        <f t="shared" si="180"/>
        <v/>
      </c>
      <c r="GR12" s="513" t="str">
        <f t="shared" si="181"/>
        <v/>
      </c>
      <c r="GS12" s="513" t="str">
        <f t="shared" si="182"/>
        <v/>
      </c>
      <c r="GT12" s="513" t="str">
        <f t="shared" si="183"/>
        <v/>
      </c>
      <c r="GU12" s="513" t="str">
        <f t="shared" si="184"/>
        <v/>
      </c>
      <c r="GV12" s="513" t="str">
        <f t="shared" si="185"/>
        <v/>
      </c>
      <c r="GW12" s="513" t="str">
        <f t="shared" si="186"/>
        <v/>
      </c>
      <c r="GX12" s="513" t="str">
        <f t="shared" si="187"/>
        <v/>
      </c>
      <c r="GY12" s="513" t="str">
        <f t="shared" si="188"/>
        <v/>
      </c>
      <c r="GZ12" s="513" t="str">
        <f t="shared" si="189"/>
        <v/>
      </c>
      <c r="HA12" s="513" t="str">
        <f t="shared" si="190"/>
        <v/>
      </c>
      <c r="HB12" s="513" t="str">
        <f t="shared" si="191"/>
        <v/>
      </c>
      <c r="HC12" s="513" t="str">
        <f t="shared" si="192"/>
        <v/>
      </c>
      <c r="HD12" s="513" t="str">
        <f t="shared" si="193"/>
        <v/>
      </c>
      <c r="HE12" s="513" t="str">
        <f t="shared" si="194"/>
        <v/>
      </c>
      <c r="HF12" s="513" t="str">
        <f t="shared" si="195"/>
        <v/>
      </c>
      <c r="HG12" s="513" t="str">
        <f t="shared" si="196"/>
        <v/>
      </c>
      <c r="HH12" s="513" t="str">
        <f t="shared" si="197"/>
        <v/>
      </c>
      <c r="HI12" s="513" t="str">
        <f t="shared" si="198"/>
        <v/>
      </c>
      <c r="HJ12" s="513" t="str">
        <f t="shared" si="199"/>
        <v/>
      </c>
      <c r="HK12" s="513" t="str">
        <f t="shared" si="200"/>
        <v/>
      </c>
      <c r="HL12" s="513" t="str">
        <f t="shared" si="201"/>
        <v/>
      </c>
      <c r="HM12" s="513" t="str">
        <f t="shared" si="202"/>
        <v/>
      </c>
      <c r="HN12" s="513" t="str">
        <f t="shared" si="203"/>
        <v/>
      </c>
      <c r="HO12" s="513" t="str">
        <f t="shared" si="204"/>
        <v/>
      </c>
      <c r="HP12" s="513" t="str">
        <f t="shared" si="205"/>
        <v/>
      </c>
      <c r="HQ12" s="513" t="str">
        <f t="shared" si="206"/>
        <v/>
      </c>
      <c r="HR12" s="513" t="str">
        <f t="shared" si="207"/>
        <v/>
      </c>
      <c r="HS12" s="513" t="str">
        <f t="shared" si="208"/>
        <v/>
      </c>
      <c r="HT12" s="513" t="str">
        <f t="shared" si="209"/>
        <v/>
      </c>
      <c r="HU12" s="513">
        <f t="shared" si="210"/>
        <v>49</v>
      </c>
      <c r="HV12" s="513" t="str">
        <f t="shared" si="211"/>
        <v/>
      </c>
      <c r="HW12" s="513" t="str">
        <f t="shared" si="212"/>
        <v/>
      </c>
      <c r="HX12" s="513" t="str">
        <f t="shared" si="213"/>
        <v/>
      </c>
      <c r="HY12" s="513" t="str">
        <f t="shared" si="214"/>
        <v/>
      </c>
      <c r="HZ12" s="513" t="str">
        <f t="shared" si="215"/>
        <v/>
      </c>
      <c r="IA12" s="513" t="str">
        <f t="shared" si="216"/>
        <v/>
      </c>
      <c r="IB12" s="513" t="str">
        <f t="shared" si="217"/>
        <v/>
      </c>
      <c r="IC12" s="513" t="str">
        <f t="shared" si="218"/>
        <v/>
      </c>
      <c r="ID12" s="514" t="str">
        <f t="shared" si="219"/>
        <v/>
      </c>
      <c r="IE12" s="514" t="str">
        <f t="shared" si="220"/>
        <v/>
      </c>
      <c r="IF12" s="514" t="str">
        <f t="shared" si="221"/>
        <v/>
      </c>
      <c r="IG12" s="514" t="str">
        <f t="shared" si="222"/>
        <v/>
      </c>
      <c r="IH12" s="514" t="str">
        <f t="shared" si="223"/>
        <v/>
      </c>
      <c r="II12" s="503" t="str">
        <f t="shared" si="224"/>
        <v/>
      </c>
      <c r="IJ12" s="503" t="str">
        <f t="shared" si="225"/>
        <v/>
      </c>
      <c r="IK12" s="503" t="str">
        <f t="shared" si="226"/>
        <v/>
      </c>
      <c r="IL12" s="503" t="str">
        <f t="shared" si="227"/>
        <v/>
      </c>
      <c r="IM12" s="503" t="str">
        <f t="shared" si="228"/>
        <v/>
      </c>
      <c r="IN12" s="503" t="str">
        <f t="shared" si="229"/>
        <v/>
      </c>
      <c r="IO12" s="503" t="str">
        <f t="shared" si="230"/>
        <v/>
      </c>
      <c r="IP12" s="503" t="str">
        <f t="shared" si="231"/>
        <v/>
      </c>
      <c r="IQ12" s="503" t="str">
        <f t="shared" si="232"/>
        <v/>
      </c>
      <c r="IR12" s="503" t="str">
        <f t="shared" si="233"/>
        <v/>
      </c>
      <c r="IS12" s="503" t="str">
        <f t="shared" si="234"/>
        <v/>
      </c>
      <c r="IT12" s="503" t="str">
        <f t="shared" si="235"/>
        <v/>
      </c>
      <c r="IU12" s="503" t="str">
        <f t="shared" si="236"/>
        <v/>
      </c>
      <c r="IV12" s="503" t="str">
        <f t="shared" si="237"/>
        <v/>
      </c>
      <c r="IW12" s="503" t="str">
        <f t="shared" si="238"/>
        <v/>
      </c>
      <c r="IX12" s="503" t="str">
        <f t="shared" si="239"/>
        <v/>
      </c>
      <c r="IY12" s="503" t="str">
        <f t="shared" si="240"/>
        <v/>
      </c>
      <c r="IZ12" s="503" t="str">
        <f t="shared" si="241"/>
        <v/>
      </c>
      <c r="JA12" s="503" t="str">
        <f t="shared" si="242"/>
        <v/>
      </c>
      <c r="JB12" s="503" t="str">
        <f t="shared" si="243"/>
        <v/>
      </c>
      <c r="JC12" s="512">
        <f t="shared" si="244"/>
        <v>0</v>
      </c>
      <c r="JD12" s="512">
        <f t="shared" si="245"/>
        <v>0</v>
      </c>
      <c r="JE12" s="512">
        <f t="shared" si="246"/>
        <v>0</v>
      </c>
      <c r="JF12" s="512">
        <f t="shared" si="247"/>
        <v>0</v>
      </c>
      <c r="JG12" s="512">
        <f t="shared" si="248"/>
        <v>0</v>
      </c>
      <c r="JH12" s="512">
        <f t="shared" si="249"/>
        <v>0</v>
      </c>
      <c r="JI12" s="512">
        <f t="shared" si="250"/>
        <v>49</v>
      </c>
      <c r="JJ12" s="512">
        <f t="shared" si="251"/>
        <v>0</v>
      </c>
      <c r="JK12" s="512">
        <f t="shared" si="252"/>
        <v>0</v>
      </c>
      <c r="JL12" s="512">
        <f t="shared" si="253"/>
        <v>0</v>
      </c>
      <c r="JM12" s="512">
        <f t="shared" si="254"/>
        <v>0</v>
      </c>
      <c r="JN12" s="512">
        <f t="shared" si="255"/>
        <v>0</v>
      </c>
      <c r="JO12" s="512">
        <f t="shared" si="256"/>
        <v>0</v>
      </c>
      <c r="JP12" s="512">
        <f t="shared" si="257"/>
        <v>0</v>
      </c>
      <c r="JQ12" s="512">
        <f t="shared" si="258"/>
        <v>0</v>
      </c>
    </row>
    <row r="13" spans="1:296" ht="12" customHeight="1">
      <c r="A13" s="115" t="str">
        <f t="shared" si="0"/>
        <v/>
      </c>
      <c r="B13" s="3218" t="s">
        <v>1198</v>
      </c>
      <c r="C13" s="3219">
        <v>2</v>
      </c>
      <c r="D13" s="3220">
        <v>2</v>
      </c>
      <c r="E13" s="3221">
        <v>13</v>
      </c>
      <c r="F13" s="3221">
        <v>1039</v>
      </c>
      <c r="G13" s="3221">
        <v>912</v>
      </c>
      <c r="H13" s="3221">
        <v>921</v>
      </c>
      <c r="I13" s="3221">
        <v>74</v>
      </c>
      <c r="J13" s="3222" t="s">
        <v>4701</v>
      </c>
      <c r="K13" s="859">
        <f t="shared" si="1"/>
        <v>847</v>
      </c>
      <c r="L13" s="859">
        <f t="shared" si="2"/>
        <v>11011</v>
      </c>
      <c r="M13" s="3223" t="s">
        <v>3300</v>
      </c>
      <c r="N13" s="3223" t="s">
        <v>4700</v>
      </c>
      <c r="O13" s="3223" t="s">
        <v>2386</v>
      </c>
      <c r="P13" s="3224" t="s">
        <v>3300</v>
      </c>
      <c r="Q13" s="1384">
        <f t="shared" si="3"/>
        <v>36840</v>
      </c>
      <c r="R13" s="1385">
        <f>IF(H13="","",IF(C13="Efficiency",Q13/($O$6*VLOOKUP(0,'DCA Underwriting Assumptions'!$J$132:$K$137,2,FALSE)),Q13/($O$6*VLOOKUP(C13,'DCA Underwriting Assumptions'!$J$132:$K$137,2,FALSE))))</f>
        <v>0.59931673987310885</v>
      </c>
      <c r="S13" s="1386"/>
      <c r="T13" s="1387"/>
      <c r="U13" s="3225"/>
      <c r="V13" s="3156"/>
      <c r="W13" s="158" t="str">
        <f t="shared" si="4"/>
        <v/>
      </c>
      <c r="X13" s="158" t="str">
        <f t="shared" si="5"/>
        <v/>
      </c>
      <c r="Y13" s="158">
        <f t="shared" si="6"/>
        <v>13</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13</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13507</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13507</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13</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461" t="str">
        <f t="shared" si="134"/>
        <v/>
      </c>
      <c r="EX13" s="513" t="str">
        <f t="shared" si="135"/>
        <v/>
      </c>
      <c r="EY13" s="513">
        <f t="shared" si="136"/>
        <v>13</v>
      </c>
      <c r="EZ13" s="513" t="str">
        <f t="shared" si="137"/>
        <v/>
      </c>
      <c r="FA13" s="513" t="str">
        <f t="shared" si="138"/>
        <v/>
      </c>
      <c r="FB13" s="513" t="str">
        <f t="shared" si="139"/>
        <v/>
      </c>
      <c r="FC13" s="513" t="str">
        <f t="shared" si="140"/>
        <v/>
      </c>
      <c r="FD13" s="513" t="str">
        <f t="shared" si="141"/>
        <v/>
      </c>
      <c r="FE13" s="513" t="str">
        <f t="shared" si="142"/>
        <v/>
      </c>
      <c r="FF13" s="513" t="str">
        <f t="shared" si="143"/>
        <v/>
      </c>
      <c r="FG13" s="513" t="str">
        <f t="shared" si="144"/>
        <v/>
      </c>
      <c r="FH13" s="513" t="str">
        <f t="shared" si="145"/>
        <v/>
      </c>
      <c r="FI13" s="513" t="str">
        <f t="shared" si="146"/>
        <v/>
      </c>
      <c r="FJ13" s="513" t="str">
        <f t="shared" si="147"/>
        <v/>
      </c>
      <c r="FK13" s="513" t="str">
        <f t="shared" si="148"/>
        <v/>
      </c>
      <c r="FL13" s="513" t="str">
        <f t="shared" si="149"/>
        <v/>
      </c>
      <c r="FM13" s="513" t="str">
        <f t="shared" si="150"/>
        <v/>
      </c>
      <c r="FN13" s="513" t="str">
        <f t="shared" si="151"/>
        <v/>
      </c>
      <c r="FO13" s="513" t="str">
        <f t="shared" si="152"/>
        <v/>
      </c>
      <c r="FP13" s="513" t="str">
        <f t="shared" si="153"/>
        <v/>
      </c>
      <c r="FQ13" s="513" t="str">
        <f t="shared" si="154"/>
        <v/>
      </c>
      <c r="FR13" s="513" t="str">
        <f t="shared" si="155"/>
        <v/>
      </c>
      <c r="FS13" s="513" t="str">
        <f t="shared" si="156"/>
        <v/>
      </c>
      <c r="FT13" s="513" t="str">
        <f t="shared" si="157"/>
        <v/>
      </c>
      <c r="FU13" s="513" t="str">
        <f t="shared" si="158"/>
        <v/>
      </c>
      <c r="FV13" s="513" t="str">
        <f t="shared" si="159"/>
        <v/>
      </c>
      <c r="FW13" s="513" t="str">
        <f t="shared" si="160"/>
        <v/>
      </c>
      <c r="FX13" s="513" t="str">
        <f t="shared" si="161"/>
        <v/>
      </c>
      <c r="FY13" s="513" t="str">
        <f t="shared" si="162"/>
        <v/>
      </c>
      <c r="FZ13" s="513" t="str">
        <f t="shared" si="163"/>
        <v/>
      </c>
      <c r="GA13" s="513" t="str">
        <f t="shared" si="164"/>
        <v/>
      </c>
      <c r="GB13" s="513" t="str">
        <f t="shared" si="165"/>
        <v/>
      </c>
      <c r="GC13" s="513" t="str">
        <f t="shared" si="166"/>
        <v/>
      </c>
      <c r="GD13" s="513" t="str">
        <f t="shared" si="167"/>
        <v/>
      </c>
      <c r="GE13" s="513" t="str">
        <f t="shared" si="168"/>
        <v/>
      </c>
      <c r="GF13" s="513" t="str">
        <f t="shared" si="169"/>
        <v/>
      </c>
      <c r="GG13" s="513" t="str">
        <f t="shared" si="170"/>
        <v/>
      </c>
      <c r="GH13" s="513" t="str">
        <f t="shared" si="171"/>
        <v/>
      </c>
      <c r="GI13" s="513" t="str">
        <f t="shared" si="172"/>
        <v/>
      </c>
      <c r="GJ13" s="513" t="str">
        <f t="shared" si="173"/>
        <v/>
      </c>
      <c r="GK13" s="513" t="str">
        <f t="shared" si="174"/>
        <v/>
      </c>
      <c r="GL13" s="513" t="str">
        <f t="shared" si="175"/>
        <v/>
      </c>
      <c r="GM13" s="513" t="str">
        <f t="shared" si="176"/>
        <v/>
      </c>
      <c r="GN13" s="513" t="str">
        <f t="shared" si="177"/>
        <v/>
      </c>
      <c r="GO13" s="513" t="str">
        <f t="shared" si="178"/>
        <v/>
      </c>
      <c r="GP13" s="513" t="str">
        <f t="shared" si="179"/>
        <v/>
      </c>
      <c r="GQ13" s="513" t="str">
        <f t="shared" si="180"/>
        <v/>
      </c>
      <c r="GR13" s="513" t="str">
        <f t="shared" si="181"/>
        <v/>
      </c>
      <c r="GS13" s="513" t="str">
        <f t="shared" si="182"/>
        <v/>
      </c>
      <c r="GT13" s="513" t="str">
        <f t="shared" si="183"/>
        <v/>
      </c>
      <c r="GU13" s="513" t="str">
        <f t="shared" si="184"/>
        <v/>
      </c>
      <c r="GV13" s="513" t="str">
        <f t="shared" si="185"/>
        <v/>
      </c>
      <c r="GW13" s="513" t="str">
        <f t="shared" si="186"/>
        <v/>
      </c>
      <c r="GX13" s="513" t="str">
        <f t="shared" si="187"/>
        <v/>
      </c>
      <c r="GY13" s="513" t="str">
        <f t="shared" si="188"/>
        <v/>
      </c>
      <c r="GZ13" s="513" t="str">
        <f t="shared" si="189"/>
        <v/>
      </c>
      <c r="HA13" s="513" t="str">
        <f t="shared" si="190"/>
        <v/>
      </c>
      <c r="HB13" s="513" t="str">
        <f t="shared" si="191"/>
        <v/>
      </c>
      <c r="HC13" s="513" t="str">
        <f t="shared" si="192"/>
        <v/>
      </c>
      <c r="HD13" s="513" t="str">
        <f t="shared" si="193"/>
        <v/>
      </c>
      <c r="HE13" s="513" t="str">
        <f t="shared" si="194"/>
        <v/>
      </c>
      <c r="HF13" s="513" t="str">
        <f t="shared" si="195"/>
        <v/>
      </c>
      <c r="HG13" s="513" t="str">
        <f t="shared" si="196"/>
        <v/>
      </c>
      <c r="HH13" s="513" t="str">
        <f t="shared" si="197"/>
        <v/>
      </c>
      <c r="HI13" s="513" t="str">
        <f t="shared" si="198"/>
        <v/>
      </c>
      <c r="HJ13" s="513" t="str">
        <f t="shared" si="199"/>
        <v/>
      </c>
      <c r="HK13" s="513" t="str">
        <f t="shared" si="200"/>
        <v/>
      </c>
      <c r="HL13" s="513" t="str">
        <f t="shared" si="201"/>
        <v/>
      </c>
      <c r="HM13" s="513" t="str">
        <f t="shared" si="202"/>
        <v/>
      </c>
      <c r="HN13" s="513" t="str">
        <f t="shared" si="203"/>
        <v/>
      </c>
      <c r="HO13" s="513" t="str">
        <f t="shared" si="204"/>
        <v/>
      </c>
      <c r="HP13" s="513" t="str">
        <f t="shared" si="205"/>
        <v/>
      </c>
      <c r="HQ13" s="513" t="str">
        <f t="shared" si="206"/>
        <v/>
      </c>
      <c r="HR13" s="513" t="str">
        <f t="shared" si="207"/>
        <v/>
      </c>
      <c r="HS13" s="513" t="str">
        <f t="shared" si="208"/>
        <v/>
      </c>
      <c r="HT13" s="513" t="str">
        <f t="shared" si="209"/>
        <v/>
      </c>
      <c r="HU13" s="513" t="str">
        <f t="shared" si="210"/>
        <v/>
      </c>
      <c r="HV13" s="513">
        <f t="shared" si="211"/>
        <v>13</v>
      </c>
      <c r="HW13" s="513" t="str">
        <f t="shared" si="212"/>
        <v/>
      </c>
      <c r="HX13" s="513" t="str">
        <f t="shared" si="213"/>
        <v/>
      </c>
      <c r="HY13" s="513" t="str">
        <f t="shared" si="214"/>
        <v/>
      </c>
      <c r="HZ13" s="513" t="str">
        <f t="shared" si="215"/>
        <v/>
      </c>
      <c r="IA13" s="513" t="str">
        <f t="shared" si="216"/>
        <v/>
      </c>
      <c r="IB13" s="513" t="str">
        <f t="shared" si="217"/>
        <v/>
      </c>
      <c r="IC13" s="513" t="str">
        <f t="shared" si="218"/>
        <v/>
      </c>
      <c r="ID13" s="514" t="str">
        <f t="shared" si="219"/>
        <v/>
      </c>
      <c r="IE13" s="514" t="str">
        <f t="shared" si="220"/>
        <v/>
      </c>
      <c r="IF13" s="514" t="str">
        <f t="shared" si="221"/>
        <v/>
      </c>
      <c r="IG13" s="514" t="str">
        <f t="shared" si="222"/>
        <v/>
      </c>
      <c r="IH13" s="514" t="str">
        <f t="shared" si="223"/>
        <v/>
      </c>
      <c r="II13" s="503" t="str">
        <f t="shared" si="224"/>
        <v/>
      </c>
      <c r="IJ13" s="503" t="str">
        <f t="shared" si="225"/>
        <v/>
      </c>
      <c r="IK13" s="503" t="str">
        <f t="shared" si="226"/>
        <v/>
      </c>
      <c r="IL13" s="503" t="str">
        <f t="shared" si="227"/>
        <v/>
      </c>
      <c r="IM13" s="503" t="str">
        <f t="shared" si="228"/>
        <v/>
      </c>
      <c r="IN13" s="503" t="str">
        <f t="shared" si="229"/>
        <v/>
      </c>
      <c r="IO13" s="503" t="str">
        <f t="shared" si="230"/>
        <v/>
      </c>
      <c r="IP13" s="503" t="str">
        <f t="shared" si="231"/>
        <v/>
      </c>
      <c r="IQ13" s="503" t="str">
        <f t="shared" si="232"/>
        <v/>
      </c>
      <c r="IR13" s="503" t="str">
        <f t="shared" si="233"/>
        <v/>
      </c>
      <c r="IS13" s="503" t="str">
        <f t="shared" si="234"/>
        <v/>
      </c>
      <c r="IT13" s="503" t="str">
        <f t="shared" si="235"/>
        <v/>
      </c>
      <c r="IU13" s="503" t="str">
        <f t="shared" si="236"/>
        <v/>
      </c>
      <c r="IV13" s="503" t="str">
        <f t="shared" si="237"/>
        <v/>
      </c>
      <c r="IW13" s="503" t="str">
        <f t="shared" si="238"/>
        <v/>
      </c>
      <c r="IX13" s="503" t="str">
        <f t="shared" si="239"/>
        <v/>
      </c>
      <c r="IY13" s="503" t="str">
        <f t="shared" si="240"/>
        <v/>
      </c>
      <c r="IZ13" s="503" t="str">
        <f t="shared" si="241"/>
        <v/>
      </c>
      <c r="JA13" s="503" t="str">
        <f t="shared" si="242"/>
        <v/>
      </c>
      <c r="JB13" s="503" t="str">
        <f t="shared" si="243"/>
        <v/>
      </c>
      <c r="JC13" s="512">
        <f t="shared" si="244"/>
        <v>0</v>
      </c>
      <c r="JD13" s="512">
        <f t="shared" si="245"/>
        <v>0</v>
      </c>
      <c r="JE13" s="512">
        <f t="shared" si="246"/>
        <v>0</v>
      </c>
      <c r="JF13" s="512">
        <f t="shared" si="247"/>
        <v>0</v>
      </c>
      <c r="JG13" s="512">
        <f t="shared" si="248"/>
        <v>0</v>
      </c>
      <c r="JH13" s="512">
        <f t="shared" si="249"/>
        <v>0</v>
      </c>
      <c r="JI13" s="512">
        <f t="shared" si="250"/>
        <v>0</v>
      </c>
      <c r="JJ13" s="512">
        <f t="shared" si="251"/>
        <v>13</v>
      </c>
      <c r="JK13" s="512">
        <f t="shared" si="252"/>
        <v>0</v>
      </c>
      <c r="JL13" s="512">
        <f t="shared" si="253"/>
        <v>0</v>
      </c>
      <c r="JM13" s="512">
        <f t="shared" si="254"/>
        <v>0</v>
      </c>
      <c r="JN13" s="512">
        <f t="shared" si="255"/>
        <v>0</v>
      </c>
      <c r="JO13" s="512">
        <f t="shared" si="256"/>
        <v>0</v>
      </c>
      <c r="JP13" s="512">
        <f t="shared" si="257"/>
        <v>0</v>
      </c>
      <c r="JQ13" s="512">
        <f t="shared" si="258"/>
        <v>0</v>
      </c>
    </row>
    <row r="14" spans="1:296" ht="12" customHeight="1">
      <c r="A14" s="115" t="str">
        <f t="shared" si="0"/>
        <v/>
      </c>
      <c r="B14" s="3218" t="s">
        <v>1198</v>
      </c>
      <c r="C14" s="3219">
        <v>2</v>
      </c>
      <c r="D14" s="3220">
        <v>2</v>
      </c>
      <c r="E14" s="3221">
        <v>5</v>
      </c>
      <c r="F14" s="3221">
        <v>1088</v>
      </c>
      <c r="G14" s="3221">
        <v>912</v>
      </c>
      <c r="H14" s="3221">
        <v>921</v>
      </c>
      <c r="I14" s="3221">
        <v>74</v>
      </c>
      <c r="J14" s="3222" t="s">
        <v>4701</v>
      </c>
      <c r="K14" s="859">
        <f t="shared" si="1"/>
        <v>847</v>
      </c>
      <c r="L14" s="859">
        <f t="shared" si="2"/>
        <v>4235</v>
      </c>
      <c r="M14" s="3223" t="s">
        <v>3300</v>
      </c>
      <c r="N14" s="3223" t="s">
        <v>4700</v>
      </c>
      <c r="O14" s="3223" t="s">
        <v>2386</v>
      </c>
      <c r="P14" s="3224" t="s">
        <v>3300</v>
      </c>
      <c r="Q14" s="1384">
        <f t="shared" si="3"/>
        <v>36840</v>
      </c>
      <c r="R14" s="1385">
        <f>IF(H14="","",IF(C14="Efficiency",Q14/($O$6*VLOOKUP(0,'DCA Underwriting Assumptions'!$J$132:$K$137,2,FALSE)),Q14/($O$6*VLOOKUP(C14,'DCA Underwriting Assumptions'!$J$132:$K$137,2,FALSE))))</f>
        <v>0.59931673987310885</v>
      </c>
      <c r="S14" s="1386"/>
      <c r="T14" s="1387"/>
      <c r="U14" s="3225"/>
      <c r="V14" s="3156"/>
      <c r="W14" s="158" t="str">
        <f t="shared" si="4"/>
        <v/>
      </c>
      <c r="X14" s="158" t="str">
        <f t="shared" si="5"/>
        <v/>
      </c>
      <c r="Y14" s="158">
        <f t="shared" si="6"/>
        <v>5</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f t="shared" si="36"/>
        <v>5</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5440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5440</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5</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461" t="str">
        <f t="shared" si="134"/>
        <v/>
      </c>
      <c r="EX14" s="513" t="str">
        <f t="shared" si="135"/>
        <v/>
      </c>
      <c r="EY14" s="513">
        <f t="shared" si="136"/>
        <v>5</v>
      </c>
      <c r="EZ14" s="513" t="str">
        <f t="shared" si="137"/>
        <v/>
      </c>
      <c r="FA14" s="513" t="str">
        <f t="shared" si="138"/>
        <v/>
      </c>
      <c r="FB14" s="513" t="str">
        <f t="shared" si="139"/>
        <v/>
      </c>
      <c r="FC14" s="513" t="str">
        <f t="shared" si="140"/>
        <v/>
      </c>
      <c r="FD14" s="513" t="str">
        <f t="shared" si="141"/>
        <v/>
      </c>
      <c r="FE14" s="513" t="str">
        <f t="shared" si="142"/>
        <v/>
      </c>
      <c r="FF14" s="513" t="str">
        <f t="shared" si="143"/>
        <v/>
      </c>
      <c r="FG14" s="513" t="str">
        <f t="shared" si="144"/>
        <v/>
      </c>
      <c r="FH14" s="513" t="str">
        <f t="shared" si="145"/>
        <v/>
      </c>
      <c r="FI14" s="513" t="str">
        <f t="shared" si="146"/>
        <v/>
      </c>
      <c r="FJ14" s="513" t="str">
        <f t="shared" si="147"/>
        <v/>
      </c>
      <c r="FK14" s="513" t="str">
        <f t="shared" si="148"/>
        <v/>
      </c>
      <c r="FL14" s="513" t="str">
        <f t="shared" si="149"/>
        <v/>
      </c>
      <c r="FM14" s="513" t="str">
        <f t="shared" si="150"/>
        <v/>
      </c>
      <c r="FN14" s="513" t="str">
        <f t="shared" si="151"/>
        <v/>
      </c>
      <c r="FO14" s="513" t="str">
        <f t="shared" si="152"/>
        <v/>
      </c>
      <c r="FP14" s="513" t="str">
        <f t="shared" si="153"/>
        <v/>
      </c>
      <c r="FQ14" s="513" t="str">
        <f t="shared" si="154"/>
        <v/>
      </c>
      <c r="FR14" s="513" t="str">
        <f t="shared" si="155"/>
        <v/>
      </c>
      <c r="FS14" s="513" t="str">
        <f t="shared" si="156"/>
        <v/>
      </c>
      <c r="FT14" s="513" t="str">
        <f t="shared" si="157"/>
        <v/>
      </c>
      <c r="FU14" s="513" t="str">
        <f t="shared" si="158"/>
        <v/>
      </c>
      <c r="FV14" s="513" t="str">
        <f t="shared" si="159"/>
        <v/>
      </c>
      <c r="FW14" s="513" t="str">
        <f t="shared" si="160"/>
        <v/>
      </c>
      <c r="FX14" s="513" t="str">
        <f t="shared" si="161"/>
        <v/>
      </c>
      <c r="FY14" s="513" t="str">
        <f t="shared" si="162"/>
        <v/>
      </c>
      <c r="FZ14" s="513" t="str">
        <f t="shared" si="163"/>
        <v/>
      </c>
      <c r="GA14" s="513" t="str">
        <f t="shared" si="164"/>
        <v/>
      </c>
      <c r="GB14" s="513" t="str">
        <f t="shared" si="165"/>
        <v/>
      </c>
      <c r="GC14" s="513" t="str">
        <f t="shared" si="166"/>
        <v/>
      </c>
      <c r="GD14" s="513" t="str">
        <f t="shared" si="167"/>
        <v/>
      </c>
      <c r="GE14" s="513" t="str">
        <f t="shared" si="168"/>
        <v/>
      </c>
      <c r="GF14" s="513" t="str">
        <f t="shared" si="169"/>
        <v/>
      </c>
      <c r="GG14" s="513" t="str">
        <f t="shared" si="170"/>
        <v/>
      </c>
      <c r="GH14" s="513" t="str">
        <f t="shared" si="171"/>
        <v/>
      </c>
      <c r="GI14" s="513" t="str">
        <f t="shared" si="172"/>
        <v/>
      </c>
      <c r="GJ14" s="513" t="str">
        <f t="shared" si="173"/>
        <v/>
      </c>
      <c r="GK14" s="513" t="str">
        <f t="shared" si="174"/>
        <v/>
      </c>
      <c r="GL14" s="513" t="str">
        <f t="shared" si="175"/>
        <v/>
      </c>
      <c r="GM14" s="513" t="str">
        <f t="shared" si="176"/>
        <v/>
      </c>
      <c r="GN14" s="513" t="str">
        <f t="shared" si="177"/>
        <v/>
      </c>
      <c r="GO14" s="513" t="str">
        <f t="shared" si="178"/>
        <v/>
      </c>
      <c r="GP14" s="513" t="str">
        <f t="shared" si="179"/>
        <v/>
      </c>
      <c r="GQ14" s="513" t="str">
        <f t="shared" si="180"/>
        <v/>
      </c>
      <c r="GR14" s="513" t="str">
        <f t="shared" si="181"/>
        <v/>
      </c>
      <c r="GS14" s="513" t="str">
        <f t="shared" si="182"/>
        <v/>
      </c>
      <c r="GT14" s="513" t="str">
        <f t="shared" si="183"/>
        <v/>
      </c>
      <c r="GU14" s="513" t="str">
        <f t="shared" si="184"/>
        <v/>
      </c>
      <c r="GV14" s="513" t="str">
        <f t="shared" si="185"/>
        <v/>
      </c>
      <c r="GW14" s="513" t="str">
        <f t="shared" si="186"/>
        <v/>
      </c>
      <c r="GX14" s="513" t="str">
        <f t="shared" si="187"/>
        <v/>
      </c>
      <c r="GY14" s="513" t="str">
        <f t="shared" si="188"/>
        <v/>
      </c>
      <c r="GZ14" s="513" t="str">
        <f t="shared" si="189"/>
        <v/>
      </c>
      <c r="HA14" s="513" t="str">
        <f t="shared" si="190"/>
        <v/>
      </c>
      <c r="HB14" s="513" t="str">
        <f t="shared" si="191"/>
        <v/>
      </c>
      <c r="HC14" s="513" t="str">
        <f t="shared" si="192"/>
        <v/>
      </c>
      <c r="HD14" s="513" t="str">
        <f t="shared" si="193"/>
        <v/>
      </c>
      <c r="HE14" s="513" t="str">
        <f t="shared" si="194"/>
        <v/>
      </c>
      <c r="HF14" s="513" t="str">
        <f t="shared" si="195"/>
        <v/>
      </c>
      <c r="HG14" s="513" t="str">
        <f t="shared" si="196"/>
        <v/>
      </c>
      <c r="HH14" s="513" t="str">
        <f t="shared" si="197"/>
        <v/>
      </c>
      <c r="HI14" s="513" t="str">
        <f t="shared" si="198"/>
        <v/>
      </c>
      <c r="HJ14" s="513" t="str">
        <f t="shared" si="199"/>
        <v/>
      </c>
      <c r="HK14" s="513" t="str">
        <f t="shared" si="200"/>
        <v/>
      </c>
      <c r="HL14" s="513" t="str">
        <f t="shared" si="201"/>
        <v/>
      </c>
      <c r="HM14" s="513" t="str">
        <f t="shared" si="202"/>
        <v/>
      </c>
      <c r="HN14" s="513" t="str">
        <f t="shared" si="203"/>
        <v/>
      </c>
      <c r="HO14" s="513" t="str">
        <f t="shared" si="204"/>
        <v/>
      </c>
      <c r="HP14" s="513" t="str">
        <f t="shared" si="205"/>
        <v/>
      </c>
      <c r="HQ14" s="513" t="str">
        <f t="shared" si="206"/>
        <v/>
      </c>
      <c r="HR14" s="513" t="str">
        <f t="shared" si="207"/>
        <v/>
      </c>
      <c r="HS14" s="513" t="str">
        <f t="shared" si="208"/>
        <v/>
      </c>
      <c r="HT14" s="513" t="str">
        <f t="shared" si="209"/>
        <v/>
      </c>
      <c r="HU14" s="513" t="str">
        <f t="shared" si="210"/>
        <v/>
      </c>
      <c r="HV14" s="513">
        <f t="shared" si="211"/>
        <v>5</v>
      </c>
      <c r="HW14" s="513" t="str">
        <f t="shared" si="212"/>
        <v/>
      </c>
      <c r="HX14" s="513" t="str">
        <f t="shared" si="213"/>
        <v/>
      </c>
      <c r="HY14" s="513" t="str">
        <f t="shared" si="214"/>
        <v/>
      </c>
      <c r="HZ14" s="513" t="str">
        <f t="shared" si="215"/>
        <v/>
      </c>
      <c r="IA14" s="513" t="str">
        <f t="shared" si="216"/>
        <v/>
      </c>
      <c r="IB14" s="513" t="str">
        <f t="shared" si="217"/>
        <v/>
      </c>
      <c r="IC14" s="513" t="str">
        <f t="shared" si="218"/>
        <v/>
      </c>
      <c r="ID14" s="514" t="str">
        <f t="shared" si="219"/>
        <v/>
      </c>
      <c r="IE14" s="514" t="str">
        <f t="shared" si="220"/>
        <v/>
      </c>
      <c r="IF14" s="514" t="str">
        <f t="shared" si="221"/>
        <v/>
      </c>
      <c r="IG14" s="514" t="str">
        <f t="shared" si="222"/>
        <v/>
      </c>
      <c r="IH14" s="514" t="str">
        <f t="shared" si="223"/>
        <v/>
      </c>
      <c r="II14" s="503" t="str">
        <f t="shared" si="224"/>
        <v/>
      </c>
      <c r="IJ14" s="503" t="str">
        <f t="shared" si="225"/>
        <v/>
      </c>
      <c r="IK14" s="503" t="str">
        <f t="shared" si="226"/>
        <v/>
      </c>
      <c r="IL14" s="503" t="str">
        <f t="shared" si="227"/>
        <v/>
      </c>
      <c r="IM14" s="503" t="str">
        <f t="shared" si="228"/>
        <v/>
      </c>
      <c r="IN14" s="503" t="str">
        <f t="shared" si="229"/>
        <v/>
      </c>
      <c r="IO14" s="503" t="str">
        <f t="shared" si="230"/>
        <v/>
      </c>
      <c r="IP14" s="503" t="str">
        <f t="shared" si="231"/>
        <v/>
      </c>
      <c r="IQ14" s="503" t="str">
        <f t="shared" si="232"/>
        <v/>
      </c>
      <c r="IR14" s="503" t="str">
        <f t="shared" si="233"/>
        <v/>
      </c>
      <c r="IS14" s="503" t="str">
        <f t="shared" si="234"/>
        <v/>
      </c>
      <c r="IT14" s="503" t="str">
        <f t="shared" si="235"/>
        <v/>
      </c>
      <c r="IU14" s="503" t="str">
        <f t="shared" si="236"/>
        <v/>
      </c>
      <c r="IV14" s="503" t="str">
        <f t="shared" si="237"/>
        <v/>
      </c>
      <c r="IW14" s="503" t="str">
        <f t="shared" si="238"/>
        <v/>
      </c>
      <c r="IX14" s="503" t="str">
        <f t="shared" si="239"/>
        <v/>
      </c>
      <c r="IY14" s="503" t="str">
        <f t="shared" si="240"/>
        <v/>
      </c>
      <c r="IZ14" s="503" t="str">
        <f t="shared" si="241"/>
        <v/>
      </c>
      <c r="JA14" s="503" t="str">
        <f t="shared" si="242"/>
        <v/>
      </c>
      <c r="JB14" s="503" t="str">
        <f t="shared" si="243"/>
        <v/>
      </c>
      <c r="JC14" s="512">
        <f t="shared" si="244"/>
        <v>0</v>
      </c>
      <c r="JD14" s="512">
        <f t="shared" si="245"/>
        <v>0</v>
      </c>
      <c r="JE14" s="512">
        <f t="shared" si="246"/>
        <v>0</v>
      </c>
      <c r="JF14" s="512">
        <f t="shared" si="247"/>
        <v>0</v>
      </c>
      <c r="JG14" s="512">
        <f t="shared" si="248"/>
        <v>0</v>
      </c>
      <c r="JH14" s="512">
        <f t="shared" si="249"/>
        <v>0</v>
      </c>
      <c r="JI14" s="512">
        <f t="shared" si="250"/>
        <v>0</v>
      </c>
      <c r="JJ14" s="512">
        <f t="shared" si="251"/>
        <v>5</v>
      </c>
      <c r="JK14" s="512">
        <f t="shared" si="252"/>
        <v>0</v>
      </c>
      <c r="JL14" s="512">
        <f t="shared" si="253"/>
        <v>0</v>
      </c>
      <c r="JM14" s="512">
        <f t="shared" si="254"/>
        <v>0</v>
      </c>
      <c r="JN14" s="512">
        <f t="shared" si="255"/>
        <v>0</v>
      </c>
      <c r="JO14" s="512">
        <f t="shared" si="256"/>
        <v>0</v>
      </c>
      <c r="JP14" s="512">
        <f t="shared" si="257"/>
        <v>0</v>
      </c>
      <c r="JQ14" s="512">
        <f t="shared" si="258"/>
        <v>0</v>
      </c>
    </row>
    <row r="15" spans="1:296" ht="12" customHeight="1">
      <c r="A15" s="115" t="str">
        <f t="shared" si="0"/>
        <v/>
      </c>
      <c r="B15" s="3218" t="s">
        <v>120</v>
      </c>
      <c r="C15" s="3219">
        <v>1</v>
      </c>
      <c r="D15" s="3220">
        <v>1</v>
      </c>
      <c r="E15" s="3221">
        <v>28</v>
      </c>
      <c r="F15" s="3221">
        <v>826</v>
      </c>
      <c r="G15" s="3221">
        <v>633</v>
      </c>
      <c r="H15" s="3221">
        <v>768</v>
      </c>
      <c r="I15" s="3221">
        <v>56</v>
      </c>
      <c r="J15" s="3222" t="s">
        <v>4701</v>
      </c>
      <c r="K15" s="859">
        <f t="shared" si="1"/>
        <v>712</v>
      </c>
      <c r="L15" s="859">
        <f t="shared" si="2"/>
        <v>19936</v>
      </c>
      <c r="M15" s="3223" t="s">
        <v>3300</v>
      </c>
      <c r="N15" s="3223" t="s">
        <v>4700</v>
      </c>
      <c r="O15" s="3223" t="s">
        <v>2386</v>
      </c>
      <c r="P15" s="3224" t="s">
        <v>3300</v>
      </c>
      <c r="Q15" s="1384">
        <f t="shared" si="3"/>
        <v>30720</v>
      </c>
      <c r="R15" s="1385">
        <f>IF(H15="","",IF(C15="Efficiency",Q15/($O$6*VLOOKUP(0,'DCA Underwriting Assumptions'!$J$132:$K$137,2,FALSE)),Q15/($O$6*VLOOKUP(C15,'DCA Underwriting Assumptions'!$J$132:$K$137,2,FALSE))))</f>
        <v>0.59970717423133235</v>
      </c>
      <c r="S15" s="1386"/>
      <c r="T15" s="1387"/>
      <c r="U15" s="3225"/>
      <c r="V15" s="3156"/>
      <c r="W15" s="158" t="str">
        <f t="shared" si="4"/>
        <v/>
      </c>
      <c r="X15" s="158" t="str">
        <f t="shared" si="5"/>
        <v/>
      </c>
      <c r="Y15" s="158" t="str">
        <f t="shared" si="6"/>
        <v/>
      </c>
      <c r="Z15" s="158" t="str">
        <f t="shared" si="7"/>
        <v/>
      </c>
      <c r="AA15" s="158" t="str">
        <f t="shared" si="8"/>
        <v/>
      </c>
      <c r="AB15" s="158" t="str">
        <f t="shared" si="9"/>
        <v/>
      </c>
      <c r="AC15" s="158">
        <f t="shared" si="10"/>
        <v>28</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f t="shared" si="30"/>
        <v>28</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f t="shared" si="65"/>
        <v>23128</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f t="shared" si="80"/>
        <v>23128</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f t="shared" si="90"/>
        <v>28</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461" t="str">
        <f t="shared" si="134"/>
        <v/>
      </c>
      <c r="EX15" s="513">
        <f t="shared" si="135"/>
        <v>28</v>
      </c>
      <c r="EY15" s="513" t="str">
        <f t="shared" si="136"/>
        <v/>
      </c>
      <c r="EZ15" s="513" t="str">
        <f t="shared" si="137"/>
        <v/>
      </c>
      <c r="FA15" s="513" t="str">
        <f t="shared" si="138"/>
        <v/>
      </c>
      <c r="FB15" s="513" t="str">
        <f t="shared" si="139"/>
        <v/>
      </c>
      <c r="FC15" s="513" t="str">
        <f t="shared" si="140"/>
        <v/>
      </c>
      <c r="FD15" s="513" t="str">
        <f t="shared" si="141"/>
        <v/>
      </c>
      <c r="FE15" s="513" t="str">
        <f t="shared" si="142"/>
        <v/>
      </c>
      <c r="FF15" s="513" t="str">
        <f t="shared" si="143"/>
        <v/>
      </c>
      <c r="FG15" s="513" t="str">
        <f t="shared" si="144"/>
        <v/>
      </c>
      <c r="FH15" s="513" t="str">
        <f t="shared" si="145"/>
        <v/>
      </c>
      <c r="FI15" s="513" t="str">
        <f t="shared" si="146"/>
        <v/>
      </c>
      <c r="FJ15" s="513" t="str">
        <f t="shared" si="147"/>
        <v/>
      </c>
      <c r="FK15" s="513" t="str">
        <f t="shared" si="148"/>
        <v/>
      </c>
      <c r="FL15" s="513" t="str">
        <f t="shared" si="149"/>
        <v/>
      </c>
      <c r="FM15" s="513" t="str">
        <f t="shared" si="150"/>
        <v/>
      </c>
      <c r="FN15" s="513" t="str">
        <f t="shared" si="151"/>
        <v/>
      </c>
      <c r="FO15" s="513" t="str">
        <f t="shared" si="152"/>
        <v/>
      </c>
      <c r="FP15" s="513" t="str">
        <f t="shared" si="153"/>
        <v/>
      </c>
      <c r="FQ15" s="513" t="str">
        <f t="shared" si="154"/>
        <v/>
      </c>
      <c r="FR15" s="513" t="str">
        <f t="shared" si="155"/>
        <v/>
      </c>
      <c r="FS15" s="513" t="str">
        <f t="shared" si="156"/>
        <v/>
      </c>
      <c r="FT15" s="513" t="str">
        <f t="shared" si="157"/>
        <v/>
      </c>
      <c r="FU15" s="513" t="str">
        <f t="shared" si="158"/>
        <v/>
      </c>
      <c r="FV15" s="513" t="str">
        <f t="shared" si="159"/>
        <v/>
      </c>
      <c r="FW15" s="513" t="str">
        <f t="shared" si="160"/>
        <v/>
      </c>
      <c r="FX15" s="513" t="str">
        <f t="shared" si="161"/>
        <v/>
      </c>
      <c r="FY15" s="513" t="str">
        <f t="shared" si="162"/>
        <v/>
      </c>
      <c r="FZ15" s="513" t="str">
        <f t="shared" si="163"/>
        <v/>
      </c>
      <c r="GA15" s="513" t="str">
        <f t="shared" si="164"/>
        <v/>
      </c>
      <c r="GB15" s="513" t="str">
        <f t="shared" si="165"/>
        <v/>
      </c>
      <c r="GC15" s="513" t="str">
        <f t="shared" si="166"/>
        <v/>
      </c>
      <c r="GD15" s="513" t="str">
        <f t="shared" si="167"/>
        <v/>
      </c>
      <c r="GE15" s="513" t="str">
        <f t="shared" si="168"/>
        <v/>
      </c>
      <c r="GF15" s="513" t="str">
        <f t="shared" si="169"/>
        <v/>
      </c>
      <c r="GG15" s="513" t="str">
        <f t="shared" si="170"/>
        <v/>
      </c>
      <c r="GH15" s="513" t="str">
        <f t="shared" si="171"/>
        <v/>
      </c>
      <c r="GI15" s="513" t="str">
        <f t="shared" si="172"/>
        <v/>
      </c>
      <c r="GJ15" s="513" t="str">
        <f t="shared" si="173"/>
        <v/>
      </c>
      <c r="GK15" s="513" t="str">
        <f t="shared" si="174"/>
        <v/>
      </c>
      <c r="GL15" s="513" t="str">
        <f t="shared" si="175"/>
        <v/>
      </c>
      <c r="GM15" s="513" t="str">
        <f t="shared" si="176"/>
        <v/>
      </c>
      <c r="GN15" s="513" t="str">
        <f t="shared" si="177"/>
        <v/>
      </c>
      <c r="GO15" s="513" t="str">
        <f t="shared" si="178"/>
        <v/>
      </c>
      <c r="GP15" s="513" t="str">
        <f t="shared" si="179"/>
        <v/>
      </c>
      <c r="GQ15" s="513" t="str">
        <f t="shared" si="180"/>
        <v/>
      </c>
      <c r="GR15" s="513" t="str">
        <f t="shared" si="181"/>
        <v/>
      </c>
      <c r="GS15" s="513" t="str">
        <f t="shared" si="182"/>
        <v/>
      </c>
      <c r="GT15" s="513" t="str">
        <f t="shared" si="183"/>
        <v/>
      </c>
      <c r="GU15" s="513" t="str">
        <f t="shared" si="184"/>
        <v/>
      </c>
      <c r="GV15" s="513" t="str">
        <f t="shared" si="185"/>
        <v/>
      </c>
      <c r="GW15" s="513" t="str">
        <f t="shared" si="186"/>
        <v/>
      </c>
      <c r="GX15" s="513" t="str">
        <f t="shared" si="187"/>
        <v/>
      </c>
      <c r="GY15" s="513" t="str">
        <f t="shared" si="188"/>
        <v/>
      </c>
      <c r="GZ15" s="513" t="str">
        <f t="shared" si="189"/>
        <v/>
      </c>
      <c r="HA15" s="513" t="str">
        <f t="shared" si="190"/>
        <v/>
      </c>
      <c r="HB15" s="513" t="str">
        <f t="shared" si="191"/>
        <v/>
      </c>
      <c r="HC15" s="513" t="str">
        <f t="shared" si="192"/>
        <v/>
      </c>
      <c r="HD15" s="513" t="str">
        <f t="shared" si="193"/>
        <v/>
      </c>
      <c r="HE15" s="513" t="str">
        <f t="shared" si="194"/>
        <v/>
      </c>
      <c r="HF15" s="513" t="str">
        <f t="shared" si="195"/>
        <v/>
      </c>
      <c r="HG15" s="513" t="str">
        <f t="shared" si="196"/>
        <v/>
      </c>
      <c r="HH15" s="513" t="str">
        <f t="shared" si="197"/>
        <v/>
      </c>
      <c r="HI15" s="513" t="str">
        <f t="shared" si="198"/>
        <v/>
      </c>
      <c r="HJ15" s="513" t="str">
        <f t="shared" si="199"/>
        <v/>
      </c>
      <c r="HK15" s="513" t="str">
        <f t="shared" si="200"/>
        <v/>
      </c>
      <c r="HL15" s="513" t="str">
        <f t="shared" si="201"/>
        <v/>
      </c>
      <c r="HM15" s="513" t="str">
        <f t="shared" si="202"/>
        <v/>
      </c>
      <c r="HN15" s="513" t="str">
        <f t="shared" si="203"/>
        <v/>
      </c>
      <c r="HO15" s="513" t="str">
        <f t="shared" si="204"/>
        <v/>
      </c>
      <c r="HP15" s="513" t="str">
        <f t="shared" si="205"/>
        <v/>
      </c>
      <c r="HQ15" s="513" t="str">
        <f t="shared" si="206"/>
        <v/>
      </c>
      <c r="HR15" s="513" t="str">
        <f t="shared" si="207"/>
        <v/>
      </c>
      <c r="HS15" s="513" t="str">
        <f t="shared" si="208"/>
        <v/>
      </c>
      <c r="HT15" s="513" t="str">
        <f t="shared" si="209"/>
        <v/>
      </c>
      <c r="HU15" s="513">
        <f t="shared" si="210"/>
        <v>28</v>
      </c>
      <c r="HV15" s="513" t="str">
        <f t="shared" si="211"/>
        <v/>
      </c>
      <c r="HW15" s="513" t="str">
        <f t="shared" si="212"/>
        <v/>
      </c>
      <c r="HX15" s="513" t="str">
        <f t="shared" si="213"/>
        <v/>
      </c>
      <c r="HY15" s="513" t="str">
        <f t="shared" si="214"/>
        <v/>
      </c>
      <c r="HZ15" s="513" t="str">
        <f t="shared" si="215"/>
        <v/>
      </c>
      <c r="IA15" s="513" t="str">
        <f t="shared" si="216"/>
        <v/>
      </c>
      <c r="IB15" s="513" t="str">
        <f t="shared" si="217"/>
        <v/>
      </c>
      <c r="IC15" s="513" t="str">
        <f t="shared" si="218"/>
        <v/>
      </c>
      <c r="ID15" s="514" t="str">
        <f t="shared" si="219"/>
        <v/>
      </c>
      <c r="IE15" s="514" t="str">
        <f t="shared" si="220"/>
        <v/>
      </c>
      <c r="IF15" s="514" t="str">
        <f t="shared" si="221"/>
        <v/>
      </c>
      <c r="IG15" s="514" t="str">
        <f t="shared" si="222"/>
        <v/>
      </c>
      <c r="IH15" s="514" t="str">
        <f t="shared" si="223"/>
        <v/>
      </c>
      <c r="II15" s="503" t="str">
        <f t="shared" si="224"/>
        <v/>
      </c>
      <c r="IJ15" s="503" t="str">
        <f t="shared" si="225"/>
        <v/>
      </c>
      <c r="IK15" s="503" t="str">
        <f t="shared" si="226"/>
        <v/>
      </c>
      <c r="IL15" s="503" t="str">
        <f t="shared" si="227"/>
        <v/>
      </c>
      <c r="IM15" s="503" t="str">
        <f t="shared" si="228"/>
        <v/>
      </c>
      <c r="IN15" s="503" t="str">
        <f t="shared" si="229"/>
        <v/>
      </c>
      <c r="IO15" s="503" t="str">
        <f t="shared" si="230"/>
        <v/>
      </c>
      <c r="IP15" s="503" t="str">
        <f t="shared" si="231"/>
        <v/>
      </c>
      <c r="IQ15" s="503" t="str">
        <f t="shared" si="232"/>
        <v/>
      </c>
      <c r="IR15" s="503" t="str">
        <f t="shared" si="233"/>
        <v/>
      </c>
      <c r="IS15" s="503" t="str">
        <f t="shared" si="234"/>
        <v/>
      </c>
      <c r="IT15" s="503" t="str">
        <f t="shared" si="235"/>
        <v/>
      </c>
      <c r="IU15" s="503" t="str">
        <f t="shared" si="236"/>
        <v/>
      </c>
      <c r="IV15" s="503" t="str">
        <f t="shared" si="237"/>
        <v/>
      </c>
      <c r="IW15" s="503" t="str">
        <f t="shared" si="238"/>
        <v/>
      </c>
      <c r="IX15" s="503" t="str">
        <f t="shared" si="239"/>
        <v/>
      </c>
      <c r="IY15" s="503" t="str">
        <f t="shared" si="240"/>
        <v/>
      </c>
      <c r="IZ15" s="503" t="str">
        <f t="shared" si="241"/>
        <v/>
      </c>
      <c r="JA15" s="503" t="str">
        <f t="shared" si="242"/>
        <v/>
      </c>
      <c r="JB15" s="503" t="str">
        <f t="shared" si="243"/>
        <v/>
      </c>
      <c r="JC15" s="512">
        <f t="shared" si="244"/>
        <v>0</v>
      </c>
      <c r="JD15" s="512">
        <f t="shared" si="245"/>
        <v>0</v>
      </c>
      <c r="JE15" s="512">
        <f t="shared" si="246"/>
        <v>0</v>
      </c>
      <c r="JF15" s="512">
        <f t="shared" si="247"/>
        <v>0</v>
      </c>
      <c r="JG15" s="512">
        <f t="shared" si="248"/>
        <v>0</v>
      </c>
      <c r="JH15" s="512">
        <f t="shared" si="249"/>
        <v>0</v>
      </c>
      <c r="JI15" s="512">
        <f t="shared" si="250"/>
        <v>28</v>
      </c>
      <c r="JJ15" s="512">
        <f t="shared" si="251"/>
        <v>0</v>
      </c>
      <c r="JK15" s="512">
        <f t="shared" si="252"/>
        <v>0</v>
      </c>
      <c r="JL15" s="512">
        <f t="shared" si="253"/>
        <v>0</v>
      </c>
      <c r="JM15" s="512">
        <f t="shared" si="254"/>
        <v>0</v>
      </c>
      <c r="JN15" s="512">
        <f t="shared" si="255"/>
        <v>0</v>
      </c>
      <c r="JO15" s="512">
        <f t="shared" si="256"/>
        <v>0</v>
      </c>
      <c r="JP15" s="512">
        <f t="shared" si="257"/>
        <v>0</v>
      </c>
      <c r="JQ15" s="512">
        <f t="shared" si="258"/>
        <v>0</v>
      </c>
    </row>
    <row r="16" spans="1:296" ht="12" customHeight="1">
      <c r="A16" s="115" t="str">
        <f t="shared" si="0"/>
        <v/>
      </c>
      <c r="B16" s="3218" t="s">
        <v>120</v>
      </c>
      <c r="C16" s="3219">
        <v>2</v>
      </c>
      <c r="D16" s="3220">
        <v>2</v>
      </c>
      <c r="E16" s="3221">
        <v>3</v>
      </c>
      <c r="F16" s="3221">
        <v>1039</v>
      </c>
      <c r="G16" s="3221">
        <v>760</v>
      </c>
      <c r="H16" s="3221">
        <v>921</v>
      </c>
      <c r="I16" s="3221">
        <v>74</v>
      </c>
      <c r="J16" s="3222" t="s">
        <v>4701</v>
      </c>
      <c r="K16" s="859">
        <f t="shared" si="1"/>
        <v>847</v>
      </c>
      <c r="L16" s="859">
        <f t="shared" si="2"/>
        <v>2541</v>
      </c>
      <c r="M16" s="3223" t="s">
        <v>3300</v>
      </c>
      <c r="N16" s="3223" t="s">
        <v>4700</v>
      </c>
      <c r="O16" s="3223" t="s">
        <v>2386</v>
      </c>
      <c r="P16" s="3224" t="s">
        <v>3300</v>
      </c>
      <c r="Q16" s="1384">
        <f t="shared" si="3"/>
        <v>36840</v>
      </c>
      <c r="R16" s="1385">
        <f>IF(H16="","",IF(C16="Efficiency",Q16/($O$6*VLOOKUP(0,'DCA Underwriting Assumptions'!$J$132:$K$137,2,FALSE)),Q16/($O$6*VLOOKUP(C16,'DCA Underwriting Assumptions'!$J$132:$K$137,2,FALSE))))</f>
        <v>0.59931673987310885</v>
      </c>
      <c r="S16" s="1386"/>
      <c r="T16" s="1387"/>
      <c r="U16" s="3225"/>
      <c r="V16" s="3156"/>
      <c r="W16" s="158" t="str">
        <f t="shared" si="4"/>
        <v/>
      </c>
      <c r="X16" s="158" t="str">
        <f t="shared" si="5"/>
        <v/>
      </c>
      <c r="Y16" s="158" t="str">
        <f t="shared" si="6"/>
        <v/>
      </c>
      <c r="Z16" s="158" t="str">
        <f t="shared" si="7"/>
        <v/>
      </c>
      <c r="AA16" s="158" t="str">
        <f t="shared" si="8"/>
        <v/>
      </c>
      <c r="AB16" s="158" t="str">
        <f t="shared" si="9"/>
        <v/>
      </c>
      <c r="AC16" s="158" t="str">
        <f t="shared" si="10"/>
        <v/>
      </c>
      <c r="AD16" s="158">
        <f t="shared" si="11"/>
        <v>3</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f t="shared" si="31"/>
        <v>3</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3117</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f t="shared" si="81"/>
        <v>3117</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f t="shared" si="91"/>
        <v>3</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461" t="str">
        <f t="shared" si="134"/>
        <v/>
      </c>
      <c r="EX16" s="513" t="str">
        <f t="shared" si="135"/>
        <v/>
      </c>
      <c r="EY16" s="513">
        <f t="shared" si="136"/>
        <v>3</v>
      </c>
      <c r="EZ16" s="513" t="str">
        <f t="shared" si="137"/>
        <v/>
      </c>
      <c r="FA16" s="513" t="str">
        <f t="shared" si="138"/>
        <v/>
      </c>
      <c r="FB16" s="513" t="str">
        <f t="shared" si="139"/>
        <v/>
      </c>
      <c r="FC16" s="513" t="str">
        <f t="shared" si="140"/>
        <v/>
      </c>
      <c r="FD16" s="513" t="str">
        <f t="shared" si="141"/>
        <v/>
      </c>
      <c r="FE16" s="513" t="str">
        <f t="shared" si="142"/>
        <v/>
      </c>
      <c r="FF16" s="513" t="str">
        <f t="shared" si="143"/>
        <v/>
      </c>
      <c r="FG16" s="513" t="str">
        <f t="shared" si="144"/>
        <v/>
      </c>
      <c r="FH16" s="513" t="str">
        <f t="shared" si="145"/>
        <v/>
      </c>
      <c r="FI16" s="513" t="str">
        <f t="shared" si="146"/>
        <v/>
      </c>
      <c r="FJ16" s="513" t="str">
        <f t="shared" si="147"/>
        <v/>
      </c>
      <c r="FK16" s="513" t="str">
        <f t="shared" si="148"/>
        <v/>
      </c>
      <c r="FL16" s="513" t="str">
        <f t="shared" si="149"/>
        <v/>
      </c>
      <c r="FM16" s="513" t="str">
        <f t="shared" si="150"/>
        <v/>
      </c>
      <c r="FN16" s="513" t="str">
        <f t="shared" si="151"/>
        <v/>
      </c>
      <c r="FO16" s="513" t="str">
        <f t="shared" si="152"/>
        <v/>
      </c>
      <c r="FP16" s="513" t="str">
        <f t="shared" si="153"/>
        <v/>
      </c>
      <c r="FQ16" s="513" t="str">
        <f t="shared" si="154"/>
        <v/>
      </c>
      <c r="FR16" s="513" t="str">
        <f t="shared" si="155"/>
        <v/>
      </c>
      <c r="FS16" s="513" t="str">
        <f t="shared" si="156"/>
        <v/>
      </c>
      <c r="FT16" s="513" t="str">
        <f t="shared" si="157"/>
        <v/>
      </c>
      <c r="FU16" s="513" t="str">
        <f t="shared" si="158"/>
        <v/>
      </c>
      <c r="FV16" s="513" t="str">
        <f t="shared" si="159"/>
        <v/>
      </c>
      <c r="FW16" s="513" t="str">
        <f t="shared" si="160"/>
        <v/>
      </c>
      <c r="FX16" s="513" t="str">
        <f t="shared" si="161"/>
        <v/>
      </c>
      <c r="FY16" s="513" t="str">
        <f t="shared" si="162"/>
        <v/>
      </c>
      <c r="FZ16" s="513" t="str">
        <f t="shared" si="163"/>
        <v/>
      </c>
      <c r="GA16" s="513" t="str">
        <f t="shared" si="164"/>
        <v/>
      </c>
      <c r="GB16" s="513" t="str">
        <f t="shared" si="165"/>
        <v/>
      </c>
      <c r="GC16" s="513" t="str">
        <f t="shared" si="166"/>
        <v/>
      </c>
      <c r="GD16" s="513" t="str">
        <f t="shared" si="167"/>
        <v/>
      </c>
      <c r="GE16" s="513" t="str">
        <f t="shared" si="168"/>
        <v/>
      </c>
      <c r="GF16" s="513" t="str">
        <f t="shared" si="169"/>
        <v/>
      </c>
      <c r="GG16" s="513" t="str">
        <f t="shared" si="170"/>
        <v/>
      </c>
      <c r="GH16" s="513" t="str">
        <f t="shared" si="171"/>
        <v/>
      </c>
      <c r="GI16" s="513" t="str">
        <f t="shared" si="172"/>
        <v/>
      </c>
      <c r="GJ16" s="513" t="str">
        <f t="shared" si="173"/>
        <v/>
      </c>
      <c r="GK16" s="513" t="str">
        <f t="shared" si="174"/>
        <v/>
      </c>
      <c r="GL16" s="513" t="str">
        <f t="shared" si="175"/>
        <v/>
      </c>
      <c r="GM16" s="513" t="str">
        <f t="shared" si="176"/>
        <v/>
      </c>
      <c r="GN16" s="513" t="str">
        <f t="shared" si="177"/>
        <v/>
      </c>
      <c r="GO16" s="513" t="str">
        <f t="shared" si="178"/>
        <v/>
      </c>
      <c r="GP16" s="513" t="str">
        <f t="shared" si="179"/>
        <v/>
      </c>
      <c r="GQ16" s="513" t="str">
        <f t="shared" si="180"/>
        <v/>
      </c>
      <c r="GR16" s="513" t="str">
        <f t="shared" si="181"/>
        <v/>
      </c>
      <c r="GS16" s="513" t="str">
        <f t="shared" si="182"/>
        <v/>
      </c>
      <c r="GT16" s="513" t="str">
        <f t="shared" si="183"/>
        <v/>
      </c>
      <c r="GU16" s="513" t="str">
        <f t="shared" si="184"/>
        <v/>
      </c>
      <c r="GV16" s="513" t="str">
        <f t="shared" si="185"/>
        <v/>
      </c>
      <c r="GW16" s="513" t="str">
        <f t="shared" si="186"/>
        <v/>
      </c>
      <c r="GX16" s="513" t="str">
        <f t="shared" si="187"/>
        <v/>
      </c>
      <c r="GY16" s="513" t="str">
        <f t="shared" si="188"/>
        <v/>
      </c>
      <c r="GZ16" s="513" t="str">
        <f t="shared" si="189"/>
        <v/>
      </c>
      <c r="HA16" s="513" t="str">
        <f t="shared" si="190"/>
        <v/>
      </c>
      <c r="HB16" s="513" t="str">
        <f t="shared" si="191"/>
        <v/>
      </c>
      <c r="HC16" s="513" t="str">
        <f t="shared" si="192"/>
        <v/>
      </c>
      <c r="HD16" s="513" t="str">
        <f t="shared" si="193"/>
        <v/>
      </c>
      <c r="HE16" s="513" t="str">
        <f t="shared" si="194"/>
        <v/>
      </c>
      <c r="HF16" s="513" t="str">
        <f t="shared" si="195"/>
        <v/>
      </c>
      <c r="HG16" s="513" t="str">
        <f t="shared" si="196"/>
        <v/>
      </c>
      <c r="HH16" s="513" t="str">
        <f t="shared" si="197"/>
        <v/>
      </c>
      <c r="HI16" s="513" t="str">
        <f t="shared" si="198"/>
        <v/>
      </c>
      <c r="HJ16" s="513" t="str">
        <f t="shared" si="199"/>
        <v/>
      </c>
      <c r="HK16" s="513" t="str">
        <f t="shared" si="200"/>
        <v/>
      </c>
      <c r="HL16" s="513" t="str">
        <f t="shared" si="201"/>
        <v/>
      </c>
      <c r="HM16" s="513" t="str">
        <f t="shared" si="202"/>
        <v/>
      </c>
      <c r="HN16" s="513" t="str">
        <f t="shared" si="203"/>
        <v/>
      </c>
      <c r="HO16" s="513" t="str">
        <f t="shared" si="204"/>
        <v/>
      </c>
      <c r="HP16" s="513" t="str">
        <f t="shared" si="205"/>
        <v/>
      </c>
      <c r="HQ16" s="513" t="str">
        <f t="shared" si="206"/>
        <v/>
      </c>
      <c r="HR16" s="513" t="str">
        <f t="shared" si="207"/>
        <v/>
      </c>
      <c r="HS16" s="513" t="str">
        <f t="shared" si="208"/>
        <v/>
      </c>
      <c r="HT16" s="513" t="str">
        <f t="shared" si="209"/>
        <v/>
      </c>
      <c r="HU16" s="513" t="str">
        <f t="shared" si="210"/>
        <v/>
      </c>
      <c r="HV16" s="513">
        <f t="shared" si="211"/>
        <v>3</v>
      </c>
      <c r="HW16" s="513" t="str">
        <f t="shared" si="212"/>
        <v/>
      </c>
      <c r="HX16" s="513" t="str">
        <f t="shared" si="213"/>
        <v/>
      </c>
      <c r="HY16" s="513" t="str">
        <f t="shared" si="214"/>
        <v/>
      </c>
      <c r="HZ16" s="513" t="str">
        <f t="shared" si="215"/>
        <v/>
      </c>
      <c r="IA16" s="513" t="str">
        <f t="shared" si="216"/>
        <v/>
      </c>
      <c r="IB16" s="513" t="str">
        <f t="shared" si="217"/>
        <v/>
      </c>
      <c r="IC16" s="513" t="str">
        <f t="shared" si="218"/>
        <v/>
      </c>
      <c r="ID16" s="514" t="str">
        <f t="shared" si="219"/>
        <v/>
      </c>
      <c r="IE16" s="514" t="str">
        <f t="shared" si="220"/>
        <v/>
      </c>
      <c r="IF16" s="514" t="str">
        <f t="shared" si="221"/>
        <v/>
      </c>
      <c r="IG16" s="514" t="str">
        <f t="shared" si="222"/>
        <v/>
      </c>
      <c r="IH16" s="514" t="str">
        <f t="shared" si="223"/>
        <v/>
      </c>
      <c r="II16" s="503" t="str">
        <f t="shared" si="224"/>
        <v/>
      </c>
      <c r="IJ16" s="503" t="str">
        <f t="shared" si="225"/>
        <v/>
      </c>
      <c r="IK16" s="503" t="str">
        <f t="shared" si="226"/>
        <v/>
      </c>
      <c r="IL16" s="503" t="str">
        <f t="shared" si="227"/>
        <v/>
      </c>
      <c r="IM16" s="503" t="str">
        <f t="shared" si="228"/>
        <v/>
      </c>
      <c r="IN16" s="503" t="str">
        <f t="shared" si="229"/>
        <v/>
      </c>
      <c r="IO16" s="503" t="str">
        <f t="shared" si="230"/>
        <v/>
      </c>
      <c r="IP16" s="503" t="str">
        <f t="shared" si="231"/>
        <v/>
      </c>
      <c r="IQ16" s="503" t="str">
        <f t="shared" si="232"/>
        <v/>
      </c>
      <c r="IR16" s="503" t="str">
        <f t="shared" si="233"/>
        <v/>
      </c>
      <c r="IS16" s="503" t="str">
        <f t="shared" si="234"/>
        <v/>
      </c>
      <c r="IT16" s="503" t="str">
        <f t="shared" si="235"/>
        <v/>
      </c>
      <c r="IU16" s="503" t="str">
        <f t="shared" si="236"/>
        <v/>
      </c>
      <c r="IV16" s="503" t="str">
        <f t="shared" si="237"/>
        <v/>
      </c>
      <c r="IW16" s="503" t="str">
        <f t="shared" si="238"/>
        <v/>
      </c>
      <c r="IX16" s="503" t="str">
        <f t="shared" si="239"/>
        <v/>
      </c>
      <c r="IY16" s="503" t="str">
        <f t="shared" si="240"/>
        <v/>
      </c>
      <c r="IZ16" s="503" t="str">
        <f t="shared" si="241"/>
        <v/>
      </c>
      <c r="JA16" s="503" t="str">
        <f t="shared" si="242"/>
        <v/>
      </c>
      <c r="JB16" s="503" t="str">
        <f t="shared" si="243"/>
        <v/>
      </c>
      <c r="JC16" s="512">
        <f t="shared" si="244"/>
        <v>0</v>
      </c>
      <c r="JD16" s="512">
        <f t="shared" si="245"/>
        <v>0</v>
      </c>
      <c r="JE16" s="512">
        <f t="shared" si="246"/>
        <v>0</v>
      </c>
      <c r="JF16" s="512">
        <f t="shared" si="247"/>
        <v>0</v>
      </c>
      <c r="JG16" s="512">
        <f t="shared" si="248"/>
        <v>0</v>
      </c>
      <c r="JH16" s="512">
        <f t="shared" si="249"/>
        <v>0</v>
      </c>
      <c r="JI16" s="512">
        <f t="shared" si="250"/>
        <v>0</v>
      </c>
      <c r="JJ16" s="512">
        <f t="shared" si="251"/>
        <v>3</v>
      </c>
      <c r="JK16" s="512">
        <f t="shared" si="252"/>
        <v>0</v>
      </c>
      <c r="JL16" s="512">
        <f t="shared" si="253"/>
        <v>0</v>
      </c>
      <c r="JM16" s="512">
        <f t="shared" si="254"/>
        <v>0</v>
      </c>
      <c r="JN16" s="512">
        <f t="shared" si="255"/>
        <v>0</v>
      </c>
      <c r="JO16" s="512">
        <f t="shared" si="256"/>
        <v>0</v>
      </c>
      <c r="JP16" s="512">
        <f t="shared" si="257"/>
        <v>0</v>
      </c>
      <c r="JQ16" s="512">
        <f t="shared" si="258"/>
        <v>0</v>
      </c>
    </row>
    <row r="17" spans="1:277" ht="12" customHeight="1">
      <c r="A17" s="115" t="str">
        <f t="shared" si="0"/>
        <v/>
      </c>
      <c r="B17" s="3218" t="s">
        <v>120</v>
      </c>
      <c r="C17" s="3219">
        <v>2</v>
      </c>
      <c r="D17" s="3220">
        <v>2</v>
      </c>
      <c r="E17" s="3221">
        <v>2</v>
      </c>
      <c r="F17" s="3221">
        <v>1088</v>
      </c>
      <c r="G17" s="3221">
        <v>760</v>
      </c>
      <c r="H17" s="3221">
        <v>921</v>
      </c>
      <c r="I17" s="3221">
        <v>74</v>
      </c>
      <c r="J17" s="3222" t="s">
        <v>4701</v>
      </c>
      <c r="K17" s="859">
        <f t="shared" si="1"/>
        <v>847</v>
      </c>
      <c r="L17" s="859">
        <f t="shared" si="2"/>
        <v>1694</v>
      </c>
      <c r="M17" s="3223" t="s">
        <v>3300</v>
      </c>
      <c r="N17" s="3223" t="s">
        <v>4700</v>
      </c>
      <c r="O17" s="3223" t="s">
        <v>2386</v>
      </c>
      <c r="P17" s="3224" t="s">
        <v>3300</v>
      </c>
      <c r="Q17" s="1384">
        <f t="shared" si="3"/>
        <v>36840</v>
      </c>
      <c r="R17" s="1385">
        <f>IF(H17="","",IF(C17="Efficiency",Q17/($O$6*VLOOKUP(0,'DCA Underwriting Assumptions'!$J$132:$K$137,2,FALSE)),Q17/($O$6*VLOOKUP(C17,'DCA Underwriting Assumptions'!$J$132:$K$137,2,FALSE))))</f>
        <v>0.59931673987310885</v>
      </c>
      <c r="S17" s="1386"/>
      <c r="T17" s="1387"/>
      <c r="U17" s="3225"/>
      <c r="V17" s="3156"/>
      <c r="W17" s="158" t="str">
        <f t="shared" si="4"/>
        <v/>
      </c>
      <c r="X17" s="158" t="str">
        <f t="shared" si="5"/>
        <v/>
      </c>
      <c r="Y17" s="158" t="str">
        <f t="shared" si="6"/>
        <v/>
      </c>
      <c r="Z17" s="158" t="str">
        <f t="shared" si="7"/>
        <v/>
      </c>
      <c r="AA17" s="158" t="str">
        <f t="shared" si="8"/>
        <v/>
      </c>
      <c r="AB17" s="158" t="str">
        <f t="shared" si="9"/>
        <v/>
      </c>
      <c r="AC17" s="158" t="str">
        <f t="shared" si="10"/>
        <v/>
      </c>
      <c r="AD17" s="158">
        <f t="shared" si="11"/>
        <v>2</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f t="shared" si="31"/>
        <v>2</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f t="shared" si="66"/>
        <v>2176</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f t="shared" si="81"/>
        <v>2176</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f t="shared" si="91"/>
        <v>2</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461" t="str">
        <f t="shared" si="134"/>
        <v/>
      </c>
      <c r="EX17" s="513" t="str">
        <f t="shared" si="135"/>
        <v/>
      </c>
      <c r="EY17" s="513">
        <f t="shared" si="136"/>
        <v>2</v>
      </c>
      <c r="EZ17" s="513" t="str">
        <f t="shared" si="137"/>
        <v/>
      </c>
      <c r="FA17" s="513" t="str">
        <f t="shared" si="138"/>
        <v/>
      </c>
      <c r="FB17" s="513" t="str">
        <f t="shared" si="139"/>
        <v/>
      </c>
      <c r="FC17" s="513" t="str">
        <f t="shared" si="140"/>
        <v/>
      </c>
      <c r="FD17" s="513" t="str">
        <f t="shared" si="141"/>
        <v/>
      </c>
      <c r="FE17" s="513" t="str">
        <f t="shared" si="142"/>
        <v/>
      </c>
      <c r="FF17" s="513" t="str">
        <f t="shared" si="143"/>
        <v/>
      </c>
      <c r="FG17" s="513" t="str">
        <f t="shared" si="144"/>
        <v/>
      </c>
      <c r="FH17" s="513" t="str">
        <f t="shared" si="145"/>
        <v/>
      </c>
      <c r="FI17" s="513" t="str">
        <f t="shared" si="146"/>
        <v/>
      </c>
      <c r="FJ17" s="513" t="str">
        <f t="shared" si="147"/>
        <v/>
      </c>
      <c r="FK17" s="513" t="str">
        <f t="shared" si="148"/>
        <v/>
      </c>
      <c r="FL17" s="513" t="str">
        <f t="shared" si="149"/>
        <v/>
      </c>
      <c r="FM17" s="513" t="str">
        <f t="shared" si="150"/>
        <v/>
      </c>
      <c r="FN17" s="513" t="str">
        <f t="shared" si="151"/>
        <v/>
      </c>
      <c r="FO17" s="513" t="str">
        <f t="shared" si="152"/>
        <v/>
      </c>
      <c r="FP17" s="513" t="str">
        <f t="shared" si="153"/>
        <v/>
      </c>
      <c r="FQ17" s="513" t="str">
        <f t="shared" si="154"/>
        <v/>
      </c>
      <c r="FR17" s="513" t="str">
        <f t="shared" si="155"/>
        <v/>
      </c>
      <c r="FS17" s="513" t="str">
        <f t="shared" si="156"/>
        <v/>
      </c>
      <c r="FT17" s="513" t="str">
        <f t="shared" si="157"/>
        <v/>
      </c>
      <c r="FU17" s="513" t="str">
        <f t="shared" si="158"/>
        <v/>
      </c>
      <c r="FV17" s="513" t="str">
        <f t="shared" si="159"/>
        <v/>
      </c>
      <c r="FW17" s="513" t="str">
        <f t="shared" si="160"/>
        <v/>
      </c>
      <c r="FX17" s="513" t="str">
        <f t="shared" si="161"/>
        <v/>
      </c>
      <c r="FY17" s="513" t="str">
        <f t="shared" si="162"/>
        <v/>
      </c>
      <c r="FZ17" s="513" t="str">
        <f t="shared" si="163"/>
        <v/>
      </c>
      <c r="GA17" s="513" t="str">
        <f t="shared" si="164"/>
        <v/>
      </c>
      <c r="GB17" s="513" t="str">
        <f t="shared" si="165"/>
        <v/>
      </c>
      <c r="GC17" s="513" t="str">
        <f t="shared" si="166"/>
        <v/>
      </c>
      <c r="GD17" s="513" t="str">
        <f t="shared" si="167"/>
        <v/>
      </c>
      <c r="GE17" s="513" t="str">
        <f t="shared" si="168"/>
        <v/>
      </c>
      <c r="GF17" s="513" t="str">
        <f t="shared" si="169"/>
        <v/>
      </c>
      <c r="GG17" s="513" t="str">
        <f t="shared" si="170"/>
        <v/>
      </c>
      <c r="GH17" s="513" t="str">
        <f t="shared" si="171"/>
        <v/>
      </c>
      <c r="GI17" s="513" t="str">
        <f t="shared" si="172"/>
        <v/>
      </c>
      <c r="GJ17" s="513" t="str">
        <f t="shared" si="173"/>
        <v/>
      </c>
      <c r="GK17" s="513" t="str">
        <f t="shared" si="174"/>
        <v/>
      </c>
      <c r="GL17" s="513" t="str">
        <f t="shared" si="175"/>
        <v/>
      </c>
      <c r="GM17" s="513" t="str">
        <f t="shared" si="176"/>
        <v/>
      </c>
      <c r="GN17" s="513" t="str">
        <f t="shared" si="177"/>
        <v/>
      </c>
      <c r="GO17" s="513" t="str">
        <f t="shared" si="178"/>
        <v/>
      </c>
      <c r="GP17" s="513" t="str">
        <f t="shared" si="179"/>
        <v/>
      </c>
      <c r="GQ17" s="513" t="str">
        <f t="shared" si="180"/>
        <v/>
      </c>
      <c r="GR17" s="513" t="str">
        <f t="shared" si="181"/>
        <v/>
      </c>
      <c r="GS17" s="513" t="str">
        <f t="shared" si="182"/>
        <v/>
      </c>
      <c r="GT17" s="513" t="str">
        <f t="shared" si="183"/>
        <v/>
      </c>
      <c r="GU17" s="513" t="str">
        <f t="shared" si="184"/>
        <v/>
      </c>
      <c r="GV17" s="513" t="str">
        <f t="shared" si="185"/>
        <v/>
      </c>
      <c r="GW17" s="513" t="str">
        <f t="shared" si="186"/>
        <v/>
      </c>
      <c r="GX17" s="513" t="str">
        <f t="shared" si="187"/>
        <v/>
      </c>
      <c r="GY17" s="513" t="str">
        <f t="shared" si="188"/>
        <v/>
      </c>
      <c r="GZ17" s="513" t="str">
        <f t="shared" si="189"/>
        <v/>
      </c>
      <c r="HA17" s="513" t="str">
        <f t="shared" si="190"/>
        <v/>
      </c>
      <c r="HB17" s="513" t="str">
        <f t="shared" si="191"/>
        <v/>
      </c>
      <c r="HC17" s="513" t="str">
        <f t="shared" si="192"/>
        <v/>
      </c>
      <c r="HD17" s="513" t="str">
        <f t="shared" si="193"/>
        <v/>
      </c>
      <c r="HE17" s="513" t="str">
        <f t="shared" si="194"/>
        <v/>
      </c>
      <c r="HF17" s="513" t="str">
        <f t="shared" si="195"/>
        <v/>
      </c>
      <c r="HG17" s="513" t="str">
        <f t="shared" si="196"/>
        <v/>
      </c>
      <c r="HH17" s="513" t="str">
        <f t="shared" si="197"/>
        <v/>
      </c>
      <c r="HI17" s="513" t="str">
        <f t="shared" si="198"/>
        <v/>
      </c>
      <c r="HJ17" s="513" t="str">
        <f t="shared" si="199"/>
        <v/>
      </c>
      <c r="HK17" s="513" t="str">
        <f t="shared" si="200"/>
        <v/>
      </c>
      <c r="HL17" s="513" t="str">
        <f t="shared" si="201"/>
        <v/>
      </c>
      <c r="HM17" s="513" t="str">
        <f t="shared" si="202"/>
        <v/>
      </c>
      <c r="HN17" s="513" t="str">
        <f t="shared" si="203"/>
        <v/>
      </c>
      <c r="HO17" s="513" t="str">
        <f t="shared" si="204"/>
        <v/>
      </c>
      <c r="HP17" s="513" t="str">
        <f t="shared" si="205"/>
        <v/>
      </c>
      <c r="HQ17" s="513" t="str">
        <f t="shared" si="206"/>
        <v/>
      </c>
      <c r="HR17" s="513" t="str">
        <f t="shared" si="207"/>
        <v/>
      </c>
      <c r="HS17" s="513" t="str">
        <f t="shared" si="208"/>
        <v/>
      </c>
      <c r="HT17" s="513" t="str">
        <f t="shared" si="209"/>
        <v/>
      </c>
      <c r="HU17" s="513" t="str">
        <f t="shared" si="210"/>
        <v/>
      </c>
      <c r="HV17" s="513">
        <f t="shared" si="211"/>
        <v>2</v>
      </c>
      <c r="HW17" s="513" t="str">
        <f t="shared" si="212"/>
        <v/>
      </c>
      <c r="HX17" s="513" t="str">
        <f t="shared" si="213"/>
        <v/>
      </c>
      <c r="HY17" s="513" t="str">
        <f t="shared" si="214"/>
        <v/>
      </c>
      <c r="HZ17" s="513" t="str">
        <f t="shared" si="215"/>
        <v/>
      </c>
      <c r="IA17" s="513" t="str">
        <f t="shared" si="216"/>
        <v/>
      </c>
      <c r="IB17" s="513" t="str">
        <f t="shared" si="217"/>
        <v/>
      </c>
      <c r="IC17" s="513" t="str">
        <f t="shared" si="218"/>
        <v/>
      </c>
      <c r="ID17" s="514" t="str">
        <f t="shared" si="219"/>
        <v/>
      </c>
      <c r="IE17" s="514" t="str">
        <f t="shared" si="220"/>
        <v/>
      </c>
      <c r="IF17" s="514" t="str">
        <f t="shared" si="221"/>
        <v/>
      </c>
      <c r="IG17" s="514" t="str">
        <f t="shared" si="222"/>
        <v/>
      </c>
      <c r="IH17" s="514" t="str">
        <f t="shared" si="223"/>
        <v/>
      </c>
      <c r="II17" s="503" t="str">
        <f t="shared" si="224"/>
        <v/>
      </c>
      <c r="IJ17" s="503" t="str">
        <f t="shared" si="225"/>
        <v/>
      </c>
      <c r="IK17" s="503" t="str">
        <f t="shared" si="226"/>
        <v/>
      </c>
      <c r="IL17" s="503" t="str">
        <f t="shared" si="227"/>
        <v/>
      </c>
      <c r="IM17" s="503" t="str">
        <f t="shared" si="228"/>
        <v/>
      </c>
      <c r="IN17" s="503" t="str">
        <f t="shared" si="229"/>
        <v/>
      </c>
      <c r="IO17" s="503" t="str">
        <f t="shared" si="230"/>
        <v/>
      </c>
      <c r="IP17" s="503" t="str">
        <f t="shared" si="231"/>
        <v/>
      </c>
      <c r="IQ17" s="503" t="str">
        <f t="shared" si="232"/>
        <v/>
      </c>
      <c r="IR17" s="503" t="str">
        <f t="shared" si="233"/>
        <v/>
      </c>
      <c r="IS17" s="503" t="str">
        <f t="shared" si="234"/>
        <v/>
      </c>
      <c r="IT17" s="503" t="str">
        <f t="shared" si="235"/>
        <v/>
      </c>
      <c r="IU17" s="503" t="str">
        <f t="shared" si="236"/>
        <v/>
      </c>
      <c r="IV17" s="503" t="str">
        <f t="shared" si="237"/>
        <v/>
      </c>
      <c r="IW17" s="503" t="str">
        <f t="shared" si="238"/>
        <v/>
      </c>
      <c r="IX17" s="503" t="str">
        <f t="shared" si="239"/>
        <v/>
      </c>
      <c r="IY17" s="503" t="str">
        <f t="shared" si="240"/>
        <v/>
      </c>
      <c r="IZ17" s="503" t="str">
        <f t="shared" si="241"/>
        <v/>
      </c>
      <c r="JA17" s="503" t="str">
        <f t="shared" si="242"/>
        <v/>
      </c>
      <c r="JB17" s="503" t="str">
        <f t="shared" si="243"/>
        <v/>
      </c>
      <c r="JC17" s="512">
        <f t="shared" si="244"/>
        <v>0</v>
      </c>
      <c r="JD17" s="512">
        <f t="shared" si="245"/>
        <v>0</v>
      </c>
      <c r="JE17" s="512">
        <f t="shared" si="246"/>
        <v>0</v>
      </c>
      <c r="JF17" s="512">
        <f t="shared" si="247"/>
        <v>0</v>
      </c>
      <c r="JG17" s="512">
        <f t="shared" si="248"/>
        <v>0</v>
      </c>
      <c r="JH17" s="512">
        <f t="shared" si="249"/>
        <v>0</v>
      </c>
      <c r="JI17" s="512">
        <f t="shared" si="250"/>
        <v>0</v>
      </c>
      <c r="JJ17" s="512">
        <f t="shared" si="251"/>
        <v>2</v>
      </c>
      <c r="JK17" s="512">
        <f t="shared" si="252"/>
        <v>0</v>
      </c>
      <c r="JL17" s="512">
        <f t="shared" si="253"/>
        <v>0</v>
      </c>
      <c r="JM17" s="512">
        <f t="shared" si="254"/>
        <v>0</v>
      </c>
      <c r="JN17" s="512">
        <f t="shared" si="255"/>
        <v>0</v>
      </c>
      <c r="JO17" s="512">
        <f t="shared" si="256"/>
        <v>0</v>
      </c>
      <c r="JP17" s="512">
        <f t="shared" si="257"/>
        <v>0</v>
      </c>
      <c r="JQ17" s="512">
        <f t="shared" si="258"/>
        <v>0</v>
      </c>
    </row>
    <row r="18" spans="1:277" ht="12" customHeight="1">
      <c r="A18" s="115" t="str">
        <f t="shared" si="0"/>
        <v/>
      </c>
      <c r="B18" s="3218" t="s">
        <v>1847</v>
      </c>
      <c r="C18" s="3219"/>
      <c r="D18" s="3220"/>
      <c r="E18" s="3221"/>
      <c r="F18" s="3221"/>
      <c r="G18" s="3221"/>
      <c r="H18" s="3221"/>
      <c r="I18" s="3221"/>
      <c r="J18" s="3222"/>
      <c r="K18" s="859">
        <f t="shared" si="1"/>
        <v>0</v>
      </c>
      <c r="L18" s="859">
        <f t="shared" si="2"/>
        <v>0</v>
      </c>
      <c r="M18" s="3223"/>
      <c r="N18" s="3223"/>
      <c r="O18" s="3223"/>
      <c r="P18" s="3224"/>
      <c r="Q18" s="1384" t="str">
        <f t="shared" si="3"/>
        <v/>
      </c>
      <c r="R18" s="1385" t="str">
        <f>IF(H18="","",IF(C18="Efficiency",Q18/($O$6*VLOOKUP(0,'DCA Underwriting Assumptions'!$J$132:$K$137,2,FALSE)),Q18/($O$6*VLOOKUP(C18,'DCA Underwriting Assumptions'!$J$132:$K$137,2,FALSE))))</f>
        <v/>
      </c>
      <c r="S18" s="1386"/>
      <c r="T18" s="1387"/>
      <c r="U18" s="3225"/>
      <c r="V18" s="3156"/>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461" t="str">
        <f t="shared" si="134"/>
        <v/>
      </c>
      <c r="EX18" s="513" t="str">
        <f t="shared" si="135"/>
        <v/>
      </c>
      <c r="EY18" s="513" t="str">
        <f t="shared" si="136"/>
        <v/>
      </c>
      <c r="EZ18" s="513" t="str">
        <f t="shared" si="137"/>
        <v/>
      </c>
      <c r="FA18" s="513" t="str">
        <f t="shared" si="138"/>
        <v/>
      </c>
      <c r="FB18" s="513" t="str">
        <f t="shared" si="139"/>
        <v/>
      </c>
      <c r="FC18" s="513" t="str">
        <f t="shared" si="140"/>
        <v/>
      </c>
      <c r="FD18" s="513" t="str">
        <f t="shared" si="141"/>
        <v/>
      </c>
      <c r="FE18" s="513" t="str">
        <f t="shared" si="142"/>
        <v/>
      </c>
      <c r="FF18" s="513" t="str">
        <f t="shared" si="143"/>
        <v/>
      </c>
      <c r="FG18" s="513" t="str">
        <f t="shared" si="144"/>
        <v/>
      </c>
      <c r="FH18" s="513" t="str">
        <f t="shared" si="145"/>
        <v/>
      </c>
      <c r="FI18" s="513" t="str">
        <f t="shared" si="146"/>
        <v/>
      </c>
      <c r="FJ18" s="513" t="str">
        <f t="shared" si="147"/>
        <v/>
      </c>
      <c r="FK18" s="513" t="str">
        <f t="shared" si="148"/>
        <v/>
      </c>
      <c r="FL18" s="513" t="str">
        <f t="shared" si="149"/>
        <v/>
      </c>
      <c r="FM18" s="513" t="str">
        <f t="shared" si="150"/>
        <v/>
      </c>
      <c r="FN18" s="513" t="str">
        <f t="shared" si="151"/>
        <v/>
      </c>
      <c r="FO18" s="513" t="str">
        <f t="shared" si="152"/>
        <v/>
      </c>
      <c r="FP18" s="513" t="str">
        <f t="shared" si="153"/>
        <v/>
      </c>
      <c r="FQ18" s="513" t="str">
        <f t="shared" si="154"/>
        <v/>
      </c>
      <c r="FR18" s="513" t="str">
        <f t="shared" si="155"/>
        <v/>
      </c>
      <c r="FS18" s="513" t="str">
        <f t="shared" si="156"/>
        <v/>
      </c>
      <c r="FT18" s="513" t="str">
        <f t="shared" si="157"/>
        <v/>
      </c>
      <c r="FU18" s="513" t="str">
        <f t="shared" si="158"/>
        <v/>
      </c>
      <c r="FV18" s="513" t="str">
        <f t="shared" si="159"/>
        <v/>
      </c>
      <c r="FW18" s="513" t="str">
        <f t="shared" si="160"/>
        <v/>
      </c>
      <c r="FX18" s="513" t="str">
        <f t="shared" si="161"/>
        <v/>
      </c>
      <c r="FY18" s="513" t="str">
        <f t="shared" si="162"/>
        <v/>
      </c>
      <c r="FZ18" s="513" t="str">
        <f t="shared" si="163"/>
        <v/>
      </c>
      <c r="GA18" s="513" t="str">
        <f t="shared" si="164"/>
        <v/>
      </c>
      <c r="GB18" s="513" t="str">
        <f t="shared" si="165"/>
        <v/>
      </c>
      <c r="GC18" s="513" t="str">
        <f t="shared" si="166"/>
        <v/>
      </c>
      <c r="GD18" s="513" t="str">
        <f t="shared" si="167"/>
        <v/>
      </c>
      <c r="GE18" s="513" t="str">
        <f t="shared" si="168"/>
        <v/>
      </c>
      <c r="GF18" s="513" t="str">
        <f t="shared" si="169"/>
        <v/>
      </c>
      <c r="GG18" s="513" t="str">
        <f t="shared" si="170"/>
        <v/>
      </c>
      <c r="GH18" s="513" t="str">
        <f t="shared" si="171"/>
        <v/>
      </c>
      <c r="GI18" s="513" t="str">
        <f t="shared" si="172"/>
        <v/>
      </c>
      <c r="GJ18" s="513" t="str">
        <f t="shared" si="173"/>
        <v/>
      </c>
      <c r="GK18" s="513" t="str">
        <f t="shared" si="174"/>
        <v/>
      </c>
      <c r="GL18" s="513" t="str">
        <f t="shared" si="175"/>
        <v/>
      </c>
      <c r="GM18" s="513" t="str">
        <f t="shared" si="176"/>
        <v/>
      </c>
      <c r="GN18" s="513" t="str">
        <f t="shared" si="177"/>
        <v/>
      </c>
      <c r="GO18" s="513" t="str">
        <f t="shared" si="178"/>
        <v/>
      </c>
      <c r="GP18" s="513" t="str">
        <f t="shared" si="179"/>
        <v/>
      </c>
      <c r="GQ18" s="513" t="str">
        <f t="shared" si="180"/>
        <v/>
      </c>
      <c r="GR18" s="513" t="str">
        <f t="shared" si="181"/>
        <v/>
      </c>
      <c r="GS18" s="513" t="str">
        <f t="shared" si="182"/>
        <v/>
      </c>
      <c r="GT18" s="513" t="str">
        <f t="shared" si="183"/>
        <v/>
      </c>
      <c r="GU18" s="513" t="str">
        <f t="shared" si="184"/>
        <v/>
      </c>
      <c r="GV18" s="513" t="str">
        <f t="shared" si="185"/>
        <v/>
      </c>
      <c r="GW18" s="513" t="str">
        <f t="shared" si="186"/>
        <v/>
      </c>
      <c r="GX18" s="513" t="str">
        <f t="shared" si="187"/>
        <v/>
      </c>
      <c r="GY18" s="513" t="str">
        <f t="shared" si="188"/>
        <v/>
      </c>
      <c r="GZ18" s="513" t="str">
        <f t="shared" si="189"/>
        <v/>
      </c>
      <c r="HA18" s="513" t="str">
        <f t="shared" si="190"/>
        <v/>
      </c>
      <c r="HB18" s="513" t="str">
        <f t="shared" si="191"/>
        <v/>
      </c>
      <c r="HC18" s="513" t="str">
        <f t="shared" si="192"/>
        <v/>
      </c>
      <c r="HD18" s="513" t="str">
        <f t="shared" si="193"/>
        <v/>
      </c>
      <c r="HE18" s="513" t="str">
        <f t="shared" si="194"/>
        <v/>
      </c>
      <c r="HF18" s="513" t="str">
        <f t="shared" si="195"/>
        <v/>
      </c>
      <c r="HG18" s="513" t="str">
        <f t="shared" si="196"/>
        <v/>
      </c>
      <c r="HH18" s="513" t="str">
        <f t="shared" si="197"/>
        <v/>
      </c>
      <c r="HI18" s="513" t="str">
        <f t="shared" si="198"/>
        <v/>
      </c>
      <c r="HJ18" s="513" t="str">
        <f t="shared" si="199"/>
        <v/>
      </c>
      <c r="HK18" s="513" t="str">
        <f t="shared" si="200"/>
        <v/>
      </c>
      <c r="HL18" s="513" t="str">
        <f t="shared" si="201"/>
        <v/>
      </c>
      <c r="HM18" s="513" t="str">
        <f t="shared" si="202"/>
        <v/>
      </c>
      <c r="HN18" s="513" t="str">
        <f t="shared" si="203"/>
        <v/>
      </c>
      <c r="HO18" s="513" t="str">
        <f t="shared" si="204"/>
        <v/>
      </c>
      <c r="HP18" s="513" t="str">
        <f t="shared" si="205"/>
        <v/>
      </c>
      <c r="HQ18" s="513" t="str">
        <f t="shared" si="206"/>
        <v/>
      </c>
      <c r="HR18" s="513" t="str">
        <f t="shared" si="207"/>
        <v/>
      </c>
      <c r="HS18" s="513" t="str">
        <f t="shared" si="208"/>
        <v/>
      </c>
      <c r="HT18" s="513" t="str">
        <f t="shared" si="209"/>
        <v/>
      </c>
      <c r="HU18" s="513" t="str">
        <f t="shared" si="210"/>
        <v/>
      </c>
      <c r="HV18" s="513" t="str">
        <f t="shared" si="211"/>
        <v/>
      </c>
      <c r="HW18" s="513" t="str">
        <f t="shared" si="212"/>
        <v/>
      </c>
      <c r="HX18" s="513" t="str">
        <f t="shared" si="213"/>
        <v/>
      </c>
      <c r="HY18" s="513" t="str">
        <f t="shared" si="214"/>
        <v/>
      </c>
      <c r="HZ18" s="513" t="str">
        <f t="shared" si="215"/>
        <v/>
      </c>
      <c r="IA18" s="513" t="str">
        <f t="shared" si="216"/>
        <v/>
      </c>
      <c r="IB18" s="513" t="str">
        <f t="shared" si="217"/>
        <v/>
      </c>
      <c r="IC18" s="513" t="str">
        <f t="shared" si="218"/>
        <v/>
      </c>
      <c r="ID18" s="514" t="str">
        <f t="shared" si="219"/>
        <v/>
      </c>
      <c r="IE18" s="514" t="str">
        <f t="shared" si="220"/>
        <v/>
      </c>
      <c r="IF18" s="514" t="str">
        <f t="shared" si="221"/>
        <v/>
      </c>
      <c r="IG18" s="514" t="str">
        <f t="shared" si="222"/>
        <v/>
      </c>
      <c r="IH18" s="514" t="str">
        <f t="shared" si="223"/>
        <v/>
      </c>
      <c r="II18" s="503" t="str">
        <f t="shared" si="224"/>
        <v/>
      </c>
      <c r="IJ18" s="503" t="str">
        <f t="shared" si="225"/>
        <v/>
      </c>
      <c r="IK18" s="503" t="str">
        <f t="shared" si="226"/>
        <v/>
      </c>
      <c r="IL18" s="503" t="str">
        <f t="shared" si="227"/>
        <v/>
      </c>
      <c r="IM18" s="503" t="str">
        <f t="shared" si="228"/>
        <v/>
      </c>
      <c r="IN18" s="503" t="str">
        <f t="shared" si="229"/>
        <v/>
      </c>
      <c r="IO18" s="503" t="str">
        <f t="shared" si="230"/>
        <v/>
      </c>
      <c r="IP18" s="503" t="str">
        <f t="shared" si="231"/>
        <v/>
      </c>
      <c r="IQ18" s="503" t="str">
        <f t="shared" si="232"/>
        <v/>
      </c>
      <c r="IR18" s="503" t="str">
        <f t="shared" si="233"/>
        <v/>
      </c>
      <c r="IS18" s="503" t="str">
        <f t="shared" si="234"/>
        <v/>
      </c>
      <c r="IT18" s="503" t="str">
        <f t="shared" si="235"/>
        <v/>
      </c>
      <c r="IU18" s="503" t="str">
        <f t="shared" si="236"/>
        <v/>
      </c>
      <c r="IV18" s="503" t="str">
        <f t="shared" si="237"/>
        <v/>
      </c>
      <c r="IW18" s="503" t="str">
        <f t="shared" si="238"/>
        <v/>
      </c>
      <c r="IX18" s="503" t="str">
        <f t="shared" si="239"/>
        <v/>
      </c>
      <c r="IY18" s="503" t="str">
        <f t="shared" si="240"/>
        <v/>
      </c>
      <c r="IZ18" s="503" t="str">
        <f t="shared" si="241"/>
        <v/>
      </c>
      <c r="JA18" s="503" t="str">
        <f t="shared" si="242"/>
        <v/>
      </c>
      <c r="JB18" s="503" t="str">
        <f t="shared" si="243"/>
        <v/>
      </c>
      <c r="JC18" s="512">
        <f t="shared" si="244"/>
        <v>0</v>
      </c>
      <c r="JD18" s="512">
        <f t="shared" si="245"/>
        <v>0</v>
      </c>
      <c r="JE18" s="512">
        <f t="shared" si="246"/>
        <v>0</v>
      </c>
      <c r="JF18" s="512">
        <f t="shared" si="247"/>
        <v>0</v>
      </c>
      <c r="JG18" s="512">
        <f t="shared" si="248"/>
        <v>0</v>
      </c>
      <c r="JH18" s="512">
        <f t="shared" si="249"/>
        <v>0</v>
      </c>
      <c r="JI18" s="512">
        <f t="shared" si="250"/>
        <v>0</v>
      </c>
      <c r="JJ18" s="512">
        <f t="shared" si="251"/>
        <v>0</v>
      </c>
      <c r="JK18" s="512">
        <f t="shared" si="252"/>
        <v>0</v>
      </c>
      <c r="JL18" s="512">
        <f t="shared" si="253"/>
        <v>0</v>
      </c>
      <c r="JM18" s="512">
        <f t="shared" si="254"/>
        <v>0</v>
      </c>
      <c r="JN18" s="512">
        <f t="shared" si="255"/>
        <v>0</v>
      </c>
      <c r="JO18" s="512">
        <f t="shared" si="256"/>
        <v>0</v>
      </c>
      <c r="JP18" s="512">
        <f t="shared" si="257"/>
        <v>0</v>
      </c>
      <c r="JQ18" s="512">
        <f t="shared" si="258"/>
        <v>0</v>
      </c>
    </row>
    <row r="19" spans="1:277" ht="12" customHeight="1">
      <c r="A19" s="115" t="str">
        <f t="shared" si="0"/>
        <v/>
      </c>
      <c r="B19" s="3218" t="s">
        <v>1847</v>
      </c>
      <c r="C19" s="3219"/>
      <c r="D19" s="3220"/>
      <c r="E19" s="3221"/>
      <c r="F19" s="3221"/>
      <c r="G19" s="3221"/>
      <c r="H19" s="3221"/>
      <c r="I19" s="3221"/>
      <c r="J19" s="3222"/>
      <c r="K19" s="859">
        <f t="shared" si="1"/>
        <v>0</v>
      </c>
      <c r="L19" s="859">
        <f t="shared" si="2"/>
        <v>0</v>
      </c>
      <c r="M19" s="3223"/>
      <c r="N19" s="3223"/>
      <c r="O19" s="3223"/>
      <c r="P19" s="3224"/>
      <c r="Q19" s="1384" t="str">
        <f t="shared" si="3"/>
        <v/>
      </c>
      <c r="R19" s="1385" t="str">
        <f>IF(H19="","",IF(C19="Efficiency",Q19/($O$6*VLOOKUP(0,'DCA Underwriting Assumptions'!$J$132:$K$137,2,FALSE)),Q19/($O$6*VLOOKUP(C19,'DCA Underwriting Assumptions'!$J$132:$K$137,2,FALSE))))</f>
        <v/>
      </c>
      <c r="S19" s="1386"/>
      <c r="T19" s="1387"/>
      <c r="U19" s="3225"/>
      <c r="V19" s="3156"/>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461" t="str">
        <f t="shared" si="134"/>
        <v/>
      </c>
      <c r="EX19" s="513" t="str">
        <f t="shared" si="135"/>
        <v/>
      </c>
      <c r="EY19" s="513" t="str">
        <f t="shared" si="136"/>
        <v/>
      </c>
      <c r="EZ19" s="513" t="str">
        <f t="shared" si="137"/>
        <v/>
      </c>
      <c r="FA19" s="513" t="str">
        <f t="shared" si="138"/>
        <v/>
      </c>
      <c r="FB19" s="513" t="str">
        <f t="shared" si="139"/>
        <v/>
      </c>
      <c r="FC19" s="513" t="str">
        <f t="shared" si="140"/>
        <v/>
      </c>
      <c r="FD19" s="513" t="str">
        <f t="shared" si="141"/>
        <v/>
      </c>
      <c r="FE19" s="513" t="str">
        <f t="shared" si="142"/>
        <v/>
      </c>
      <c r="FF19" s="513" t="str">
        <f t="shared" si="143"/>
        <v/>
      </c>
      <c r="FG19" s="513" t="str">
        <f t="shared" si="144"/>
        <v/>
      </c>
      <c r="FH19" s="513" t="str">
        <f t="shared" si="145"/>
        <v/>
      </c>
      <c r="FI19" s="513" t="str">
        <f t="shared" si="146"/>
        <v/>
      </c>
      <c r="FJ19" s="513" t="str">
        <f t="shared" si="147"/>
        <v/>
      </c>
      <c r="FK19" s="513" t="str">
        <f t="shared" si="148"/>
        <v/>
      </c>
      <c r="FL19" s="513" t="str">
        <f t="shared" si="149"/>
        <v/>
      </c>
      <c r="FM19" s="513" t="str">
        <f t="shared" si="150"/>
        <v/>
      </c>
      <c r="FN19" s="513" t="str">
        <f t="shared" si="151"/>
        <v/>
      </c>
      <c r="FO19" s="513" t="str">
        <f t="shared" si="152"/>
        <v/>
      </c>
      <c r="FP19" s="513" t="str">
        <f t="shared" si="153"/>
        <v/>
      </c>
      <c r="FQ19" s="513" t="str">
        <f t="shared" si="154"/>
        <v/>
      </c>
      <c r="FR19" s="513" t="str">
        <f t="shared" si="155"/>
        <v/>
      </c>
      <c r="FS19" s="513" t="str">
        <f t="shared" si="156"/>
        <v/>
      </c>
      <c r="FT19" s="513" t="str">
        <f t="shared" si="157"/>
        <v/>
      </c>
      <c r="FU19" s="513" t="str">
        <f t="shared" si="158"/>
        <v/>
      </c>
      <c r="FV19" s="513" t="str">
        <f t="shared" si="159"/>
        <v/>
      </c>
      <c r="FW19" s="513" t="str">
        <f t="shared" si="160"/>
        <v/>
      </c>
      <c r="FX19" s="513" t="str">
        <f t="shared" si="161"/>
        <v/>
      </c>
      <c r="FY19" s="513" t="str">
        <f t="shared" si="162"/>
        <v/>
      </c>
      <c r="FZ19" s="513" t="str">
        <f t="shared" si="163"/>
        <v/>
      </c>
      <c r="GA19" s="513" t="str">
        <f t="shared" si="164"/>
        <v/>
      </c>
      <c r="GB19" s="513" t="str">
        <f t="shared" si="165"/>
        <v/>
      </c>
      <c r="GC19" s="513" t="str">
        <f t="shared" si="166"/>
        <v/>
      </c>
      <c r="GD19" s="513" t="str">
        <f t="shared" si="167"/>
        <v/>
      </c>
      <c r="GE19" s="513" t="str">
        <f t="shared" si="168"/>
        <v/>
      </c>
      <c r="GF19" s="513" t="str">
        <f t="shared" si="169"/>
        <v/>
      </c>
      <c r="GG19" s="513" t="str">
        <f t="shared" si="170"/>
        <v/>
      </c>
      <c r="GH19" s="513" t="str">
        <f t="shared" si="171"/>
        <v/>
      </c>
      <c r="GI19" s="513" t="str">
        <f t="shared" si="172"/>
        <v/>
      </c>
      <c r="GJ19" s="513" t="str">
        <f t="shared" si="173"/>
        <v/>
      </c>
      <c r="GK19" s="513" t="str">
        <f t="shared" si="174"/>
        <v/>
      </c>
      <c r="GL19" s="513" t="str">
        <f t="shared" si="175"/>
        <v/>
      </c>
      <c r="GM19" s="513" t="str">
        <f t="shared" si="176"/>
        <v/>
      </c>
      <c r="GN19" s="513" t="str">
        <f t="shared" si="177"/>
        <v/>
      </c>
      <c r="GO19" s="513" t="str">
        <f t="shared" si="178"/>
        <v/>
      </c>
      <c r="GP19" s="513" t="str">
        <f t="shared" si="179"/>
        <v/>
      </c>
      <c r="GQ19" s="513" t="str">
        <f t="shared" si="180"/>
        <v/>
      </c>
      <c r="GR19" s="513" t="str">
        <f t="shared" si="181"/>
        <v/>
      </c>
      <c r="GS19" s="513" t="str">
        <f t="shared" si="182"/>
        <v/>
      </c>
      <c r="GT19" s="513" t="str">
        <f t="shared" si="183"/>
        <v/>
      </c>
      <c r="GU19" s="513" t="str">
        <f t="shared" si="184"/>
        <v/>
      </c>
      <c r="GV19" s="513" t="str">
        <f t="shared" si="185"/>
        <v/>
      </c>
      <c r="GW19" s="513" t="str">
        <f t="shared" si="186"/>
        <v/>
      </c>
      <c r="GX19" s="513" t="str">
        <f t="shared" si="187"/>
        <v/>
      </c>
      <c r="GY19" s="513" t="str">
        <f t="shared" si="188"/>
        <v/>
      </c>
      <c r="GZ19" s="513" t="str">
        <f t="shared" si="189"/>
        <v/>
      </c>
      <c r="HA19" s="513" t="str">
        <f t="shared" si="190"/>
        <v/>
      </c>
      <c r="HB19" s="513" t="str">
        <f t="shared" si="191"/>
        <v/>
      </c>
      <c r="HC19" s="513" t="str">
        <f t="shared" si="192"/>
        <v/>
      </c>
      <c r="HD19" s="513" t="str">
        <f t="shared" si="193"/>
        <v/>
      </c>
      <c r="HE19" s="513" t="str">
        <f t="shared" si="194"/>
        <v/>
      </c>
      <c r="HF19" s="513" t="str">
        <f t="shared" si="195"/>
        <v/>
      </c>
      <c r="HG19" s="513" t="str">
        <f t="shared" si="196"/>
        <v/>
      </c>
      <c r="HH19" s="513" t="str">
        <f t="shared" si="197"/>
        <v/>
      </c>
      <c r="HI19" s="513" t="str">
        <f t="shared" si="198"/>
        <v/>
      </c>
      <c r="HJ19" s="513" t="str">
        <f t="shared" si="199"/>
        <v/>
      </c>
      <c r="HK19" s="513" t="str">
        <f t="shared" si="200"/>
        <v/>
      </c>
      <c r="HL19" s="513" t="str">
        <f t="shared" si="201"/>
        <v/>
      </c>
      <c r="HM19" s="513" t="str">
        <f t="shared" si="202"/>
        <v/>
      </c>
      <c r="HN19" s="513" t="str">
        <f t="shared" si="203"/>
        <v/>
      </c>
      <c r="HO19" s="513" t="str">
        <f t="shared" si="204"/>
        <v/>
      </c>
      <c r="HP19" s="513" t="str">
        <f t="shared" si="205"/>
        <v/>
      </c>
      <c r="HQ19" s="513" t="str">
        <f t="shared" si="206"/>
        <v/>
      </c>
      <c r="HR19" s="513" t="str">
        <f t="shared" si="207"/>
        <v/>
      </c>
      <c r="HS19" s="513" t="str">
        <f t="shared" si="208"/>
        <v/>
      </c>
      <c r="HT19" s="513" t="str">
        <f t="shared" si="209"/>
        <v/>
      </c>
      <c r="HU19" s="513" t="str">
        <f t="shared" si="210"/>
        <v/>
      </c>
      <c r="HV19" s="513" t="str">
        <f t="shared" si="211"/>
        <v/>
      </c>
      <c r="HW19" s="513" t="str">
        <f t="shared" si="212"/>
        <v/>
      </c>
      <c r="HX19" s="513" t="str">
        <f t="shared" si="213"/>
        <v/>
      </c>
      <c r="HY19" s="513" t="str">
        <f t="shared" si="214"/>
        <v/>
      </c>
      <c r="HZ19" s="513" t="str">
        <f t="shared" si="215"/>
        <v/>
      </c>
      <c r="IA19" s="513" t="str">
        <f t="shared" si="216"/>
        <v/>
      </c>
      <c r="IB19" s="513" t="str">
        <f t="shared" si="217"/>
        <v/>
      </c>
      <c r="IC19" s="513" t="str">
        <f t="shared" si="218"/>
        <v/>
      </c>
      <c r="ID19" s="514" t="str">
        <f t="shared" si="219"/>
        <v/>
      </c>
      <c r="IE19" s="514" t="str">
        <f t="shared" si="220"/>
        <v/>
      </c>
      <c r="IF19" s="514" t="str">
        <f t="shared" si="221"/>
        <v/>
      </c>
      <c r="IG19" s="514" t="str">
        <f t="shared" si="222"/>
        <v/>
      </c>
      <c r="IH19" s="514" t="str">
        <f t="shared" si="223"/>
        <v/>
      </c>
      <c r="II19" s="503" t="str">
        <f t="shared" si="224"/>
        <v/>
      </c>
      <c r="IJ19" s="503" t="str">
        <f t="shared" si="225"/>
        <v/>
      </c>
      <c r="IK19" s="503" t="str">
        <f t="shared" si="226"/>
        <v/>
      </c>
      <c r="IL19" s="503" t="str">
        <f t="shared" si="227"/>
        <v/>
      </c>
      <c r="IM19" s="503" t="str">
        <f t="shared" si="228"/>
        <v/>
      </c>
      <c r="IN19" s="503" t="str">
        <f t="shared" si="229"/>
        <v/>
      </c>
      <c r="IO19" s="503" t="str">
        <f t="shared" si="230"/>
        <v/>
      </c>
      <c r="IP19" s="503" t="str">
        <f t="shared" si="231"/>
        <v/>
      </c>
      <c r="IQ19" s="503" t="str">
        <f t="shared" si="232"/>
        <v/>
      </c>
      <c r="IR19" s="503" t="str">
        <f t="shared" si="233"/>
        <v/>
      </c>
      <c r="IS19" s="503" t="str">
        <f t="shared" si="234"/>
        <v/>
      </c>
      <c r="IT19" s="503" t="str">
        <f t="shared" si="235"/>
        <v/>
      </c>
      <c r="IU19" s="503" t="str">
        <f t="shared" si="236"/>
        <v/>
      </c>
      <c r="IV19" s="503" t="str">
        <f t="shared" si="237"/>
        <v/>
      </c>
      <c r="IW19" s="503" t="str">
        <f t="shared" si="238"/>
        <v/>
      </c>
      <c r="IX19" s="503" t="str">
        <f t="shared" si="239"/>
        <v/>
      </c>
      <c r="IY19" s="503" t="str">
        <f t="shared" si="240"/>
        <v/>
      </c>
      <c r="IZ19" s="503" t="str">
        <f t="shared" si="241"/>
        <v/>
      </c>
      <c r="JA19" s="503" t="str">
        <f t="shared" si="242"/>
        <v/>
      </c>
      <c r="JB19" s="503" t="str">
        <f t="shared" si="243"/>
        <v/>
      </c>
      <c r="JC19" s="512">
        <f t="shared" si="244"/>
        <v>0</v>
      </c>
      <c r="JD19" s="512">
        <f t="shared" si="245"/>
        <v>0</v>
      </c>
      <c r="JE19" s="512">
        <f t="shared" si="246"/>
        <v>0</v>
      </c>
      <c r="JF19" s="512">
        <f t="shared" si="247"/>
        <v>0</v>
      </c>
      <c r="JG19" s="512">
        <f t="shared" si="248"/>
        <v>0</v>
      </c>
      <c r="JH19" s="512">
        <f t="shared" si="249"/>
        <v>0</v>
      </c>
      <c r="JI19" s="512">
        <f t="shared" si="250"/>
        <v>0</v>
      </c>
      <c r="JJ19" s="512">
        <f t="shared" si="251"/>
        <v>0</v>
      </c>
      <c r="JK19" s="512">
        <f t="shared" si="252"/>
        <v>0</v>
      </c>
      <c r="JL19" s="512">
        <f t="shared" si="253"/>
        <v>0</v>
      </c>
      <c r="JM19" s="512">
        <f t="shared" si="254"/>
        <v>0</v>
      </c>
      <c r="JN19" s="512">
        <f t="shared" si="255"/>
        <v>0</v>
      </c>
      <c r="JO19" s="512">
        <f t="shared" si="256"/>
        <v>0</v>
      </c>
      <c r="JP19" s="512">
        <f t="shared" si="257"/>
        <v>0</v>
      </c>
      <c r="JQ19" s="512">
        <f t="shared" si="258"/>
        <v>0</v>
      </c>
    </row>
    <row r="20" spans="1:277" ht="12" customHeight="1">
      <c r="A20" s="115" t="str">
        <f t="shared" si="0"/>
        <v/>
      </c>
      <c r="B20" s="3218" t="s">
        <v>1847</v>
      </c>
      <c r="C20" s="3219"/>
      <c r="D20" s="3220"/>
      <c r="E20" s="3221"/>
      <c r="F20" s="3221"/>
      <c r="G20" s="3221"/>
      <c r="H20" s="3221"/>
      <c r="I20" s="3221"/>
      <c r="J20" s="3222"/>
      <c r="K20" s="859">
        <f t="shared" si="1"/>
        <v>0</v>
      </c>
      <c r="L20" s="859">
        <f t="shared" si="2"/>
        <v>0</v>
      </c>
      <c r="M20" s="3223"/>
      <c r="N20" s="3223"/>
      <c r="O20" s="3223"/>
      <c r="P20" s="3224"/>
      <c r="Q20" s="1384" t="str">
        <f t="shared" si="3"/>
        <v/>
      </c>
      <c r="R20" s="1385" t="str">
        <f>IF(H20="","",IF(C20="Efficiency",Q20/($O$6*VLOOKUP(0,'DCA Underwriting Assumptions'!$J$132:$K$137,2,FALSE)),Q20/($O$6*VLOOKUP(C20,'DCA Underwriting Assumptions'!$J$132:$K$137,2,FALSE))))</f>
        <v/>
      </c>
      <c r="S20" s="1386"/>
      <c r="T20" s="1387"/>
      <c r="U20" s="3225"/>
      <c r="V20" s="3156"/>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461" t="str">
        <f t="shared" si="134"/>
        <v/>
      </c>
      <c r="EX20" s="513" t="str">
        <f t="shared" si="135"/>
        <v/>
      </c>
      <c r="EY20" s="513" t="str">
        <f t="shared" si="136"/>
        <v/>
      </c>
      <c r="EZ20" s="513" t="str">
        <f t="shared" si="137"/>
        <v/>
      </c>
      <c r="FA20" s="513" t="str">
        <f t="shared" si="138"/>
        <v/>
      </c>
      <c r="FB20" s="513" t="str">
        <f t="shared" si="139"/>
        <v/>
      </c>
      <c r="FC20" s="513" t="str">
        <f t="shared" si="140"/>
        <v/>
      </c>
      <c r="FD20" s="513" t="str">
        <f t="shared" si="141"/>
        <v/>
      </c>
      <c r="FE20" s="513" t="str">
        <f t="shared" si="142"/>
        <v/>
      </c>
      <c r="FF20" s="513" t="str">
        <f t="shared" si="143"/>
        <v/>
      </c>
      <c r="FG20" s="513" t="str">
        <f t="shared" si="144"/>
        <v/>
      </c>
      <c r="FH20" s="513" t="str">
        <f t="shared" si="145"/>
        <v/>
      </c>
      <c r="FI20" s="513" t="str">
        <f t="shared" si="146"/>
        <v/>
      </c>
      <c r="FJ20" s="513" t="str">
        <f t="shared" si="147"/>
        <v/>
      </c>
      <c r="FK20" s="513" t="str">
        <f t="shared" si="148"/>
        <v/>
      </c>
      <c r="FL20" s="513" t="str">
        <f t="shared" si="149"/>
        <v/>
      </c>
      <c r="FM20" s="513" t="str">
        <f t="shared" si="150"/>
        <v/>
      </c>
      <c r="FN20" s="513" t="str">
        <f t="shared" si="151"/>
        <v/>
      </c>
      <c r="FO20" s="513" t="str">
        <f t="shared" si="152"/>
        <v/>
      </c>
      <c r="FP20" s="513" t="str">
        <f t="shared" si="153"/>
        <v/>
      </c>
      <c r="FQ20" s="513" t="str">
        <f t="shared" si="154"/>
        <v/>
      </c>
      <c r="FR20" s="513" t="str">
        <f t="shared" si="155"/>
        <v/>
      </c>
      <c r="FS20" s="513" t="str">
        <f t="shared" si="156"/>
        <v/>
      </c>
      <c r="FT20" s="513" t="str">
        <f t="shared" si="157"/>
        <v/>
      </c>
      <c r="FU20" s="513" t="str">
        <f t="shared" si="158"/>
        <v/>
      </c>
      <c r="FV20" s="513" t="str">
        <f t="shared" si="159"/>
        <v/>
      </c>
      <c r="FW20" s="513" t="str">
        <f t="shared" si="160"/>
        <v/>
      </c>
      <c r="FX20" s="513" t="str">
        <f t="shared" si="161"/>
        <v/>
      </c>
      <c r="FY20" s="513" t="str">
        <f t="shared" si="162"/>
        <v/>
      </c>
      <c r="FZ20" s="513" t="str">
        <f t="shared" si="163"/>
        <v/>
      </c>
      <c r="GA20" s="513" t="str">
        <f t="shared" si="164"/>
        <v/>
      </c>
      <c r="GB20" s="513" t="str">
        <f t="shared" si="165"/>
        <v/>
      </c>
      <c r="GC20" s="513" t="str">
        <f t="shared" si="166"/>
        <v/>
      </c>
      <c r="GD20" s="513" t="str">
        <f t="shared" si="167"/>
        <v/>
      </c>
      <c r="GE20" s="513" t="str">
        <f t="shared" si="168"/>
        <v/>
      </c>
      <c r="GF20" s="513" t="str">
        <f t="shared" si="169"/>
        <v/>
      </c>
      <c r="GG20" s="513" t="str">
        <f t="shared" si="170"/>
        <v/>
      </c>
      <c r="GH20" s="513" t="str">
        <f t="shared" si="171"/>
        <v/>
      </c>
      <c r="GI20" s="513" t="str">
        <f t="shared" si="172"/>
        <v/>
      </c>
      <c r="GJ20" s="513" t="str">
        <f t="shared" si="173"/>
        <v/>
      </c>
      <c r="GK20" s="513" t="str">
        <f t="shared" si="174"/>
        <v/>
      </c>
      <c r="GL20" s="513" t="str">
        <f t="shared" si="175"/>
        <v/>
      </c>
      <c r="GM20" s="513" t="str">
        <f t="shared" si="176"/>
        <v/>
      </c>
      <c r="GN20" s="513" t="str">
        <f t="shared" si="177"/>
        <v/>
      </c>
      <c r="GO20" s="513" t="str">
        <f t="shared" si="178"/>
        <v/>
      </c>
      <c r="GP20" s="513" t="str">
        <f t="shared" si="179"/>
        <v/>
      </c>
      <c r="GQ20" s="513" t="str">
        <f t="shared" si="180"/>
        <v/>
      </c>
      <c r="GR20" s="513" t="str">
        <f t="shared" si="181"/>
        <v/>
      </c>
      <c r="GS20" s="513" t="str">
        <f t="shared" si="182"/>
        <v/>
      </c>
      <c r="GT20" s="513" t="str">
        <f t="shared" si="183"/>
        <v/>
      </c>
      <c r="GU20" s="513" t="str">
        <f t="shared" si="184"/>
        <v/>
      </c>
      <c r="GV20" s="513" t="str">
        <f t="shared" si="185"/>
        <v/>
      </c>
      <c r="GW20" s="513" t="str">
        <f t="shared" si="186"/>
        <v/>
      </c>
      <c r="GX20" s="513" t="str">
        <f t="shared" si="187"/>
        <v/>
      </c>
      <c r="GY20" s="513" t="str">
        <f t="shared" si="188"/>
        <v/>
      </c>
      <c r="GZ20" s="513" t="str">
        <f t="shared" si="189"/>
        <v/>
      </c>
      <c r="HA20" s="513" t="str">
        <f t="shared" si="190"/>
        <v/>
      </c>
      <c r="HB20" s="513" t="str">
        <f t="shared" si="191"/>
        <v/>
      </c>
      <c r="HC20" s="513" t="str">
        <f t="shared" si="192"/>
        <v/>
      </c>
      <c r="HD20" s="513" t="str">
        <f t="shared" si="193"/>
        <v/>
      </c>
      <c r="HE20" s="513" t="str">
        <f t="shared" si="194"/>
        <v/>
      </c>
      <c r="HF20" s="513" t="str">
        <f t="shared" si="195"/>
        <v/>
      </c>
      <c r="HG20" s="513" t="str">
        <f t="shared" si="196"/>
        <v/>
      </c>
      <c r="HH20" s="513" t="str">
        <f t="shared" si="197"/>
        <v/>
      </c>
      <c r="HI20" s="513" t="str">
        <f t="shared" si="198"/>
        <v/>
      </c>
      <c r="HJ20" s="513" t="str">
        <f t="shared" si="199"/>
        <v/>
      </c>
      <c r="HK20" s="513" t="str">
        <f t="shared" si="200"/>
        <v/>
      </c>
      <c r="HL20" s="513" t="str">
        <f t="shared" si="201"/>
        <v/>
      </c>
      <c r="HM20" s="513" t="str">
        <f t="shared" si="202"/>
        <v/>
      </c>
      <c r="HN20" s="513" t="str">
        <f t="shared" si="203"/>
        <v/>
      </c>
      <c r="HO20" s="513" t="str">
        <f t="shared" si="204"/>
        <v/>
      </c>
      <c r="HP20" s="513" t="str">
        <f t="shared" si="205"/>
        <v/>
      </c>
      <c r="HQ20" s="513" t="str">
        <f t="shared" si="206"/>
        <v/>
      </c>
      <c r="HR20" s="513" t="str">
        <f t="shared" si="207"/>
        <v/>
      </c>
      <c r="HS20" s="513" t="str">
        <f t="shared" si="208"/>
        <v/>
      </c>
      <c r="HT20" s="513" t="str">
        <f t="shared" si="209"/>
        <v/>
      </c>
      <c r="HU20" s="513" t="str">
        <f t="shared" si="210"/>
        <v/>
      </c>
      <c r="HV20" s="513" t="str">
        <f t="shared" si="211"/>
        <v/>
      </c>
      <c r="HW20" s="513" t="str">
        <f t="shared" si="212"/>
        <v/>
      </c>
      <c r="HX20" s="513" t="str">
        <f t="shared" si="213"/>
        <v/>
      </c>
      <c r="HY20" s="513" t="str">
        <f t="shared" si="214"/>
        <v/>
      </c>
      <c r="HZ20" s="513" t="str">
        <f t="shared" si="215"/>
        <v/>
      </c>
      <c r="IA20" s="513" t="str">
        <f t="shared" si="216"/>
        <v/>
      </c>
      <c r="IB20" s="513" t="str">
        <f t="shared" si="217"/>
        <v/>
      </c>
      <c r="IC20" s="513" t="str">
        <f t="shared" si="218"/>
        <v/>
      </c>
      <c r="ID20" s="514" t="str">
        <f t="shared" si="219"/>
        <v/>
      </c>
      <c r="IE20" s="514" t="str">
        <f t="shared" si="220"/>
        <v/>
      </c>
      <c r="IF20" s="514" t="str">
        <f t="shared" si="221"/>
        <v/>
      </c>
      <c r="IG20" s="514" t="str">
        <f t="shared" si="222"/>
        <v/>
      </c>
      <c r="IH20" s="514" t="str">
        <f t="shared" si="223"/>
        <v/>
      </c>
      <c r="II20" s="503" t="str">
        <f t="shared" si="224"/>
        <v/>
      </c>
      <c r="IJ20" s="503" t="str">
        <f t="shared" si="225"/>
        <v/>
      </c>
      <c r="IK20" s="503" t="str">
        <f t="shared" si="226"/>
        <v/>
      </c>
      <c r="IL20" s="503" t="str">
        <f t="shared" si="227"/>
        <v/>
      </c>
      <c r="IM20" s="503" t="str">
        <f t="shared" si="228"/>
        <v/>
      </c>
      <c r="IN20" s="503" t="str">
        <f t="shared" si="229"/>
        <v/>
      </c>
      <c r="IO20" s="503" t="str">
        <f t="shared" si="230"/>
        <v/>
      </c>
      <c r="IP20" s="503" t="str">
        <f t="shared" si="231"/>
        <v/>
      </c>
      <c r="IQ20" s="503" t="str">
        <f t="shared" si="232"/>
        <v/>
      </c>
      <c r="IR20" s="503" t="str">
        <f t="shared" si="233"/>
        <v/>
      </c>
      <c r="IS20" s="503" t="str">
        <f t="shared" si="234"/>
        <v/>
      </c>
      <c r="IT20" s="503" t="str">
        <f t="shared" si="235"/>
        <v/>
      </c>
      <c r="IU20" s="503" t="str">
        <f t="shared" si="236"/>
        <v/>
      </c>
      <c r="IV20" s="503" t="str">
        <f t="shared" si="237"/>
        <v/>
      </c>
      <c r="IW20" s="503" t="str">
        <f t="shared" si="238"/>
        <v/>
      </c>
      <c r="IX20" s="503" t="str">
        <f t="shared" si="239"/>
        <v/>
      </c>
      <c r="IY20" s="503" t="str">
        <f t="shared" si="240"/>
        <v/>
      </c>
      <c r="IZ20" s="503" t="str">
        <f t="shared" si="241"/>
        <v/>
      </c>
      <c r="JA20" s="503" t="str">
        <f t="shared" si="242"/>
        <v/>
      </c>
      <c r="JB20" s="503" t="str">
        <f t="shared" si="243"/>
        <v/>
      </c>
      <c r="JC20" s="512">
        <f t="shared" si="244"/>
        <v>0</v>
      </c>
      <c r="JD20" s="512">
        <f t="shared" si="245"/>
        <v>0</v>
      </c>
      <c r="JE20" s="512">
        <f t="shared" si="246"/>
        <v>0</v>
      </c>
      <c r="JF20" s="512">
        <f t="shared" si="247"/>
        <v>0</v>
      </c>
      <c r="JG20" s="512">
        <f t="shared" si="248"/>
        <v>0</v>
      </c>
      <c r="JH20" s="512">
        <f t="shared" si="249"/>
        <v>0</v>
      </c>
      <c r="JI20" s="512">
        <f t="shared" si="250"/>
        <v>0</v>
      </c>
      <c r="JJ20" s="512">
        <f t="shared" si="251"/>
        <v>0</v>
      </c>
      <c r="JK20" s="512">
        <f t="shared" si="252"/>
        <v>0</v>
      </c>
      <c r="JL20" s="512">
        <f t="shared" si="253"/>
        <v>0</v>
      </c>
      <c r="JM20" s="512">
        <f t="shared" si="254"/>
        <v>0</v>
      </c>
      <c r="JN20" s="512">
        <f t="shared" si="255"/>
        <v>0</v>
      </c>
      <c r="JO20" s="512">
        <f t="shared" si="256"/>
        <v>0</v>
      </c>
      <c r="JP20" s="512">
        <f t="shared" si="257"/>
        <v>0</v>
      </c>
      <c r="JQ20" s="512">
        <f t="shared" si="258"/>
        <v>0</v>
      </c>
    </row>
    <row r="21" spans="1:277" ht="12" customHeight="1">
      <c r="A21" s="115" t="str">
        <f t="shared" si="0"/>
        <v/>
      </c>
      <c r="B21" s="3218" t="s">
        <v>1847</v>
      </c>
      <c r="C21" s="3219"/>
      <c r="D21" s="3220"/>
      <c r="E21" s="3221"/>
      <c r="F21" s="3221"/>
      <c r="G21" s="3221"/>
      <c r="H21" s="3221"/>
      <c r="I21" s="3221"/>
      <c r="J21" s="3222"/>
      <c r="K21" s="859">
        <f t="shared" si="1"/>
        <v>0</v>
      </c>
      <c r="L21" s="859">
        <f t="shared" si="2"/>
        <v>0</v>
      </c>
      <c r="M21" s="3223"/>
      <c r="N21" s="3223"/>
      <c r="O21" s="3223"/>
      <c r="P21" s="3224"/>
      <c r="Q21" s="1384" t="str">
        <f t="shared" si="3"/>
        <v/>
      </c>
      <c r="R21" s="1385" t="str">
        <f>IF(H21="","",IF(C21="Efficiency",Q21/($O$6*VLOOKUP(0,'DCA Underwriting Assumptions'!$J$132:$K$137,2,FALSE)),Q21/($O$6*VLOOKUP(C21,'DCA Underwriting Assumptions'!$J$132:$K$137,2,FALSE))))</f>
        <v/>
      </c>
      <c r="S21" s="1386"/>
      <c r="T21" s="1387"/>
      <c r="U21" s="3225"/>
      <c r="V21" s="3156"/>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461" t="str">
        <f t="shared" si="134"/>
        <v/>
      </c>
      <c r="EX21" s="513" t="str">
        <f t="shared" si="135"/>
        <v/>
      </c>
      <c r="EY21" s="513" t="str">
        <f t="shared" si="136"/>
        <v/>
      </c>
      <c r="EZ21" s="513" t="str">
        <f t="shared" si="137"/>
        <v/>
      </c>
      <c r="FA21" s="513" t="str">
        <f t="shared" si="138"/>
        <v/>
      </c>
      <c r="FB21" s="513" t="str">
        <f t="shared" si="139"/>
        <v/>
      </c>
      <c r="FC21" s="513" t="str">
        <f t="shared" si="140"/>
        <v/>
      </c>
      <c r="FD21" s="513" t="str">
        <f t="shared" si="141"/>
        <v/>
      </c>
      <c r="FE21" s="513" t="str">
        <f t="shared" si="142"/>
        <v/>
      </c>
      <c r="FF21" s="513" t="str">
        <f t="shared" si="143"/>
        <v/>
      </c>
      <c r="FG21" s="513" t="str">
        <f t="shared" si="144"/>
        <v/>
      </c>
      <c r="FH21" s="513" t="str">
        <f t="shared" si="145"/>
        <v/>
      </c>
      <c r="FI21" s="513" t="str">
        <f t="shared" si="146"/>
        <v/>
      </c>
      <c r="FJ21" s="513" t="str">
        <f t="shared" si="147"/>
        <v/>
      </c>
      <c r="FK21" s="513" t="str">
        <f t="shared" si="148"/>
        <v/>
      </c>
      <c r="FL21" s="513" t="str">
        <f t="shared" si="149"/>
        <v/>
      </c>
      <c r="FM21" s="513" t="str">
        <f t="shared" si="150"/>
        <v/>
      </c>
      <c r="FN21" s="513" t="str">
        <f t="shared" si="151"/>
        <v/>
      </c>
      <c r="FO21" s="513" t="str">
        <f t="shared" si="152"/>
        <v/>
      </c>
      <c r="FP21" s="513" t="str">
        <f t="shared" si="153"/>
        <v/>
      </c>
      <c r="FQ21" s="513" t="str">
        <f t="shared" si="154"/>
        <v/>
      </c>
      <c r="FR21" s="513" t="str">
        <f t="shared" si="155"/>
        <v/>
      </c>
      <c r="FS21" s="513" t="str">
        <f t="shared" si="156"/>
        <v/>
      </c>
      <c r="FT21" s="513" t="str">
        <f t="shared" si="157"/>
        <v/>
      </c>
      <c r="FU21" s="513" t="str">
        <f t="shared" si="158"/>
        <v/>
      </c>
      <c r="FV21" s="513" t="str">
        <f t="shared" si="159"/>
        <v/>
      </c>
      <c r="FW21" s="513" t="str">
        <f t="shared" si="160"/>
        <v/>
      </c>
      <c r="FX21" s="513" t="str">
        <f t="shared" si="161"/>
        <v/>
      </c>
      <c r="FY21" s="513" t="str">
        <f t="shared" si="162"/>
        <v/>
      </c>
      <c r="FZ21" s="513" t="str">
        <f t="shared" si="163"/>
        <v/>
      </c>
      <c r="GA21" s="513" t="str">
        <f t="shared" si="164"/>
        <v/>
      </c>
      <c r="GB21" s="513" t="str">
        <f t="shared" si="165"/>
        <v/>
      </c>
      <c r="GC21" s="513" t="str">
        <f t="shared" si="166"/>
        <v/>
      </c>
      <c r="GD21" s="513" t="str">
        <f t="shared" si="167"/>
        <v/>
      </c>
      <c r="GE21" s="513" t="str">
        <f t="shared" si="168"/>
        <v/>
      </c>
      <c r="GF21" s="513" t="str">
        <f t="shared" si="169"/>
        <v/>
      </c>
      <c r="GG21" s="513" t="str">
        <f t="shared" si="170"/>
        <v/>
      </c>
      <c r="GH21" s="513" t="str">
        <f t="shared" si="171"/>
        <v/>
      </c>
      <c r="GI21" s="513" t="str">
        <f t="shared" si="172"/>
        <v/>
      </c>
      <c r="GJ21" s="513" t="str">
        <f t="shared" si="173"/>
        <v/>
      </c>
      <c r="GK21" s="513" t="str">
        <f t="shared" si="174"/>
        <v/>
      </c>
      <c r="GL21" s="513" t="str">
        <f t="shared" si="175"/>
        <v/>
      </c>
      <c r="GM21" s="513" t="str">
        <f t="shared" si="176"/>
        <v/>
      </c>
      <c r="GN21" s="513" t="str">
        <f t="shared" si="177"/>
        <v/>
      </c>
      <c r="GO21" s="513" t="str">
        <f t="shared" si="178"/>
        <v/>
      </c>
      <c r="GP21" s="513" t="str">
        <f t="shared" si="179"/>
        <v/>
      </c>
      <c r="GQ21" s="513" t="str">
        <f t="shared" si="180"/>
        <v/>
      </c>
      <c r="GR21" s="513" t="str">
        <f t="shared" si="181"/>
        <v/>
      </c>
      <c r="GS21" s="513" t="str">
        <f t="shared" si="182"/>
        <v/>
      </c>
      <c r="GT21" s="513" t="str">
        <f t="shared" si="183"/>
        <v/>
      </c>
      <c r="GU21" s="513" t="str">
        <f t="shared" si="184"/>
        <v/>
      </c>
      <c r="GV21" s="513" t="str">
        <f t="shared" si="185"/>
        <v/>
      </c>
      <c r="GW21" s="513" t="str">
        <f t="shared" si="186"/>
        <v/>
      </c>
      <c r="GX21" s="513" t="str">
        <f t="shared" si="187"/>
        <v/>
      </c>
      <c r="GY21" s="513" t="str">
        <f t="shared" si="188"/>
        <v/>
      </c>
      <c r="GZ21" s="513" t="str">
        <f t="shared" si="189"/>
        <v/>
      </c>
      <c r="HA21" s="513" t="str">
        <f t="shared" si="190"/>
        <v/>
      </c>
      <c r="HB21" s="513" t="str">
        <f t="shared" si="191"/>
        <v/>
      </c>
      <c r="HC21" s="513" t="str">
        <f t="shared" si="192"/>
        <v/>
      </c>
      <c r="HD21" s="513" t="str">
        <f t="shared" si="193"/>
        <v/>
      </c>
      <c r="HE21" s="513" t="str">
        <f t="shared" si="194"/>
        <v/>
      </c>
      <c r="HF21" s="513" t="str">
        <f t="shared" si="195"/>
        <v/>
      </c>
      <c r="HG21" s="513" t="str">
        <f t="shared" si="196"/>
        <v/>
      </c>
      <c r="HH21" s="513" t="str">
        <f t="shared" si="197"/>
        <v/>
      </c>
      <c r="HI21" s="513" t="str">
        <f t="shared" si="198"/>
        <v/>
      </c>
      <c r="HJ21" s="513" t="str">
        <f t="shared" si="199"/>
        <v/>
      </c>
      <c r="HK21" s="513" t="str">
        <f t="shared" si="200"/>
        <v/>
      </c>
      <c r="HL21" s="513" t="str">
        <f t="shared" si="201"/>
        <v/>
      </c>
      <c r="HM21" s="513" t="str">
        <f t="shared" si="202"/>
        <v/>
      </c>
      <c r="HN21" s="513" t="str">
        <f t="shared" si="203"/>
        <v/>
      </c>
      <c r="HO21" s="513" t="str">
        <f t="shared" si="204"/>
        <v/>
      </c>
      <c r="HP21" s="513" t="str">
        <f t="shared" si="205"/>
        <v/>
      </c>
      <c r="HQ21" s="513" t="str">
        <f t="shared" si="206"/>
        <v/>
      </c>
      <c r="HR21" s="513" t="str">
        <f t="shared" si="207"/>
        <v/>
      </c>
      <c r="HS21" s="513" t="str">
        <f t="shared" si="208"/>
        <v/>
      </c>
      <c r="HT21" s="513" t="str">
        <f t="shared" si="209"/>
        <v/>
      </c>
      <c r="HU21" s="513" t="str">
        <f t="shared" si="210"/>
        <v/>
      </c>
      <c r="HV21" s="513" t="str">
        <f t="shared" si="211"/>
        <v/>
      </c>
      <c r="HW21" s="513" t="str">
        <f t="shared" si="212"/>
        <v/>
      </c>
      <c r="HX21" s="513" t="str">
        <f t="shared" si="213"/>
        <v/>
      </c>
      <c r="HY21" s="513" t="str">
        <f t="shared" si="214"/>
        <v/>
      </c>
      <c r="HZ21" s="513" t="str">
        <f t="shared" si="215"/>
        <v/>
      </c>
      <c r="IA21" s="513" t="str">
        <f t="shared" si="216"/>
        <v/>
      </c>
      <c r="IB21" s="513" t="str">
        <f t="shared" si="217"/>
        <v/>
      </c>
      <c r="IC21" s="513" t="str">
        <f t="shared" si="218"/>
        <v/>
      </c>
      <c r="ID21" s="514" t="str">
        <f t="shared" si="219"/>
        <v/>
      </c>
      <c r="IE21" s="514" t="str">
        <f t="shared" si="220"/>
        <v/>
      </c>
      <c r="IF21" s="514" t="str">
        <f t="shared" si="221"/>
        <v/>
      </c>
      <c r="IG21" s="514" t="str">
        <f t="shared" si="222"/>
        <v/>
      </c>
      <c r="IH21" s="514" t="str">
        <f t="shared" si="223"/>
        <v/>
      </c>
      <c r="II21" s="503" t="str">
        <f t="shared" si="224"/>
        <v/>
      </c>
      <c r="IJ21" s="503" t="str">
        <f t="shared" si="225"/>
        <v/>
      </c>
      <c r="IK21" s="503" t="str">
        <f t="shared" si="226"/>
        <v/>
      </c>
      <c r="IL21" s="503" t="str">
        <f t="shared" si="227"/>
        <v/>
      </c>
      <c r="IM21" s="503" t="str">
        <f t="shared" si="228"/>
        <v/>
      </c>
      <c r="IN21" s="503" t="str">
        <f t="shared" si="229"/>
        <v/>
      </c>
      <c r="IO21" s="503" t="str">
        <f t="shared" si="230"/>
        <v/>
      </c>
      <c r="IP21" s="503" t="str">
        <f t="shared" si="231"/>
        <v/>
      </c>
      <c r="IQ21" s="503" t="str">
        <f t="shared" si="232"/>
        <v/>
      </c>
      <c r="IR21" s="503" t="str">
        <f t="shared" si="233"/>
        <v/>
      </c>
      <c r="IS21" s="503" t="str">
        <f t="shared" si="234"/>
        <v/>
      </c>
      <c r="IT21" s="503" t="str">
        <f t="shared" si="235"/>
        <v/>
      </c>
      <c r="IU21" s="503" t="str">
        <f t="shared" si="236"/>
        <v/>
      </c>
      <c r="IV21" s="503" t="str">
        <f t="shared" si="237"/>
        <v/>
      </c>
      <c r="IW21" s="503" t="str">
        <f t="shared" si="238"/>
        <v/>
      </c>
      <c r="IX21" s="503" t="str">
        <f t="shared" si="239"/>
        <v/>
      </c>
      <c r="IY21" s="503" t="str">
        <f t="shared" si="240"/>
        <v/>
      </c>
      <c r="IZ21" s="503" t="str">
        <f t="shared" si="241"/>
        <v/>
      </c>
      <c r="JA21" s="503" t="str">
        <f t="shared" si="242"/>
        <v/>
      </c>
      <c r="JB21" s="503" t="str">
        <f t="shared" si="243"/>
        <v/>
      </c>
      <c r="JC21" s="512">
        <f t="shared" si="244"/>
        <v>0</v>
      </c>
      <c r="JD21" s="512">
        <f t="shared" si="245"/>
        <v>0</v>
      </c>
      <c r="JE21" s="512">
        <f t="shared" si="246"/>
        <v>0</v>
      </c>
      <c r="JF21" s="512">
        <f t="shared" si="247"/>
        <v>0</v>
      </c>
      <c r="JG21" s="512">
        <f t="shared" si="248"/>
        <v>0</v>
      </c>
      <c r="JH21" s="512">
        <f t="shared" si="249"/>
        <v>0</v>
      </c>
      <c r="JI21" s="512">
        <f t="shared" si="250"/>
        <v>0</v>
      </c>
      <c r="JJ21" s="512">
        <f t="shared" si="251"/>
        <v>0</v>
      </c>
      <c r="JK21" s="512">
        <f t="shared" si="252"/>
        <v>0</v>
      </c>
      <c r="JL21" s="512">
        <f t="shared" si="253"/>
        <v>0</v>
      </c>
      <c r="JM21" s="512">
        <f t="shared" si="254"/>
        <v>0</v>
      </c>
      <c r="JN21" s="512">
        <f t="shared" si="255"/>
        <v>0</v>
      </c>
      <c r="JO21" s="512">
        <f t="shared" si="256"/>
        <v>0</v>
      </c>
      <c r="JP21" s="512">
        <f t="shared" si="257"/>
        <v>0</v>
      </c>
      <c r="JQ21" s="512">
        <f t="shared" si="258"/>
        <v>0</v>
      </c>
    </row>
    <row r="22" spans="1:277" ht="12" customHeight="1">
      <c r="A22" s="115" t="str">
        <f t="shared" si="0"/>
        <v/>
      </c>
      <c r="B22" s="3218" t="s">
        <v>1847</v>
      </c>
      <c r="C22" s="3219"/>
      <c r="D22" s="3220"/>
      <c r="E22" s="3221"/>
      <c r="F22" s="3221"/>
      <c r="G22" s="3221"/>
      <c r="H22" s="3221"/>
      <c r="I22" s="3221"/>
      <c r="J22" s="3222"/>
      <c r="K22" s="859">
        <f t="shared" si="1"/>
        <v>0</v>
      </c>
      <c r="L22" s="859">
        <f t="shared" si="2"/>
        <v>0</v>
      </c>
      <c r="M22" s="3223"/>
      <c r="N22" s="3223"/>
      <c r="O22" s="3223"/>
      <c r="P22" s="3224"/>
      <c r="Q22" s="1384" t="str">
        <f t="shared" si="3"/>
        <v/>
      </c>
      <c r="R22" s="1385" t="str">
        <f>IF(H22="","",IF(C22="Efficiency",Q22/($O$6*VLOOKUP(0,'DCA Underwriting Assumptions'!$J$132:$K$137,2,FALSE)),Q22/($O$6*VLOOKUP(C22,'DCA Underwriting Assumptions'!$J$132:$K$137,2,FALSE))))</f>
        <v/>
      </c>
      <c r="S22" s="1386"/>
      <c r="T22" s="1387"/>
      <c r="U22" s="3225"/>
      <c r="V22" s="3156"/>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461" t="str">
        <f t="shared" si="134"/>
        <v/>
      </c>
      <c r="EX22" s="513" t="str">
        <f t="shared" si="135"/>
        <v/>
      </c>
      <c r="EY22" s="513" t="str">
        <f t="shared" si="136"/>
        <v/>
      </c>
      <c r="EZ22" s="513" t="str">
        <f t="shared" si="137"/>
        <v/>
      </c>
      <c r="FA22" s="513" t="str">
        <f t="shared" si="138"/>
        <v/>
      </c>
      <c r="FB22" s="513" t="str">
        <f t="shared" si="139"/>
        <v/>
      </c>
      <c r="FC22" s="513" t="str">
        <f t="shared" si="140"/>
        <v/>
      </c>
      <c r="FD22" s="513" t="str">
        <f t="shared" si="141"/>
        <v/>
      </c>
      <c r="FE22" s="513" t="str">
        <f t="shared" si="142"/>
        <v/>
      </c>
      <c r="FF22" s="513" t="str">
        <f t="shared" si="143"/>
        <v/>
      </c>
      <c r="FG22" s="513" t="str">
        <f t="shared" si="144"/>
        <v/>
      </c>
      <c r="FH22" s="513" t="str">
        <f t="shared" si="145"/>
        <v/>
      </c>
      <c r="FI22" s="513" t="str">
        <f t="shared" si="146"/>
        <v/>
      </c>
      <c r="FJ22" s="513" t="str">
        <f t="shared" si="147"/>
        <v/>
      </c>
      <c r="FK22" s="513" t="str">
        <f t="shared" si="148"/>
        <v/>
      </c>
      <c r="FL22" s="513" t="str">
        <f t="shared" si="149"/>
        <v/>
      </c>
      <c r="FM22" s="513" t="str">
        <f t="shared" si="150"/>
        <v/>
      </c>
      <c r="FN22" s="513" t="str">
        <f t="shared" si="151"/>
        <v/>
      </c>
      <c r="FO22" s="513" t="str">
        <f t="shared" si="152"/>
        <v/>
      </c>
      <c r="FP22" s="513" t="str">
        <f t="shared" si="153"/>
        <v/>
      </c>
      <c r="FQ22" s="513" t="str">
        <f t="shared" si="154"/>
        <v/>
      </c>
      <c r="FR22" s="513" t="str">
        <f t="shared" si="155"/>
        <v/>
      </c>
      <c r="FS22" s="513" t="str">
        <f t="shared" si="156"/>
        <v/>
      </c>
      <c r="FT22" s="513" t="str">
        <f t="shared" si="157"/>
        <v/>
      </c>
      <c r="FU22" s="513" t="str">
        <f t="shared" si="158"/>
        <v/>
      </c>
      <c r="FV22" s="513" t="str">
        <f t="shared" si="159"/>
        <v/>
      </c>
      <c r="FW22" s="513" t="str">
        <f t="shared" si="160"/>
        <v/>
      </c>
      <c r="FX22" s="513" t="str">
        <f t="shared" si="161"/>
        <v/>
      </c>
      <c r="FY22" s="513" t="str">
        <f t="shared" si="162"/>
        <v/>
      </c>
      <c r="FZ22" s="513" t="str">
        <f t="shared" si="163"/>
        <v/>
      </c>
      <c r="GA22" s="513" t="str">
        <f t="shared" si="164"/>
        <v/>
      </c>
      <c r="GB22" s="513" t="str">
        <f t="shared" si="165"/>
        <v/>
      </c>
      <c r="GC22" s="513" t="str">
        <f t="shared" si="166"/>
        <v/>
      </c>
      <c r="GD22" s="513" t="str">
        <f t="shared" si="167"/>
        <v/>
      </c>
      <c r="GE22" s="513" t="str">
        <f t="shared" si="168"/>
        <v/>
      </c>
      <c r="GF22" s="513" t="str">
        <f t="shared" si="169"/>
        <v/>
      </c>
      <c r="GG22" s="513" t="str">
        <f t="shared" si="170"/>
        <v/>
      </c>
      <c r="GH22" s="513" t="str">
        <f t="shared" si="171"/>
        <v/>
      </c>
      <c r="GI22" s="513" t="str">
        <f t="shared" si="172"/>
        <v/>
      </c>
      <c r="GJ22" s="513" t="str">
        <f t="shared" si="173"/>
        <v/>
      </c>
      <c r="GK22" s="513" t="str">
        <f t="shared" si="174"/>
        <v/>
      </c>
      <c r="GL22" s="513" t="str">
        <f t="shared" si="175"/>
        <v/>
      </c>
      <c r="GM22" s="513" t="str">
        <f t="shared" si="176"/>
        <v/>
      </c>
      <c r="GN22" s="513" t="str">
        <f t="shared" si="177"/>
        <v/>
      </c>
      <c r="GO22" s="513" t="str">
        <f t="shared" si="178"/>
        <v/>
      </c>
      <c r="GP22" s="513" t="str">
        <f t="shared" si="179"/>
        <v/>
      </c>
      <c r="GQ22" s="513" t="str">
        <f t="shared" si="180"/>
        <v/>
      </c>
      <c r="GR22" s="513" t="str">
        <f t="shared" si="181"/>
        <v/>
      </c>
      <c r="GS22" s="513" t="str">
        <f t="shared" si="182"/>
        <v/>
      </c>
      <c r="GT22" s="513" t="str">
        <f t="shared" si="183"/>
        <v/>
      </c>
      <c r="GU22" s="513" t="str">
        <f t="shared" si="184"/>
        <v/>
      </c>
      <c r="GV22" s="513" t="str">
        <f t="shared" si="185"/>
        <v/>
      </c>
      <c r="GW22" s="513" t="str">
        <f t="shared" si="186"/>
        <v/>
      </c>
      <c r="GX22" s="513" t="str">
        <f t="shared" si="187"/>
        <v/>
      </c>
      <c r="GY22" s="513" t="str">
        <f t="shared" si="188"/>
        <v/>
      </c>
      <c r="GZ22" s="513" t="str">
        <f t="shared" si="189"/>
        <v/>
      </c>
      <c r="HA22" s="513" t="str">
        <f t="shared" si="190"/>
        <v/>
      </c>
      <c r="HB22" s="513" t="str">
        <f t="shared" si="191"/>
        <v/>
      </c>
      <c r="HC22" s="513" t="str">
        <f t="shared" si="192"/>
        <v/>
      </c>
      <c r="HD22" s="513" t="str">
        <f t="shared" si="193"/>
        <v/>
      </c>
      <c r="HE22" s="513" t="str">
        <f t="shared" si="194"/>
        <v/>
      </c>
      <c r="HF22" s="513" t="str">
        <f t="shared" si="195"/>
        <v/>
      </c>
      <c r="HG22" s="513" t="str">
        <f t="shared" si="196"/>
        <v/>
      </c>
      <c r="HH22" s="513" t="str">
        <f t="shared" si="197"/>
        <v/>
      </c>
      <c r="HI22" s="513" t="str">
        <f t="shared" si="198"/>
        <v/>
      </c>
      <c r="HJ22" s="513" t="str">
        <f t="shared" si="199"/>
        <v/>
      </c>
      <c r="HK22" s="513" t="str">
        <f t="shared" si="200"/>
        <v/>
      </c>
      <c r="HL22" s="513" t="str">
        <f t="shared" si="201"/>
        <v/>
      </c>
      <c r="HM22" s="513" t="str">
        <f t="shared" si="202"/>
        <v/>
      </c>
      <c r="HN22" s="513" t="str">
        <f t="shared" si="203"/>
        <v/>
      </c>
      <c r="HO22" s="513" t="str">
        <f t="shared" si="204"/>
        <v/>
      </c>
      <c r="HP22" s="513" t="str">
        <f t="shared" si="205"/>
        <v/>
      </c>
      <c r="HQ22" s="513" t="str">
        <f t="shared" si="206"/>
        <v/>
      </c>
      <c r="HR22" s="513" t="str">
        <f t="shared" si="207"/>
        <v/>
      </c>
      <c r="HS22" s="513" t="str">
        <f t="shared" si="208"/>
        <v/>
      </c>
      <c r="HT22" s="513" t="str">
        <f t="shared" si="209"/>
        <v/>
      </c>
      <c r="HU22" s="513" t="str">
        <f t="shared" si="210"/>
        <v/>
      </c>
      <c r="HV22" s="513" t="str">
        <f t="shared" si="211"/>
        <v/>
      </c>
      <c r="HW22" s="513" t="str">
        <f t="shared" si="212"/>
        <v/>
      </c>
      <c r="HX22" s="513" t="str">
        <f t="shared" si="213"/>
        <v/>
      </c>
      <c r="HY22" s="513" t="str">
        <f t="shared" si="214"/>
        <v/>
      </c>
      <c r="HZ22" s="513" t="str">
        <f t="shared" si="215"/>
        <v/>
      </c>
      <c r="IA22" s="513" t="str">
        <f t="shared" si="216"/>
        <v/>
      </c>
      <c r="IB22" s="513" t="str">
        <f t="shared" si="217"/>
        <v/>
      </c>
      <c r="IC22" s="513" t="str">
        <f t="shared" si="218"/>
        <v/>
      </c>
      <c r="ID22" s="514" t="str">
        <f t="shared" si="219"/>
        <v/>
      </c>
      <c r="IE22" s="514" t="str">
        <f t="shared" si="220"/>
        <v/>
      </c>
      <c r="IF22" s="514" t="str">
        <f t="shared" si="221"/>
        <v/>
      </c>
      <c r="IG22" s="514" t="str">
        <f t="shared" si="222"/>
        <v/>
      </c>
      <c r="IH22" s="514" t="str">
        <f t="shared" si="223"/>
        <v/>
      </c>
      <c r="II22" s="503" t="str">
        <f t="shared" si="224"/>
        <v/>
      </c>
      <c r="IJ22" s="503" t="str">
        <f t="shared" si="225"/>
        <v/>
      </c>
      <c r="IK22" s="503" t="str">
        <f t="shared" si="226"/>
        <v/>
      </c>
      <c r="IL22" s="503" t="str">
        <f t="shared" si="227"/>
        <v/>
      </c>
      <c r="IM22" s="503" t="str">
        <f t="shared" si="228"/>
        <v/>
      </c>
      <c r="IN22" s="503" t="str">
        <f t="shared" si="229"/>
        <v/>
      </c>
      <c r="IO22" s="503" t="str">
        <f t="shared" si="230"/>
        <v/>
      </c>
      <c r="IP22" s="503" t="str">
        <f t="shared" si="231"/>
        <v/>
      </c>
      <c r="IQ22" s="503" t="str">
        <f t="shared" si="232"/>
        <v/>
      </c>
      <c r="IR22" s="503" t="str">
        <f t="shared" si="233"/>
        <v/>
      </c>
      <c r="IS22" s="503" t="str">
        <f t="shared" si="234"/>
        <v/>
      </c>
      <c r="IT22" s="503" t="str">
        <f t="shared" si="235"/>
        <v/>
      </c>
      <c r="IU22" s="503" t="str">
        <f t="shared" si="236"/>
        <v/>
      </c>
      <c r="IV22" s="503" t="str">
        <f t="shared" si="237"/>
        <v/>
      </c>
      <c r="IW22" s="503" t="str">
        <f t="shared" si="238"/>
        <v/>
      </c>
      <c r="IX22" s="503" t="str">
        <f t="shared" si="239"/>
        <v/>
      </c>
      <c r="IY22" s="503" t="str">
        <f t="shared" si="240"/>
        <v/>
      </c>
      <c r="IZ22" s="503" t="str">
        <f t="shared" si="241"/>
        <v/>
      </c>
      <c r="JA22" s="503" t="str">
        <f t="shared" si="242"/>
        <v/>
      </c>
      <c r="JB22" s="503" t="str">
        <f t="shared" si="243"/>
        <v/>
      </c>
      <c r="JC22" s="512">
        <f t="shared" si="244"/>
        <v>0</v>
      </c>
      <c r="JD22" s="512">
        <f t="shared" si="245"/>
        <v>0</v>
      </c>
      <c r="JE22" s="512">
        <f t="shared" si="246"/>
        <v>0</v>
      </c>
      <c r="JF22" s="512">
        <f t="shared" si="247"/>
        <v>0</v>
      </c>
      <c r="JG22" s="512">
        <f t="shared" si="248"/>
        <v>0</v>
      </c>
      <c r="JH22" s="512">
        <f t="shared" si="249"/>
        <v>0</v>
      </c>
      <c r="JI22" s="512">
        <f t="shared" si="250"/>
        <v>0</v>
      </c>
      <c r="JJ22" s="512">
        <f t="shared" si="251"/>
        <v>0</v>
      </c>
      <c r="JK22" s="512">
        <f t="shared" si="252"/>
        <v>0</v>
      </c>
      <c r="JL22" s="512">
        <f t="shared" si="253"/>
        <v>0</v>
      </c>
      <c r="JM22" s="512">
        <f t="shared" si="254"/>
        <v>0</v>
      </c>
      <c r="JN22" s="512">
        <f t="shared" si="255"/>
        <v>0</v>
      </c>
      <c r="JO22" s="512">
        <f t="shared" si="256"/>
        <v>0</v>
      </c>
      <c r="JP22" s="512">
        <f t="shared" si="257"/>
        <v>0</v>
      </c>
      <c r="JQ22" s="512">
        <f t="shared" si="258"/>
        <v>0</v>
      </c>
    </row>
    <row r="23" spans="1:277" ht="12" customHeight="1">
      <c r="A23" s="115" t="str">
        <f t="shared" si="0"/>
        <v/>
      </c>
      <c r="B23" s="3218" t="s">
        <v>1847</v>
      </c>
      <c r="C23" s="3219"/>
      <c r="D23" s="3220"/>
      <c r="E23" s="3221"/>
      <c r="F23" s="3221"/>
      <c r="G23" s="3221"/>
      <c r="H23" s="3221"/>
      <c r="I23" s="3221"/>
      <c r="J23" s="3222"/>
      <c r="K23" s="859">
        <f t="shared" si="1"/>
        <v>0</v>
      </c>
      <c r="L23" s="859">
        <f t="shared" si="2"/>
        <v>0</v>
      </c>
      <c r="M23" s="3223"/>
      <c r="N23" s="3223"/>
      <c r="O23" s="3223"/>
      <c r="P23" s="3224"/>
      <c r="Q23" s="1384" t="str">
        <f t="shared" si="3"/>
        <v/>
      </c>
      <c r="R23" s="1385" t="str">
        <f>IF(H23="","",IF(C23="Efficiency",Q23/($O$6*VLOOKUP(0,'DCA Underwriting Assumptions'!$J$132:$K$137,2,FALSE)),Q23/($O$6*VLOOKUP(C23,'DCA Underwriting Assumptions'!$J$132:$K$137,2,FALSE))))</f>
        <v/>
      </c>
      <c r="S23" s="1386"/>
      <c r="T23" s="1387"/>
      <c r="U23" s="3225"/>
      <c r="V23" s="3156"/>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461" t="str">
        <f t="shared" si="134"/>
        <v/>
      </c>
      <c r="EX23" s="513" t="str">
        <f t="shared" si="135"/>
        <v/>
      </c>
      <c r="EY23" s="513" t="str">
        <f t="shared" si="136"/>
        <v/>
      </c>
      <c r="EZ23" s="513" t="str">
        <f t="shared" si="137"/>
        <v/>
      </c>
      <c r="FA23" s="513" t="str">
        <f t="shared" si="138"/>
        <v/>
      </c>
      <c r="FB23" s="513" t="str">
        <f t="shared" si="139"/>
        <v/>
      </c>
      <c r="FC23" s="513" t="str">
        <f t="shared" si="140"/>
        <v/>
      </c>
      <c r="FD23" s="513" t="str">
        <f t="shared" si="141"/>
        <v/>
      </c>
      <c r="FE23" s="513" t="str">
        <f t="shared" si="142"/>
        <v/>
      </c>
      <c r="FF23" s="513" t="str">
        <f t="shared" si="143"/>
        <v/>
      </c>
      <c r="FG23" s="513" t="str">
        <f t="shared" si="144"/>
        <v/>
      </c>
      <c r="FH23" s="513" t="str">
        <f t="shared" si="145"/>
        <v/>
      </c>
      <c r="FI23" s="513" t="str">
        <f t="shared" si="146"/>
        <v/>
      </c>
      <c r="FJ23" s="513" t="str">
        <f t="shared" si="147"/>
        <v/>
      </c>
      <c r="FK23" s="513" t="str">
        <f t="shared" si="148"/>
        <v/>
      </c>
      <c r="FL23" s="513" t="str">
        <f t="shared" si="149"/>
        <v/>
      </c>
      <c r="FM23" s="513" t="str">
        <f t="shared" si="150"/>
        <v/>
      </c>
      <c r="FN23" s="513" t="str">
        <f t="shared" si="151"/>
        <v/>
      </c>
      <c r="FO23" s="513" t="str">
        <f t="shared" si="152"/>
        <v/>
      </c>
      <c r="FP23" s="513" t="str">
        <f t="shared" si="153"/>
        <v/>
      </c>
      <c r="FQ23" s="513" t="str">
        <f t="shared" si="154"/>
        <v/>
      </c>
      <c r="FR23" s="513" t="str">
        <f t="shared" si="155"/>
        <v/>
      </c>
      <c r="FS23" s="513" t="str">
        <f t="shared" si="156"/>
        <v/>
      </c>
      <c r="FT23" s="513" t="str">
        <f t="shared" si="157"/>
        <v/>
      </c>
      <c r="FU23" s="513" t="str">
        <f t="shared" si="158"/>
        <v/>
      </c>
      <c r="FV23" s="513" t="str">
        <f t="shared" si="159"/>
        <v/>
      </c>
      <c r="FW23" s="513" t="str">
        <f t="shared" si="160"/>
        <v/>
      </c>
      <c r="FX23" s="513" t="str">
        <f t="shared" si="161"/>
        <v/>
      </c>
      <c r="FY23" s="513" t="str">
        <f t="shared" si="162"/>
        <v/>
      </c>
      <c r="FZ23" s="513" t="str">
        <f t="shared" si="163"/>
        <v/>
      </c>
      <c r="GA23" s="513" t="str">
        <f t="shared" si="164"/>
        <v/>
      </c>
      <c r="GB23" s="513" t="str">
        <f t="shared" si="165"/>
        <v/>
      </c>
      <c r="GC23" s="513" t="str">
        <f t="shared" si="166"/>
        <v/>
      </c>
      <c r="GD23" s="513" t="str">
        <f t="shared" si="167"/>
        <v/>
      </c>
      <c r="GE23" s="513" t="str">
        <f t="shared" si="168"/>
        <v/>
      </c>
      <c r="GF23" s="513" t="str">
        <f t="shared" si="169"/>
        <v/>
      </c>
      <c r="GG23" s="513" t="str">
        <f t="shared" si="170"/>
        <v/>
      </c>
      <c r="GH23" s="513" t="str">
        <f t="shared" si="171"/>
        <v/>
      </c>
      <c r="GI23" s="513" t="str">
        <f t="shared" si="172"/>
        <v/>
      </c>
      <c r="GJ23" s="513" t="str">
        <f t="shared" si="173"/>
        <v/>
      </c>
      <c r="GK23" s="513" t="str">
        <f t="shared" si="174"/>
        <v/>
      </c>
      <c r="GL23" s="513" t="str">
        <f t="shared" si="175"/>
        <v/>
      </c>
      <c r="GM23" s="513" t="str">
        <f t="shared" si="176"/>
        <v/>
      </c>
      <c r="GN23" s="513" t="str">
        <f t="shared" si="177"/>
        <v/>
      </c>
      <c r="GO23" s="513" t="str">
        <f t="shared" si="178"/>
        <v/>
      </c>
      <c r="GP23" s="513" t="str">
        <f t="shared" si="179"/>
        <v/>
      </c>
      <c r="GQ23" s="513" t="str">
        <f t="shared" si="180"/>
        <v/>
      </c>
      <c r="GR23" s="513" t="str">
        <f t="shared" si="181"/>
        <v/>
      </c>
      <c r="GS23" s="513" t="str">
        <f t="shared" si="182"/>
        <v/>
      </c>
      <c r="GT23" s="513" t="str">
        <f t="shared" si="183"/>
        <v/>
      </c>
      <c r="GU23" s="513" t="str">
        <f t="shared" si="184"/>
        <v/>
      </c>
      <c r="GV23" s="513" t="str">
        <f t="shared" si="185"/>
        <v/>
      </c>
      <c r="GW23" s="513" t="str">
        <f t="shared" si="186"/>
        <v/>
      </c>
      <c r="GX23" s="513" t="str">
        <f t="shared" si="187"/>
        <v/>
      </c>
      <c r="GY23" s="513" t="str">
        <f t="shared" si="188"/>
        <v/>
      </c>
      <c r="GZ23" s="513" t="str">
        <f t="shared" si="189"/>
        <v/>
      </c>
      <c r="HA23" s="513" t="str">
        <f t="shared" si="190"/>
        <v/>
      </c>
      <c r="HB23" s="513" t="str">
        <f t="shared" si="191"/>
        <v/>
      </c>
      <c r="HC23" s="513" t="str">
        <f t="shared" si="192"/>
        <v/>
      </c>
      <c r="HD23" s="513" t="str">
        <f t="shared" si="193"/>
        <v/>
      </c>
      <c r="HE23" s="513" t="str">
        <f t="shared" si="194"/>
        <v/>
      </c>
      <c r="HF23" s="513" t="str">
        <f t="shared" si="195"/>
        <v/>
      </c>
      <c r="HG23" s="513" t="str">
        <f t="shared" si="196"/>
        <v/>
      </c>
      <c r="HH23" s="513" t="str">
        <f t="shared" si="197"/>
        <v/>
      </c>
      <c r="HI23" s="513" t="str">
        <f t="shared" si="198"/>
        <v/>
      </c>
      <c r="HJ23" s="513" t="str">
        <f t="shared" si="199"/>
        <v/>
      </c>
      <c r="HK23" s="513" t="str">
        <f t="shared" si="200"/>
        <v/>
      </c>
      <c r="HL23" s="513" t="str">
        <f t="shared" si="201"/>
        <v/>
      </c>
      <c r="HM23" s="513" t="str">
        <f t="shared" si="202"/>
        <v/>
      </c>
      <c r="HN23" s="513" t="str">
        <f t="shared" si="203"/>
        <v/>
      </c>
      <c r="HO23" s="513" t="str">
        <f t="shared" si="204"/>
        <v/>
      </c>
      <c r="HP23" s="513" t="str">
        <f t="shared" si="205"/>
        <v/>
      </c>
      <c r="HQ23" s="513" t="str">
        <f t="shared" si="206"/>
        <v/>
      </c>
      <c r="HR23" s="513" t="str">
        <f t="shared" si="207"/>
        <v/>
      </c>
      <c r="HS23" s="513" t="str">
        <f t="shared" si="208"/>
        <v/>
      </c>
      <c r="HT23" s="513" t="str">
        <f t="shared" si="209"/>
        <v/>
      </c>
      <c r="HU23" s="513" t="str">
        <f t="shared" si="210"/>
        <v/>
      </c>
      <c r="HV23" s="513" t="str">
        <f t="shared" si="211"/>
        <v/>
      </c>
      <c r="HW23" s="513" t="str">
        <f t="shared" si="212"/>
        <v/>
      </c>
      <c r="HX23" s="513" t="str">
        <f t="shared" si="213"/>
        <v/>
      </c>
      <c r="HY23" s="513" t="str">
        <f t="shared" si="214"/>
        <v/>
      </c>
      <c r="HZ23" s="513" t="str">
        <f t="shared" si="215"/>
        <v/>
      </c>
      <c r="IA23" s="513" t="str">
        <f t="shared" si="216"/>
        <v/>
      </c>
      <c r="IB23" s="513" t="str">
        <f t="shared" si="217"/>
        <v/>
      </c>
      <c r="IC23" s="513" t="str">
        <f t="shared" si="218"/>
        <v/>
      </c>
      <c r="ID23" s="514" t="str">
        <f t="shared" si="219"/>
        <v/>
      </c>
      <c r="IE23" s="514" t="str">
        <f t="shared" si="220"/>
        <v/>
      </c>
      <c r="IF23" s="514" t="str">
        <f t="shared" si="221"/>
        <v/>
      </c>
      <c r="IG23" s="514" t="str">
        <f t="shared" si="222"/>
        <v/>
      </c>
      <c r="IH23" s="514" t="str">
        <f t="shared" si="223"/>
        <v/>
      </c>
      <c r="II23" s="503" t="str">
        <f t="shared" si="224"/>
        <v/>
      </c>
      <c r="IJ23" s="503" t="str">
        <f t="shared" si="225"/>
        <v/>
      </c>
      <c r="IK23" s="503" t="str">
        <f t="shared" si="226"/>
        <v/>
      </c>
      <c r="IL23" s="503" t="str">
        <f t="shared" si="227"/>
        <v/>
      </c>
      <c r="IM23" s="503" t="str">
        <f t="shared" si="228"/>
        <v/>
      </c>
      <c r="IN23" s="503" t="str">
        <f t="shared" si="229"/>
        <v/>
      </c>
      <c r="IO23" s="503" t="str">
        <f t="shared" si="230"/>
        <v/>
      </c>
      <c r="IP23" s="503" t="str">
        <f t="shared" si="231"/>
        <v/>
      </c>
      <c r="IQ23" s="503" t="str">
        <f t="shared" si="232"/>
        <v/>
      </c>
      <c r="IR23" s="503" t="str">
        <f t="shared" si="233"/>
        <v/>
      </c>
      <c r="IS23" s="503" t="str">
        <f t="shared" si="234"/>
        <v/>
      </c>
      <c r="IT23" s="503" t="str">
        <f t="shared" si="235"/>
        <v/>
      </c>
      <c r="IU23" s="503" t="str">
        <f t="shared" si="236"/>
        <v/>
      </c>
      <c r="IV23" s="503" t="str">
        <f t="shared" si="237"/>
        <v/>
      </c>
      <c r="IW23" s="503" t="str">
        <f t="shared" si="238"/>
        <v/>
      </c>
      <c r="IX23" s="503" t="str">
        <f t="shared" si="239"/>
        <v/>
      </c>
      <c r="IY23" s="503" t="str">
        <f t="shared" si="240"/>
        <v/>
      </c>
      <c r="IZ23" s="503" t="str">
        <f t="shared" si="241"/>
        <v/>
      </c>
      <c r="JA23" s="503" t="str">
        <f t="shared" si="242"/>
        <v/>
      </c>
      <c r="JB23" s="503" t="str">
        <f t="shared" si="243"/>
        <v/>
      </c>
      <c r="JC23" s="512">
        <f t="shared" si="244"/>
        <v>0</v>
      </c>
      <c r="JD23" s="512">
        <f t="shared" si="245"/>
        <v>0</v>
      </c>
      <c r="JE23" s="512">
        <f t="shared" si="246"/>
        <v>0</v>
      </c>
      <c r="JF23" s="512">
        <f t="shared" si="247"/>
        <v>0</v>
      </c>
      <c r="JG23" s="512">
        <f t="shared" si="248"/>
        <v>0</v>
      </c>
      <c r="JH23" s="512">
        <f t="shared" si="249"/>
        <v>0</v>
      </c>
      <c r="JI23" s="512">
        <f t="shared" si="250"/>
        <v>0</v>
      </c>
      <c r="JJ23" s="512">
        <f t="shared" si="251"/>
        <v>0</v>
      </c>
      <c r="JK23" s="512">
        <f t="shared" si="252"/>
        <v>0</v>
      </c>
      <c r="JL23" s="512">
        <f t="shared" si="253"/>
        <v>0</v>
      </c>
      <c r="JM23" s="512">
        <f t="shared" si="254"/>
        <v>0</v>
      </c>
      <c r="JN23" s="512">
        <f t="shared" si="255"/>
        <v>0</v>
      </c>
      <c r="JO23" s="512">
        <f t="shared" si="256"/>
        <v>0</v>
      </c>
      <c r="JP23" s="512">
        <f t="shared" si="257"/>
        <v>0</v>
      </c>
      <c r="JQ23" s="512">
        <f t="shared" si="258"/>
        <v>0</v>
      </c>
    </row>
    <row r="24" spans="1:277" ht="12" customHeight="1">
      <c r="A24" s="115" t="str">
        <f t="shared" si="0"/>
        <v/>
      </c>
      <c r="B24" s="3218" t="s">
        <v>1847</v>
      </c>
      <c r="C24" s="3219"/>
      <c r="D24" s="3220"/>
      <c r="E24" s="3221"/>
      <c r="F24" s="3221"/>
      <c r="G24" s="3221"/>
      <c r="H24" s="3221"/>
      <c r="I24" s="3221"/>
      <c r="J24" s="3222"/>
      <c r="K24" s="859">
        <f t="shared" si="1"/>
        <v>0</v>
      </c>
      <c r="L24" s="859">
        <f t="shared" si="2"/>
        <v>0</v>
      </c>
      <c r="M24" s="3223"/>
      <c r="N24" s="3223"/>
      <c r="O24" s="3223"/>
      <c r="P24" s="3224"/>
      <c r="Q24" s="1384" t="str">
        <f t="shared" si="3"/>
        <v/>
      </c>
      <c r="R24" s="1385" t="str">
        <f>IF(H24="","",IF(C24="Efficiency",Q24/($O$6*VLOOKUP(0,'DCA Underwriting Assumptions'!$J$132:$K$137,2,FALSE)),Q24/($O$6*VLOOKUP(C24,'DCA Underwriting Assumptions'!$J$132:$K$137,2,FALSE))))</f>
        <v/>
      </c>
      <c r="S24" s="1386"/>
      <c r="T24" s="1387"/>
      <c r="U24" s="3225"/>
      <c r="V24" s="3156"/>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461" t="str">
        <f t="shared" si="134"/>
        <v/>
      </c>
      <c r="EX24" s="513" t="str">
        <f t="shared" si="135"/>
        <v/>
      </c>
      <c r="EY24" s="513" t="str">
        <f t="shared" si="136"/>
        <v/>
      </c>
      <c r="EZ24" s="513" t="str">
        <f t="shared" si="137"/>
        <v/>
      </c>
      <c r="FA24" s="513" t="str">
        <f t="shared" si="138"/>
        <v/>
      </c>
      <c r="FB24" s="513" t="str">
        <f t="shared" si="139"/>
        <v/>
      </c>
      <c r="FC24" s="513" t="str">
        <f t="shared" si="140"/>
        <v/>
      </c>
      <c r="FD24" s="513" t="str">
        <f t="shared" si="141"/>
        <v/>
      </c>
      <c r="FE24" s="513" t="str">
        <f t="shared" si="142"/>
        <v/>
      </c>
      <c r="FF24" s="513" t="str">
        <f t="shared" si="143"/>
        <v/>
      </c>
      <c r="FG24" s="513" t="str">
        <f t="shared" si="144"/>
        <v/>
      </c>
      <c r="FH24" s="513" t="str">
        <f t="shared" si="145"/>
        <v/>
      </c>
      <c r="FI24" s="513" t="str">
        <f t="shared" si="146"/>
        <v/>
      </c>
      <c r="FJ24" s="513" t="str">
        <f t="shared" si="147"/>
        <v/>
      </c>
      <c r="FK24" s="513" t="str">
        <f t="shared" si="148"/>
        <v/>
      </c>
      <c r="FL24" s="513" t="str">
        <f t="shared" si="149"/>
        <v/>
      </c>
      <c r="FM24" s="513" t="str">
        <f t="shared" si="150"/>
        <v/>
      </c>
      <c r="FN24" s="513" t="str">
        <f t="shared" si="151"/>
        <v/>
      </c>
      <c r="FO24" s="513" t="str">
        <f t="shared" si="152"/>
        <v/>
      </c>
      <c r="FP24" s="513" t="str">
        <f t="shared" si="153"/>
        <v/>
      </c>
      <c r="FQ24" s="513" t="str">
        <f t="shared" si="154"/>
        <v/>
      </c>
      <c r="FR24" s="513" t="str">
        <f t="shared" si="155"/>
        <v/>
      </c>
      <c r="FS24" s="513" t="str">
        <f t="shared" si="156"/>
        <v/>
      </c>
      <c r="FT24" s="513" t="str">
        <f t="shared" si="157"/>
        <v/>
      </c>
      <c r="FU24" s="513" t="str">
        <f t="shared" si="158"/>
        <v/>
      </c>
      <c r="FV24" s="513" t="str">
        <f t="shared" si="159"/>
        <v/>
      </c>
      <c r="FW24" s="513" t="str">
        <f t="shared" si="160"/>
        <v/>
      </c>
      <c r="FX24" s="513" t="str">
        <f t="shared" si="161"/>
        <v/>
      </c>
      <c r="FY24" s="513" t="str">
        <f t="shared" si="162"/>
        <v/>
      </c>
      <c r="FZ24" s="513" t="str">
        <f t="shared" si="163"/>
        <v/>
      </c>
      <c r="GA24" s="513" t="str">
        <f t="shared" si="164"/>
        <v/>
      </c>
      <c r="GB24" s="513" t="str">
        <f t="shared" si="165"/>
        <v/>
      </c>
      <c r="GC24" s="513" t="str">
        <f t="shared" si="166"/>
        <v/>
      </c>
      <c r="GD24" s="513" t="str">
        <f t="shared" si="167"/>
        <v/>
      </c>
      <c r="GE24" s="513" t="str">
        <f t="shared" si="168"/>
        <v/>
      </c>
      <c r="GF24" s="513" t="str">
        <f t="shared" si="169"/>
        <v/>
      </c>
      <c r="GG24" s="513" t="str">
        <f t="shared" si="170"/>
        <v/>
      </c>
      <c r="GH24" s="513" t="str">
        <f t="shared" si="171"/>
        <v/>
      </c>
      <c r="GI24" s="513" t="str">
        <f t="shared" si="172"/>
        <v/>
      </c>
      <c r="GJ24" s="513" t="str">
        <f t="shared" si="173"/>
        <v/>
      </c>
      <c r="GK24" s="513" t="str">
        <f t="shared" si="174"/>
        <v/>
      </c>
      <c r="GL24" s="513" t="str">
        <f t="shared" si="175"/>
        <v/>
      </c>
      <c r="GM24" s="513" t="str">
        <f t="shared" si="176"/>
        <v/>
      </c>
      <c r="GN24" s="513" t="str">
        <f t="shared" si="177"/>
        <v/>
      </c>
      <c r="GO24" s="513" t="str">
        <f t="shared" si="178"/>
        <v/>
      </c>
      <c r="GP24" s="513" t="str">
        <f t="shared" si="179"/>
        <v/>
      </c>
      <c r="GQ24" s="513" t="str">
        <f t="shared" si="180"/>
        <v/>
      </c>
      <c r="GR24" s="513" t="str">
        <f t="shared" si="181"/>
        <v/>
      </c>
      <c r="GS24" s="513" t="str">
        <f t="shared" si="182"/>
        <v/>
      </c>
      <c r="GT24" s="513" t="str">
        <f t="shared" si="183"/>
        <v/>
      </c>
      <c r="GU24" s="513" t="str">
        <f t="shared" si="184"/>
        <v/>
      </c>
      <c r="GV24" s="513" t="str">
        <f t="shared" si="185"/>
        <v/>
      </c>
      <c r="GW24" s="513" t="str">
        <f t="shared" si="186"/>
        <v/>
      </c>
      <c r="GX24" s="513" t="str">
        <f t="shared" si="187"/>
        <v/>
      </c>
      <c r="GY24" s="513" t="str">
        <f t="shared" si="188"/>
        <v/>
      </c>
      <c r="GZ24" s="513" t="str">
        <f t="shared" si="189"/>
        <v/>
      </c>
      <c r="HA24" s="513" t="str">
        <f t="shared" si="190"/>
        <v/>
      </c>
      <c r="HB24" s="513" t="str">
        <f t="shared" si="191"/>
        <v/>
      </c>
      <c r="HC24" s="513" t="str">
        <f t="shared" si="192"/>
        <v/>
      </c>
      <c r="HD24" s="513" t="str">
        <f t="shared" si="193"/>
        <v/>
      </c>
      <c r="HE24" s="513" t="str">
        <f t="shared" si="194"/>
        <v/>
      </c>
      <c r="HF24" s="513" t="str">
        <f t="shared" si="195"/>
        <v/>
      </c>
      <c r="HG24" s="513" t="str">
        <f t="shared" si="196"/>
        <v/>
      </c>
      <c r="HH24" s="513" t="str">
        <f t="shared" si="197"/>
        <v/>
      </c>
      <c r="HI24" s="513" t="str">
        <f t="shared" si="198"/>
        <v/>
      </c>
      <c r="HJ24" s="513" t="str">
        <f t="shared" si="199"/>
        <v/>
      </c>
      <c r="HK24" s="513" t="str">
        <f t="shared" si="200"/>
        <v/>
      </c>
      <c r="HL24" s="513" t="str">
        <f t="shared" si="201"/>
        <v/>
      </c>
      <c r="HM24" s="513" t="str">
        <f t="shared" si="202"/>
        <v/>
      </c>
      <c r="HN24" s="513" t="str">
        <f t="shared" si="203"/>
        <v/>
      </c>
      <c r="HO24" s="513" t="str">
        <f t="shared" si="204"/>
        <v/>
      </c>
      <c r="HP24" s="513" t="str">
        <f t="shared" si="205"/>
        <v/>
      </c>
      <c r="HQ24" s="513" t="str">
        <f t="shared" si="206"/>
        <v/>
      </c>
      <c r="HR24" s="513" t="str">
        <f t="shared" si="207"/>
        <v/>
      </c>
      <c r="HS24" s="513" t="str">
        <f t="shared" si="208"/>
        <v/>
      </c>
      <c r="HT24" s="513" t="str">
        <f t="shared" si="209"/>
        <v/>
      </c>
      <c r="HU24" s="513" t="str">
        <f t="shared" si="210"/>
        <v/>
      </c>
      <c r="HV24" s="513" t="str">
        <f t="shared" si="211"/>
        <v/>
      </c>
      <c r="HW24" s="513" t="str">
        <f t="shared" si="212"/>
        <v/>
      </c>
      <c r="HX24" s="513" t="str">
        <f t="shared" si="213"/>
        <v/>
      </c>
      <c r="HY24" s="513" t="str">
        <f t="shared" si="214"/>
        <v/>
      </c>
      <c r="HZ24" s="513" t="str">
        <f t="shared" si="215"/>
        <v/>
      </c>
      <c r="IA24" s="513" t="str">
        <f t="shared" si="216"/>
        <v/>
      </c>
      <c r="IB24" s="513" t="str">
        <f t="shared" si="217"/>
        <v/>
      </c>
      <c r="IC24" s="513" t="str">
        <f t="shared" si="218"/>
        <v/>
      </c>
      <c r="ID24" s="514" t="str">
        <f t="shared" si="219"/>
        <v/>
      </c>
      <c r="IE24" s="514" t="str">
        <f t="shared" si="220"/>
        <v/>
      </c>
      <c r="IF24" s="514" t="str">
        <f t="shared" si="221"/>
        <v/>
      </c>
      <c r="IG24" s="514" t="str">
        <f t="shared" si="222"/>
        <v/>
      </c>
      <c r="IH24" s="514" t="str">
        <f t="shared" si="223"/>
        <v/>
      </c>
      <c r="II24" s="503" t="str">
        <f t="shared" si="224"/>
        <v/>
      </c>
      <c r="IJ24" s="503" t="str">
        <f t="shared" si="225"/>
        <v/>
      </c>
      <c r="IK24" s="503" t="str">
        <f t="shared" si="226"/>
        <v/>
      </c>
      <c r="IL24" s="503" t="str">
        <f t="shared" si="227"/>
        <v/>
      </c>
      <c r="IM24" s="503" t="str">
        <f t="shared" si="228"/>
        <v/>
      </c>
      <c r="IN24" s="503" t="str">
        <f t="shared" si="229"/>
        <v/>
      </c>
      <c r="IO24" s="503" t="str">
        <f t="shared" si="230"/>
        <v/>
      </c>
      <c r="IP24" s="503" t="str">
        <f t="shared" si="231"/>
        <v/>
      </c>
      <c r="IQ24" s="503" t="str">
        <f t="shared" si="232"/>
        <v/>
      </c>
      <c r="IR24" s="503" t="str">
        <f t="shared" si="233"/>
        <v/>
      </c>
      <c r="IS24" s="503" t="str">
        <f t="shared" si="234"/>
        <v/>
      </c>
      <c r="IT24" s="503" t="str">
        <f t="shared" si="235"/>
        <v/>
      </c>
      <c r="IU24" s="503" t="str">
        <f t="shared" si="236"/>
        <v/>
      </c>
      <c r="IV24" s="503" t="str">
        <f t="shared" si="237"/>
        <v/>
      </c>
      <c r="IW24" s="503" t="str">
        <f t="shared" si="238"/>
        <v/>
      </c>
      <c r="IX24" s="503" t="str">
        <f t="shared" si="239"/>
        <v/>
      </c>
      <c r="IY24" s="503" t="str">
        <f t="shared" si="240"/>
        <v/>
      </c>
      <c r="IZ24" s="503" t="str">
        <f t="shared" si="241"/>
        <v/>
      </c>
      <c r="JA24" s="503" t="str">
        <f t="shared" si="242"/>
        <v/>
      </c>
      <c r="JB24" s="503" t="str">
        <f t="shared" si="243"/>
        <v/>
      </c>
      <c r="JC24" s="512">
        <f t="shared" si="244"/>
        <v>0</v>
      </c>
      <c r="JD24" s="512">
        <f t="shared" si="245"/>
        <v>0</v>
      </c>
      <c r="JE24" s="512">
        <f t="shared" si="246"/>
        <v>0</v>
      </c>
      <c r="JF24" s="512">
        <f t="shared" si="247"/>
        <v>0</v>
      </c>
      <c r="JG24" s="512">
        <f t="shared" si="248"/>
        <v>0</v>
      </c>
      <c r="JH24" s="512">
        <f t="shared" si="249"/>
        <v>0</v>
      </c>
      <c r="JI24" s="512">
        <f t="shared" si="250"/>
        <v>0</v>
      </c>
      <c r="JJ24" s="512">
        <f t="shared" si="251"/>
        <v>0</v>
      </c>
      <c r="JK24" s="512">
        <f t="shared" si="252"/>
        <v>0</v>
      </c>
      <c r="JL24" s="512">
        <f t="shared" si="253"/>
        <v>0</v>
      </c>
      <c r="JM24" s="512">
        <f t="shared" si="254"/>
        <v>0</v>
      </c>
      <c r="JN24" s="512">
        <f t="shared" si="255"/>
        <v>0</v>
      </c>
      <c r="JO24" s="512">
        <f t="shared" si="256"/>
        <v>0</v>
      </c>
      <c r="JP24" s="512">
        <f t="shared" si="257"/>
        <v>0</v>
      </c>
      <c r="JQ24" s="512">
        <f t="shared" si="258"/>
        <v>0</v>
      </c>
    </row>
    <row r="25" spans="1:277" ht="12" customHeight="1">
      <c r="A25" s="115" t="str">
        <f t="shared" si="0"/>
        <v/>
      </c>
      <c r="B25" s="3218" t="s">
        <v>1847</v>
      </c>
      <c r="C25" s="3219"/>
      <c r="D25" s="3220"/>
      <c r="E25" s="3221"/>
      <c r="F25" s="3221"/>
      <c r="G25" s="3221"/>
      <c r="H25" s="3221"/>
      <c r="I25" s="3221"/>
      <c r="J25" s="3222"/>
      <c r="K25" s="859">
        <f t="shared" si="1"/>
        <v>0</v>
      </c>
      <c r="L25" s="859">
        <f t="shared" si="2"/>
        <v>0</v>
      </c>
      <c r="M25" s="3223"/>
      <c r="N25" s="3223"/>
      <c r="O25" s="3223"/>
      <c r="P25" s="3224"/>
      <c r="Q25" s="1384" t="str">
        <f t="shared" si="3"/>
        <v/>
      </c>
      <c r="R25" s="1385" t="str">
        <f>IF(H25="","",IF(C25="Efficiency",Q25/($O$6*VLOOKUP(0,'DCA Underwriting Assumptions'!$J$132:$K$137,2,FALSE)),Q25/($O$6*VLOOKUP(C25,'DCA Underwriting Assumptions'!$J$132:$K$137,2,FALSE))))</f>
        <v/>
      </c>
      <c r="S25" s="1386"/>
      <c r="T25" s="1387"/>
      <c r="U25" s="3225"/>
      <c r="V25" s="3156"/>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461" t="str">
        <f t="shared" si="134"/>
        <v/>
      </c>
      <c r="EX25" s="513" t="str">
        <f t="shared" si="135"/>
        <v/>
      </c>
      <c r="EY25" s="513" t="str">
        <f t="shared" si="136"/>
        <v/>
      </c>
      <c r="EZ25" s="513" t="str">
        <f t="shared" si="137"/>
        <v/>
      </c>
      <c r="FA25" s="513" t="str">
        <f t="shared" si="138"/>
        <v/>
      </c>
      <c r="FB25" s="513" t="str">
        <f t="shared" si="139"/>
        <v/>
      </c>
      <c r="FC25" s="513" t="str">
        <f t="shared" si="140"/>
        <v/>
      </c>
      <c r="FD25" s="513" t="str">
        <f t="shared" si="141"/>
        <v/>
      </c>
      <c r="FE25" s="513" t="str">
        <f t="shared" si="142"/>
        <v/>
      </c>
      <c r="FF25" s="513" t="str">
        <f t="shared" si="143"/>
        <v/>
      </c>
      <c r="FG25" s="513" t="str">
        <f t="shared" si="144"/>
        <v/>
      </c>
      <c r="FH25" s="513" t="str">
        <f t="shared" si="145"/>
        <v/>
      </c>
      <c r="FI25" s="513" t="str">
        <f t="shared" si="146"/>
        <v/>
      </c>
      <c r="FJ25" s="513" t="str">
        <f t="shared" si="147"/>
        <v/>
      </c>
      <c r="FK25" s="513" t="str">
        <f t="shared" si="148"/>
        <v/>
      </c>
      <c r="FL25" s="513" t="str">
        <f t="shared" si="149"/>
        <v/>
      </c>
      <c r="FM25" s="513" t="str">
        <f t="shared" si="150"/>
        <v/>
      </c>
      <c r="FN25" s="513" t="str">
        <f t="shared" si="151"/>
        <v/>
      </c>
      <c r="FO25" s="513" t="str">
        <f t="shared" si="152"/>
        <v/>
      </c>
      <c r="FP25" s="513" t="str">
        <f t="shared" si="153"/>
        <v/>
      </c>
      <c r="FQ25" s="513" t="str">
        <f t="shared" si="154"/>
        <v/>
      </c>
      <c r="FR25" s="513" t="str">
        <f t="shared" si="155"/>
        <v/>
      </c>
      <c r="FS25" s="513" t="str">
        <f t="shared" si="156"/>
        <v/>
      </c>
      <c r="FT25" s="513" t="str">
        <f t="shared" si="157"/>
        <v/>
      </c>
      <c r="FU25" s="513" t="str">
        <f t="shared" si="158"/>
        <v/>
      </c>
      <c r="FV25" s="513" t="str">
        <f t="shared" si="159"/>
        <v/>
      </c>
      <c r="FW25" s="513" t="str">
        <f t="shared" si="160"/>
        <v/>
      </c>
      <c r="FX25" s="513" t="str">
        <f t="shared" si="161"/>
        <v/>
      </c>
      <c r="FY25" s="513" t="str">
        <f t="shared" si="162"/>
        <v/>
      </c>
      <c r="FZ25" s="513" t="str">
        <f t="shared" si="163"/>
        <v/>
      </c>
      <c r="GA25" s="513" t="str">
        <f t="shared" si="164"/>
        <v/>
      </c>
      <c r="GB25" s="513" t="str">
        <f t="shared" si="165"/>
        <v/>
      </c>
      <c r="GC25" s="513" t="str">
        <f t="shared" si="166"/>
        <v/>
      </c>
      <c r="GD25" s="513" t="str">
        <f t="shared" si="167"/>
        <v/>
      </c>
      <c r="GE25" s="513" t="str">
        <f t="shared" si="168"/>
        <v/>
      </c>
      <c r="GF25" s="513" t="str">
        <f t="shared" si="169"/>
        <v/>
      </c>
      <c r="GG25" s="513" t="str">
        <f t="shared" si="170"/>
        <v/>
      </c>
      <c r="GH25" s="513" t="str">
        <f t="shared" si="171"/>
        <v/>
      </c>
      <c r="GI25" s="513" t="str">
        <f t="shared" si="172"/>
        <v/>
      </c>
      <c r="GJ25" s="513" t="str">
        <f t="shared" si="173"/>
        <v/>
      </c>
      <c r="GK25" s="513" t="str">
        <f t="shared" si="174"/>
        <v/>
      </c>
      <c r="GL25" s="513" t="str">
        <f t="shared" si="175"/>
        <v/>
      </c>
      <c r="GM25" s="513" t="str">
        <f t="shared" si="176"/>
        <v/>
      </c>
      <c r="GN25" s="513" t="str">
        <f t="shared" si="177"/>
        <v/>
      </c>
      <c r="GO25" s="513" t="str">
        <f t="shared" si="178"/>
        <v/>
      </c>
      <c r="GP25" s="513" t="str">
        <f t="shared" si="179"/>
        <v/>
      </c>
      <c r="GQ25" s="513" t="str">
        <f t="shared" si="180"/>
        <v/>
      </c>
      <c r="GR25" s="513" t="str">
        <f t="shared" si="181"/>
        <v/>
      </c>
      <c r="GS25" s="513" t="str">
        <f t="shared" si="182"/>
        <v/>
      </c>
      <c r="GT25" s="513" t="str">
        <f t="shared" si="183"/>
        <v/>
      </c>
      <c r="GU25" s="513" t="str">
        <f t="shared" si="184"/>
        <v/>
      </c>
      <c r="GV25" s="513" t="str">
        <f t="shared" si="185"/>
        <v/>
      </c>
      <c r="GW25" s="513" t="str">
        <f t="shared" si="186"/>
        <v/>
      </c>
      <c r="GX25" s="513" t="str">
        <f t="shared" si="187"/>
        <v/>
      </c>
      <c r="GY25" s="513" t="str">
        <f t="shared" si="188"/>
        <v/>
      </c>
      <c r="GZ25" s="513" t="str">
        <f t="shared" si="189"/>
        <v/>
      </c>
      <c r="HA25" s="513" t="str">
        <f t="shared" si="190"/>
        <v/>
      </c>
      <c r="HB25" s="513" t="str">
        <f t="shared" si="191"/>
        <v/>
      </c>
      <c r="HC25" s="513" t="str">
        <f t="shared" si="192"/>
        <v/>
      </c>
      <c r="HD25" s="513" t="str">
        <f t="shared" si="193"/>
        <v/>
      </c>
      <c r="HE25" s="513" t="str">
        <f t="shared" si="194"/>
        <v/>
      </c>
      <c r="HF25" s="513" t="str">
        <f t="shared" si="195"/>
        <v/>
      </c>
      <c r="HG25" s="513" t="str">
        <f t="shared" si="196"/>
        <v/>
      </c>
      <c r="HH25" s="513" t="str">
        <f t="shared" si="197"/>
        <v/>
      </c>
      <c r="HI25" s="513" t="str">
        <f t="shared" si="198"/>
        <v/>
      </c>
      <c r="HJ25" s="513" t="str">
        <f t="shared" si="199"/>
        <v/>
      </c>
      <c r="HK25" s="513" t="str">
        <f t="shared" si="200"/>
        <v/>
      </c>
      <c r="HL25" s="513" t="str">
        <f t="shared" si="201"/>
        <v/>
      </c>
      <c r="HM25" s="513" t="str">
        <f t="shared" si="202"/>
        <v/>
      </c>
      <c r="HN25" s="513" t="str">
        <f t="shared" si="203"/>
        <v/>
      </c>
      <c r="HO25" s="513" t="str">
        <f t="shared" si="204"/>
        <v/>
      </c>
      <c r="HP25" s="513" t="str">
        <f t="shared" si="205"/>
        <v/>
      </c>
      <c r="HQ25" s="513" t="str">
        <f t="shared" si="206"/>
        <v/>
      </c>
      <c r="HR25" s="513" t="str">
        <f t="shared" si="207"/>
        <v/>
      </c>
      <c r="HS25" s="513" t="str">
        <f t="shared" si="208"/>
        <v/>
      </c>
      <c r="HT25" s="513" t="str">
        <f t="shared" si="209"/>
        <v/>
      </c>
      <c r="HU25" s="513" t="str">
        <f t="shared" si="210"/>
        <v/>
      </c>
      <c r="HV25" s="513" t="str">
        <f t="shared" si="211"/>
        <v/>
      </c>
      <c r="HW25" s="513" t="str">
        <f t="shared" si="212"/>
        <v/>
      </c>
      <c r="HX25" s="513" t="str">
        <f t="shared" si="213"/>
        <v/>
      </c>
      <c r="HY25" s="513" t="str">
        <f t="shared" si="214"/>
        <v/>
      </c>
      <c r="HZ25" s="513" t="str">
        <f t="shared" si="215"/>
        <v/>
      </c>
      <c r="IA25" s="513" t="str">
        <f t="shared" si="216"/>
        <v/>
      </c>
      <c r="IB25" s="513" t="str">
        <f t="shared" si="217"/>
        <v/>
      </c>
      <c r="IC25" s="513" t="str">
        <f t="shared" si="218"/>
        <v/>
      </c>
      <c r="ID25" s="514" t="str">
        <f t="shared" si="219"/>
        <v/>
      </c>
      <c r="IE25" s="514" t="str">
        <f t="shared" si="220"/>
        <v/>
      </c>
      <c r="IF25" s="514" t="str">
        <f t="shared" si="221"/>
        <v/>
      </c>
      <c r="IG25" s="514" t="str">
        <f t="shared" si="222"/>
        <v/>
      </c>
      <c r="IH25" s="514" t="str">
        <f t="shared" si="223"/>
        <v/>
      </c>
      <c r="II25" s="503" t="str">
        <f t="shared" si="224"/>
        <v/>
      </c>
      <c r="IJ25" s="503" t="str">
        <f t="shared" si="225"/>
        <v/>
      </c>
      <c r="IK25" s="503" t="str">
        <f t="shared" si="226"/>
        <v/>
      </c>
      <c r="IL25" s="503" t="str">
        <f t="shared" si="227"/>
        <v/>
      </c>
      <c r="IM25" s="503" t="str">
        <f t="shared" si="228"/>
        <v/>
      </c>
      <c r="IN25" s="503" t="str">
        <f t="shared" si="229"/>
        <v/>
      </c>
      <c r="IO25" s="503" t="str">
        <f t="shared" si="230"/>
        <v/>
      </c>
      <c r="IP25" s="503" t="str">
        <f t="shared" si="231"/>
        <v/>
      </c>
      <c r="IQ25" s="503" t="str">
        <f t="shared" si="232"/>
        <v/>
      </c>
      <c r="IR25" s="503" t="str">
        <f t="shared" si="233"/>
        <v/>
      </c>
      <c r="IS25" s="503" t="str">
        <f t="shared" si="234"/>
        <v/>
      </c>
      <c r="IT25" s="503" t="str">
        <f t="shared" si="235"/>
        <v/>
      </c>
      <c r="IU25" s="503" t="str">
        <f t="shared" si="236"/>
        <v/>
      </c>
      <c r="IV25" s="503" t="str">
        <f t="shared" si="237"/>
        <v/>
      </c>
      <c r="IW25" s="503" t="str">
        <f t="shared" si="238"/>
        <v/>
      </c>
      <c r="IX25" s="503" t="str">
        <f t="shared" si="239"/>
        <v/>
      </c>
      <c r="IY25" s="503" t="str">
        <f t="shared" si="240"/>
        <v/>
      </c>
      <c r="IZ25" s="503" t="str">
        <f t="shared" si="241"/>
        <v/>
      </c>
      <c r="JA25" s="503" t="str">
        <f t="shared" si="242"/>
        <v/>
      </c>
      <c r="JB25" s="503" t="str">
        <f t="shared" si="243"/>
        <v/>
      </c>
      <c r="JC25" s="512">
        <f t="shared" si="244"/>
        <v>0</v>
      </c>
      <c r="JD25" s="512">
        <f t="shared" si="245"/>
        <v>0</v>
      </c>
      <c r="JE25" s="512">
        <f t="shared" si="246"/>
        <v>0</v>
      </c>
      <c r="JF25" s="512">
        <f t="shared" si="247"/>
        <v>0</v>
      </c>
      <c r="JG25" s="512">
        <f t="shared" si="248"/>
        <v>0</v>
      </c>
      <c r="JH25" s="512">
        <f t="shared" si="249"/>
        <v>0</v>
      </c>
      <c r="JI25" s="512">
        <f t="shared" si="250"/>
        <v>0</v>
      </c>
      <c r="JJ25" s="512">
        <f t="shared" si="251"/>
        <v>0</v>
      </c>
      <c r="JK25" s="512">
        <f t="shared" si="252"/>
        <v>0</v>
      </c>
      <c r="JL25" s="512">
        <f t="shared" si="253"/>
        <v>0</v>
      </c>
      <c r="JM25" s="512">
        <f t="shared" si="254"/>
        <v>0</v>
      </c>
      <c r="JN25" s="512">
        <f t="shared" si="255"/>
        <v>0</v>
      </c>
      <c r="JO25" s="512">
        <f t="shared" si="256"/>
        <v>0</v>
      </c>
      <c r="JP25" s="512">
        <f t="shared" si="257"/>
        <v>0</v>
      </c>
      <c r="JQ25" s="512">
        <f t="shared" si="258"/>
        <v>0</v>
      </c>
    </row>
    <row r="26" spans="1:277" ht="12" customHeight="1">
      <c r="A26" s="115" t="str">
        <f t="shared" si="0"/>
        <v/>
      </c>
      <c r="B26" s="3218" t="s">
        <v>1847</v>
      </c>
      <c r="C26" s="3219"/>
      <c r="D26" s="3220"/>
      <c r="E26" s="3221"/>
      <c r="F26" s="3221"/>
      <c r="G26" s="3221"/>
      <c r="H26" s="3221"/>
      <c r="I26" s="3221"/>
      <c r="J26" s="3222"/>
      <c r="K26" s="859">
        <f t="shared" si="1"/>
        <v>0</v>
      </c>
      <c r="L26" s="859">
        <f t="shared" si="2"/>
        <v>0</v>
      </c>
      <c r="M26" s="3223"/>
      <c r="N26" s="3223"/>
      <c r="O26" s="3223"/>
      <c r="P26" s="3224"/>
      <c r="Q26" s="1384" t="str">
        <f t="shared" si="3"/>
        <v/>
      </c>
      <c r="R26" s="1385" t="str">
        <f>IF(H26="","",IF(C26="Efficiency",Q26/($O$6*VLOOKUP(0,'DCA Underwriting Assumptions'!$J$132:$K$137,2,FALSE)),Q26/($O$6*VLOOKUP(C26,'DCA Underwriting Assumptions'!$J$132:$K$137,2,FALSE))))</f>
        <v/>
      </c>
      <c r="S26" s="1386"/>
      <c r="T26" s="1387"/>
      <c r="U26" s="3225"/>
      <c r="V26" s="3156"/>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461" t="str">
        <f t="shared" si="134"/>
        <v/>
      </c>
      <c r="EX26" s="513" t="str">
        <f t="shared" si="135"/>
        <v/>
      </c>
      <c r="EY26" s="513" t="str">
        <f t="shared" si="136"/>
        <v/>
      </c>
      <c r="EZ26" s="513" t="str">
        <f t="shared" si="137"/>
        <v/>
      </c>
      <c r="FA26" s="513" t="str">
        <f t="shared" si="138"/>
        <v/>
      </c>
      <c r="FB26" s="513" t="str">
        <f t="shared" si="139"/>
        <v/>
      </c>
      <c r="FC26" s="513" t="str">
        <f t="shared" si="140"/>
        <v/>
      </c>
      <c r="FD26" s="513" t="str">
        <f t="shared" si="141"/>
        <v/>
      </c>
      <c r="FE26" s="513" t="str">
        <f t="shared" si="142"/>
        <v/>
      </c>
      <c r="FF26" s="513" t="str">
        <f t="shared" si="143"/>
        <v/>
      </c>
      <c r="FG26" s="513" t="str">
        <f t="shared" si="144"/>
        <v/>
      </c>
      <c r="FH26" s="513" t="str">
        <f t="shared" si="145"/>
        <v/>
      </c>
      <c r="FI26" s="513" t="str">
        <f t="shared" si="146"/>
        <v/>
      </c>
      <c r="FJ26" s="513" t="str">
        <f t="shared" si="147"/>
        <v/>
      </c>
      <c r="FK26" s="513" t="str">
        <f t="shared" si="148"/>
        <v/>
      </c>
      <c r="FL26" s="513" t="str">
        <f t="shared" si="149"/>
        <v/>
      </c>
      <c r="FM26" s="513" t="str">
        <f t="shared" si="150"/>
        <v/>
      </c>
      <c r="FN26" s="513" t="str">
        <f t="shared" si="151"/>
        <v/>
      </c>
      <c r="FO26" s="513" t="str">
        <f t="shared" si="152"/>
        <v/>
      </c>
      <c r="FP26" s="513" t="str">
        <f t="shared" si="153"/>
        <v/>
      </c>
      <c r="FQ26" s="513" t="str">
        <f t="shared" si="154"/>
        <v/>
      </c>
      <c r="FR26" s="513" t="str">
        <f t="shared" si="155"/>
        <v/>
      </c>
      <c r="FS26" s="513" t="str">
        <f t="shared" si="156"/>
        <v/>
      </c>
      <c r="FT26" s="513" t="str">
        <f t="shared" si="157"/>
        <v/>
      </c>
      <c r="FU26" s="513" t="str">
        <f t="shared" si="158"/>
        <v/>
      </c>
      <c r="FV26" s="513" t="str">
        <f t="shared" si="159"/>
        <v/>
      </c>
      <c r="FW26" s="513" t="str">
        <f t="shared" si="160"/>
        <v/>
      </c>
      <c r="FX26" s="513" t="str">
        <f t="shared" si="161"/>
        <v/>
      </c>
      <c r="FY26" s="513" t="str">
        <f t="shared" si="162"/>
        <v/>
      </c>
      <c r="FZ26" s="513" t="str">
        <f t="shared" si="163"/>
        <v/>
      </c>
      <c r="GA26" s="513" t="str">
        <f t="shared" si="164"/>
        <v/>
      </c>
      <c r="GB26" s="513" t="str">
        <f t="shared" si="165"/>
        <v/>
      </c>
      <c r="GC26" s="513" t="str">
        <f t="shared" si="166"/>
        <v/>
      </c>
      <c r="GD26" s="513" t="str">
        <f t="shared" si="167"/>
        <v/>
      </c>
      <c r="GE26" s="513" t="str">
        <f t="shared" si="168"/>
        <v/>
      </c>
      <c r="GF26" s="513" t="str">
        <f t="shared" si="169"/>
        <v/>
      </c>
      <c r="GG26" s="513" t="str">
        <f t="shared" si="170"/>
        <v/>
      </c>
      <c r="GH26" s="513" t="str">
        <f t="shared" si="171"/>
        <v/>
      </c>
      <c r="GI26" s="513" t="str">
        <f t="shared" si="172"/>
        <v/>
      </c>
      <c r="GJ26" s="513" t="str">
        <f t="shared" si="173"/>
        <v/>
      </c>
      <c r="GK26" s="513" t="str">
        <f t="shared" si="174"/>
        <v/>
      </c>
      <c r="GL26" s="513" t="str">
        <f t="shared" si="175"/>
        <v/>
      </c>
      <c r="GM26" s="513" t="str">
        <f t="shared" si="176"/>
        <v/>
      </c>
      <c r="GN26" s="513" t="str">
        <f t="shared" si="177"/>
        <v/>
      </c>
      <c r="GO26" s="513" t="str">
        <f t="shared" si="178"/>
        <v/>
      </c>
      <c r="GP26" s="513" t="str">
        <f t="shared" si="179"/>
        <v/>
      </c>
      <c r="GQ26" s="513" t="str">
        <f t="shared" si="180"/>
        <v/>
      </c>
      <c r="GR26" s="513" t="str">
        <f t="shared" si="181"/>
        <v/>
      </c>
      <c r="GS26" s="513" t="str">
        <f t="shared" si="182"/>
        <v/>
      </c>
      <c r="GT26" s="513" t="str">
        <f t="shared" si="183"/>
        <v/>
      </c>
      <c r="GU26" s="513" t="str">
        <f t="shared" si="184"/>
        <v/>
      </c>
      <c r="GV26" s="513" t="str">
        <f t="shared" si="185"/>
        <v/>
      </c>
      <c r="GW26" s="513" t="str">
        <f t="shared" si="186"/>
        <v/>
      </c>
      <c r="GX26" s="513" t="str">
        <f t="shared" si="187"/>
        <v/>
      </c>
      <c r="GY26" s="513" t="str">
        <f t="shared" si="188"/>
        <v/>
      </c>
      <c r="GZ26" s="513" t="str">
        <f t="shared" si="189"/>
        <v/>
      </c>
      <c r="HA26" s="513" t="str">
        <f t="shared" si="190"/>
        <v/>
      </c>
      <c r="HB26" s="513" t="str">
        <f t="shared" si="191"/>
        <v/>
      </c>
      <c r="HC26" s="513" t="str">
        <f t="shared" si="192"/>
        <v/>
      </c>
      <c r="HD26" s="513" t="str">
        <f t="shared" si="193"/>
        <v/>
      </c>
      <c r="HE26" s="513" t="str">
        <f t="shared" si="194"/>
        <v/>
      </c>
      <c r="HF26" s="513" t="str">
        <f t="shared" si="195"/>
        <v/>
      </c>
      <c r="HG26" s="513" t="str">
        <f t="shared" si="196"/>
        <v/>
      </c>
      <c r="HH26" s="513" t="str">
        <f t="shared" si="197"/>
        <v/>
      </c>
      <c r="HI26" s="513" t="str">
        <f t="shared" si="198"/>
        <v/>
      </c>
      <c r="HJ26" s="513" t="str">
        <f t="shared" si="199"/>
        <v/>
      </c>
      <c r="HK26" s="513" t="str">
        <f t="shared" si="200"/>
        <v/>
      </c>
      <c r="HL26" s="513" t="str">
        <f t="shared" si="201"/>
        <v/>
      </c>
      <c r="HM26" s="513" t="str">
        <f t="shared" si="202"/>
        <v/>
      </c>
      <c r="HN26" s="513" t="str">
        <f t="shared" si="203"/>
        <v/>
      </c>
      <c r="HO26" s="513" t="str">
        <f t="shared" si="204"/>
        <v/>
      </c>
      <c r="HP26" s="513" t="str">
        <f t="shared" si="205"/>
        <v/>
      </c>
      <c r="HQ26" s="513" t="str">
        <f t="shared" si="206"/>
        <v/>
      </c>
      <c r="HR26" s="513" t="str">
        <f t="shared" si="207"/>
        <v/>
      </c>
      <c r="HS26" s="513" t="str">
        <f t="shared" si="208"/>
        <v/>
      </c>
      <c r="HT26" s="513" t="str">
        <f t="shared" si="209"/>
        <v/>
      </c>
      <c r="HU26" s="513" t="str">
        <f t="shared" si="210"/>
        <v/>
      </c>
      <c r="HV26" s="513" t="str">
        <f t="shared" si="211"/>
        <v/>
      </c>
      <c r="HW26" s="513" t="str">
        <f t="shared" si="212"/>
        <v/>
      </c>
      <c r="HX26" s="513" t="str">
        <f t="shared" si="213"/>
        <v/>
      </c>
      <c r="HY26" s="513" t="str">
        <f t="shared" si="214"/>
        <v/>
      </c>
      <c r="HZ26" s="513" t="str">
        <f t="shared" si="215"/>
        <v/>
      </c>
      <c r="IA26" s="513" t="str">
        <f t="shared" si="216"/>
        <v/>
      </c>
      <c r="IB26" s="513" t="str">
        <f t="shared" si="217"/>
        <v/>
      </c>
      <c r="IC26" s="513" t="str">
        <f t="shared" si="218"/>
        <v/>
      </c>
      <c r="ID26" s="514" t="str">
        <f t="shared" si="219"/>
        <v/>
      </c>
      <c r="IE26" s="514" t="str">
        <f t="shared" si="220"/>
        <v/>
      </c>
      <c r="IF26" s="514" t="str">
        <f t="shared" si="221"/>
        <v/>
      </c>
      <c r="IG26" s="514" t="str">
        <f t="shared" si="222"/>
        <v/>
      </c>
      <c r="IH26" s="514" t="str">
        <f t="shared" si="223"/>
        <v/>
      </c>
      <c r="II26" s="503" t="str">
        <f t="shared" si="224"/>
        <v/>
      </c>
      <c r="IJ26" s="503" t="str">
        <f t="shared" si="225"/>
        <v/>
      </c>
      <c r="IK26" s="503" t="str">
        <f t="shared" si="226"/>
        <v/>
      </c>
      <c r="IL26" s="503" t="str">
        <f t="shared" si="227"/>
        <v/>
      </c>
      <c r="IM26" s="503" t="str">
        <f t="shared" si="228"/>
        <v/>
      </c>
      <c r="IN26" s="503" t="str">
        <f t="shared" si="229"/>
        <v/>
      </c>
      <c r="IO26" s="503" t="str">
        <f t="shared" si="230"/>
        <v/>
      </c>
      <c r="IP26" s="503" t="str">
        <f t="shared" si="231"/>
        <v/>
      </c>
      <c r="IQ26" s="503" t="str">
        <f t="shared" si="232"/>
        <v/>
      </c>
      <c r="IR26" s="503" t="str">
        <f t="shared" si="233"/>
        <v/>
      </c>
      <c r="IS26" s="503" t="str">
        <f t="shared" si="234"/>
        <v/>
      </c>
      <c r="IT26" s="503" t="str">
        <f t="shared" si="235"/>
        <v/>
      </c>
      <c r="IU26" s="503" t="str">
        <f t="shared" si="236"/>
        <v/>
      </c>
      <c r="IV26" s="503" t="str">
        <f t="shared" si="237"/>
        <v/>
      </c>
      <c r="IW26" s="503" t="str">
        <f t="shared" si="238"/>
        <v/>
      </c>
      <c r="IX26" s="503" t="str">
        <f t="shared" si="239"/>
        <v/>
      </c>
      <c r="IY26" s="503" t="str">
        <f t="shared" si="240"/>
        <v/>
      </c>
      <c r="IZ26" s="503" t="str">
        <f t="shared" si="241"/>
        <v/>
      </c>
      <c r="JA26" s="503" t="str">
        <f t="shared" si="242"/>
        <v/>
      </c>
      <c r="JB26" s="503" t="str">
        <f t="shared" si="243"/>
        <v/>
      </c>
      <c r="JC26" s="512">
        <f t="shared" si="244"/>
        <v>0</v>
      </c>
      <c r="JD26" s="512">
        <f t="shared" si="245"/>
        <v>0</v>
      </c>
      <c r="JE26" s="512">
        <f t="shared" si="246"/>
        <v>0</v>
      </c>
      <c r="JF26" s="512">
        <f t="shared" si="247"/>
        <v>0</v>
      </c>
      <c r="JG26" s="512">
        <f t="shared" si="248"/>
        <v>0</v>
      </c>
      <c r="JH26" s="512">
        <f t="shared" si="249"/>
        <v>0</v>
      </c>
      <c r="JI26" s="512">
        <f t="shared" si="250"/>
        <v>0</v>
      </c>
      <c r="JJ26" s="512">
        <f t="shared" si="251"/>
        <v>0</v>
      </c>
      <c r="JK26" s="512">
        <f t="shared" si="252"/>
        <v>0</v>
      </c>
      <c r="JL26" s="512">
        <f t="shared" si="253"/>
        <v>0</v>
      </c>
      <c r="JM26" s="512">
        <f t="shared" si="254"/>
        <v>0</v>
      </c>
      <c r="JN26" s="512">
        <f t="shared" si="255"/>
        <v>0</v>
      </c>
      <c r="JO26" s="512">
        <f t="shared" si="256"/>
        <v>0</v>
      </c>
      <c r="JP26" s="512">
        <f t="shared" si="257"/>
        <v>0</v>
      </c>
      <c r="JQ26" s="512">
        <f t="shared" si="258"/>
        <v>0</v>
      </c>
    </row>
    <row r="27" spans="1:277" ht="12" customHeight="1">
      <c r="A27" s="115" t="str">
        <f t="shared" si="0"/>
        <v/>
      </c>
      <c r="B27" s="3218" t="s">
        <v>1847</v>
      </c>
      <c r="C27" s="3219"/>
      <c r="D27" s="3220"/>
      <c r="E27" s="3221"/>
      <c r="F27" s="3221"/>
      <c r="G27" s="3221"/>
      <c r="H27" s="3221"/>
      <c r="I27" s="3221"/>
      <c r="J27" s="3222"/>
      <c r="K27" s="859">
        <f t="shared" si="1"/>
        <v>0</v>
      </c>
      <c r="L27" s="859">
        <f t="shared" si="2"/>
        <v>0</v>
      </c>
      <c r="M27" s="3223"/>
      <c r="N27" s="3223"/>
      <c r="O27" s="3223"/>
      <c r="P27" s="3224"/>
      <c r="Q27" s="1384" t="str">
        <f t="shared" si="3"/>
        <v/>
      </c>
      <c r="R27" s="1385" t="str">
        <f>IF(H27="","",IF(C27="Efficiency",Q27/($O$6*VLOOKUP(0,'DCA Underwriting Assumptions'!$J$132:$K$137,2,FALSE)),Q27/($O$6*VLOOKUP(C27,'DCA Underwriting Assumptions'!$J$132:$K$137,2,FALSE))))</f>
        <v/>
      </c>
      <c r="S27" s="1386"/>
      <c r="T27" s="1387"/>
      <c r="U27" s="3225"/>
      <c r="V27" s="3156"/>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461" t="str">
        <f t="shared" si="134"/>
        <v/>
      </c>
      <c r="EX27" s="513" t="str">
        <f t="shared" si="135"/>
        <v/>
      </c>
      <c r="EY27" s="513" t="str">
        <f t="shared" si="136"/>
        <v/>
      </c>
      <c r="EZ27" s="513" t="str">
        <f t="shared" si="137"/>
        <v/>
      </c>
      <c r="FA27" s="513" t="str">
        <f t="shared" si="138"/>
        <v/>
      </c>
      <c r="FB27" s="513" t="str">
        <f t="shared" si="139"/>
        <v/>
      </c>
      <c r="FC27" s="513" t="str">
        <f t="shared" si="140"/>
        <v/>
      </c>
      <c r="FD27" s="513" t="str">
        <f t="shared" si="141"/>
        <v/>
      </c>
      <c r="FE27" s="513" t="str">
        <f t="shared" si="142"/>
        <v/>
      </c>
      <c r="FF27" s="513" t="str">
        <f t="shared" si="143"/>
        <v/>
      </c>
      <c r="FG27" s="513" t="str">
        <f t="shared" si="144"/>
        <v/>
      </c>
      <c r="FH27" s="513" t="str">
        <f t="shared" si="145"/>
        <v/>
      </c>
      <c r="FI27" s="513" t="str">
        <f t="shared" si="146"/>
        <v/>
      </c>
      <c r="FJ27" s="513" t="str">
        <f t="shared" si="147"/>
        <v/>
      </c>
      <c r="FK27" s="513" t="str">
        <f t="shared" si="148"/>
        <v/>
      </c>
      <c r="FL27" s="513" t="str">
        <f t="shared" si="149"/>
        <v/>
      </c>
      <c r="FM27" s="513" t="str">
        <f t="shared" si="150"/>
        <v/>
      </c>
      <c r="FN27" s="513" t="str">
        <f t="shared" si="151"/>
        <v/>
      </c>
      <c r="FO27" s="513" t="str">
        <f t="shared" si="152"/>
        <v/>
      </c>
      <c r="FP27" s="513" t="str">
        <f t="shared" si="153"/>
        <v/>
      </c>
      <c r="FQ27" s="513" t="str">
        <f t="shared" si="154"/>
        <v/>
      </c>
      <c r="FR27" s="513" t="str">
        <f t="shared" si="155"/>
        <v/>
      </c>
      <c r="FS27" s="513" t="str">
        <f t="shared" si="156"/>
        <v/>
      </c>
      <c r="FT27" s="513" t="str">
        <f t="shared" si="157"/>
        <v/>
      </c>
      <c r="FU27" s="513" t="str">
        <f t="shared" si="158"/>
        <v/>
      </c>
      <c r="FV27" s="513" t="str">
        <f t="shared" si="159"/>
        <v/>
      </c>
      <c r="FW27" s="513" t="str">
        <f t="shared" si="160"/>
        <v/>
      </c>
      <c r="FX27" s="513" t="str">
        <f t="shared" si="161"/>
        <v/>
      </c>
      <c r="FY27" s="513" t="str">
        <f t="shared" si="162"/>
        <v/>
      </c>
      <c r="FZ27" s="513" t="str">
        <f t="shared" si="163"/>
        <v/>
      </c>
      <c r="GA27" s="513" t="str">
        <f t="shared" si="164"/>
        <v/>
      </c>
      <c r="GB27" s="513" t="str">
        <f t="shared" si="165"/>
        <v/>
      </c>
      <c r="GC27" s="513" t="str">
        <f t="shared" si="166"/>
        <v/>
      </c>
      <c r="GD27" s="513" t="str">
        <f t="shared" si="167"/>
        <v/>
      </c>
      <c r="GE27" s="513" t="str">
        <f t="shared" si="168"/>
        <v/>
      </c>
      <c r="GF27" s="513" t="str">
        <f t="shared" si="169"/>
        <v/>
      </c>
      <c r="GG27" s="513" t="str">
        <f t="shared" si="170"/>
        <v/>
      </c>
      <c r="GH27" s="513" t="str">
        <f t="shared" si="171"/>
        <v/>
      </c>
      <c r="GI27" s="513" t="str">
        <f t="shared" si="172"/>
        <v/>
      </c>
      <c r="GJ27" s="513" t="str">
        <f t="shared" si="173"/>
        <v/>
      </c>
      <c r="GK27" s="513" t="str">
        <f t="shared" si="174"/>
        <v/>
      </c>
      <c r="GL27" s="513" t="str">
        <f t="shared" si="175"/>
        <v/>
      </c>
      <c r="GM27" s="513" t="str">
        <f t="shared" si="176"/>
        <v/>
      </c>
      <c r="GN27" s="513" t="str">
        <f t="shared" si="177"/>
        <v/>
      </c>
      <c r="GO27" s="513" t="str">
        <f t="shared" si="178"/>
        <v/>
      </c>
      <c r="GP27" s="513" t="str">
        <f t="shared" si="179"/>
        <v/>
      </c>
      <c r="GQ27" s="513" t="str">
        <f t="shared" si="180"/>
        <v/>
      </c>
      <c r="GR27" s="513" t="str">
        <f t="shared" si="181"/>
        <v/>
      </c>
      <c r="GS27" s="513" t="str">
        <f t="shared" si="182"/>
        <v/>
      </c>
      <c r="GT27" s="513" t="str">
        <f t="shared" si="183"/>
        <v/>
      </c>
      <c r="GU27" s="513" t="str">
        <f t="shared" si="184"/>
        <v/>
      </c>
      <c r="GV27" s="513" t="str">
        <f t="shared" si="185"/>
        <v/>
      </c>
      <c r="GW27" s="513" t="str">
        <f t="shared" si="186"/>
        <v/>
      </c>
      <c r="GX27" s="513" t="str">
        <f t="shared" si="187"/>
        <v/>
      </c>
      <c r="GY27" s="513" t="str">
        <f t="shared" si="188"/>
        <v/>
      </c>
      <c r="GZ27" s="513" t="str">
        <f t="shared" si="189"/>
        <v/>
      </c>
      <c r="HA27" s="513" t="str">
        <f t="shared" si="190"/>
        <v/>
      </c>
      <c r="HB27" s="513" t="str">
        <f t="shared" si="191"/>
        <v/>
      </c>
      <c r="HC27" s="513" t="str">
        <f t="shared" si="192"/>
        <v/>
      </c>
      <c r="HD27" s="513" t="str">
        <f t="shared" si="193"/>
        <v/>
      </c>
      <c r="HE27" s="513" t="str">
        <f t="shared" si="194"/>
        <v/>
      </c>
      <c r="HF27" s="513" t="str">
        <f t="shared" si="195"/>
        <v/>
      </c>
      <c r="HG27" s="513" t="str">
        <f t="shared" si="196"/>
        <v/>
      </c>
      <c r="HH27" s="513" t="str">
        <f t="shared" si="197"/>
        <v/>
      </c>
      <c r="HI27" s="513" t="str">
        <f t="shared" si="198"/>
        <v/>
      </c>
      <c r="HJ27" s="513" t="str">
        <f t="shared" si="199"/>
        <v/>
      </c>
      <c r="HK27" s="513" t="str">
        <f t="shared" si="200"/>
        <v/>
      </c>
      <c r="HL27" s="513" t="str">
        <f t="shared" si="201"/>
        <v/>
      </c>
      <c r="HM27" s="513" t="str">
        <f t="shared" si="202"/>
        <v/>
      </c>
      <c r="HN27" s="513" t="str">
        <f t="shared" si="203"/>
        <v/>
      </c>
      <c r="HO27" s="513" t="str">
        <f t="shared" si="204"/>
        <v/>
      </c>
      <c r="HP27" s="513" t="str">
        <f t="shared" si="205"/>
        <v/>
      </c>
      <c r="HQ27" s="513" t="str">
        <f t="shared" si="206"/>
        <v/>
      </c>
      <c r="HR27" s="513" t="str">
        <f t="shared" si="207"/>
        <v/>
      </c>
      <c r="HS27" s="513" t="str">
        <f t="shared" si="208"/>
        <v/>
      </c>
      <c r="HT27" s="513" t="str">
        <f t="shared" si="209"/>
        <v/>
      </c>
      <c r="HU27" s="513" t="str">
        <f t="shared" si="210"/>
        <v/>
      </c>
      <c r="HV27" s="513" t="str">
        <f t="shared" si="211"/>
        <v/>
      </c>
      <c r="HW27" s="513" t="str">
        <f t="shared" si="212"/>
        <v/>
      </c>
      <c r="HX27" s="513" t="str">
        <f t="shared" si="213"/>
        <v/>
      </c>
      <c r="HY27" s="513" t="str">
        <f t="shared" si="214"/>
        <v/>
      </c>
      <c r="HZ27" s="513" t="str">
        <f t="shared" si="215"/>
        <v/>
      </c>
      <c r="IA27" s="513" t="str">
        <f t="shared" si="216"/>
        <v/>
      </c>
      <c r="IB27" s="513" t="str">
        <f t="shared" si="217"/>
        <v/>
      </c>
      <c r="IC27" s="513" t="str">
        <f t="shared" si="218"/>
        <v/>
      </c>
      <c r="ID27" s="514" t="str">
        <f t="shared" si="219"/>
        <v/>
      </c>
      <c r="IE27" s="514" t="str">
        <f t="shared" si="220"/>
        <v/>
      </c>
      <c r="IF27" s="514" t="str">
        <f t="shared" si="221"/>
        <v/>
      </c>
      <c r="IG27" s="514" t="str">
        <f t="shared" si="222"/>
        <v/>
      </c>
      <c r="IH27" s="514" t="str">
        <f t="shared" si="223"/>
        <v/>
      </c>
      <c r="II27" s="503" t="str">
        <f t="shared" si="224"/>
        <v/>
      </c>
      <c r="IJ27" s="503" t="str">
        <f t="shared" si="225"/>
        <v/>
      </c>
      <c r="IK27" s="503" t="str">
        <f t="shared" si="226"/>
        <v/>
      </c>
      <c r="IL27" s="503" t="str">
        <f t="shared" si="227"/>
        <v/>
      </c>
      <c r="IM27" s="503" t="str">
        <f t="shared" si="228"/>
        <v/>
      </c>
      <c r="IN27" s="503" t="str">
        <f t="shared" si="229"/>
        <v/>
      </c>
      <c r="IO27" s="503" t="str">
        <f t="shared" si="230"/>
        <v/>
      </c>
      <c r="IP27" s="503" t="str">
        <f t="shared" si="231"/>
        <v/>
      </c>
      <c r="IQ27" s="503" t="str">
        <f t="shared" si="232"/>
        <v/>
      </c>
      <c r="IR27" s="503" t="str">
        <f t="shared" si="233"/>
        <v/>
      </c>
      <c r="IS27" s="503" t="str">
        <f t="shared" si="234"/>
        <v/>
      </c>
      <c r="IT27" s="503" t="str">
        <f t="shared" si="235"/>
        <v/>
      </c>
      <c r="IU27" s="503" t="str">
        <f t="shared" si="236"/>
        <v/>
      </c>
      <c r="IV27" s="503" t="str">
        <f t="shared" si="237"/>
        <v/>
      </c>
      <c r="IW27" s="503" t="str">
        <f t="shared" si="238"/>
        <v/>
      </c>
      <c r="IX27" s="503" t="str">
        <f t="shared" si="239"/>
        <v/>
      </c>
      <c r="IY27" s="503" t="str">
        <f t="shared" si="240"/>
        <v/>
      </c>
      <c r="IZ27" s="503" t="str">
        <f t="shared" si="241"/>
        <v/>
      </c>
      <c r="JA27" s="503" t="str">
        <f t="shared" si="242"/>
        <v/>
      </c>
      <c r="JB27" s="503" t="str">
        <f t="shared" si="243"/>
        <v/>
      </c>
      <c r="JC27" s="512">
        <f t="shared" si="244"/>
        <v>0</v>
      </c>
      <c r="JD27" s="512">
        <f t="shared" si="245"/>
        <v>0</v>
      </c>
      <c r="JE27" s="512">
        <f t="shared" si="246"/>
        <v>0</v>
      </c>
      <c r="JF27" s="512">
        <f t="shared" si="247"/>
        <v>0</v>
      </c>
      <c r="JG27" s="512">
        <f t="shared" si="248"/>
        <v>0</v>
      </c>
      <c r="JH27" s="512">
        <f t="shared" si="249"/>
        <v>0</v>
      </c>
      <c r="JI27" s="512">
        <f t="shared" si="250"/>
        <v>0</v>
      </c>
      <c r="JJ27" s="512">
        <f t="shared" si="251"/>
        <v>0</v>
      </c>
      <c r="JK27" s="512">
        <f t="shared" si="252"/>
        <v>0</v>
      </c>
      <c r="JL27" s="512">
        <f t="shared" si="253"/>
        <v>0</v>
      </c>
      <c r="JM27" s="512">
        <f t="shared" si="254"/>
        <v>0</v>
      </c>
      <c r="JN27" s="512">
        <f t="shared" si="255"/>
        <v>0</v>
      </c>
      <c r="JO27" s="512">
        <f t="shared" si="256"/>
        <v>0</v>
      </c>
      <c r="JP27" s="512">
        <f t="shared" si="257"/>
        <v>0</v>
      </c>
      <c r="JQ27" s="512">
        <f t="shared" si="258"/>
        <v>0</v>
      </c>
    </row>
    <row r="28" spans="1:277" ht="12" customHeight="1">
      <c r="A28" s="115" t="str">
        <f t="shared" si="0"/>
        <v/>
      </c>
      <c r="B28" s="3218" t="s">
        <v>1847</v>
      </c>
      <c r="C28" s="3219"/>
      <c r="D28" s="3220"/>
      <c r="E28" s="3221"/>
      <c r="F28" s="3221"/>
      <c r="G28" s="3221"/>
      <c r="H28" s="3221"/>
      <c r="I28" s="3221"/>
      <c r="J28" s="3222"/>
      <c r="K28" s="859">
        <f t="shared" si="1"/>
        <v>0</v>
      </c>
      <c r="L28" s="859">
        <f t="shared" si="2"/>
        <v>0</v>
      </c>
      <c r="M28" s="3223"/>
      <c r="N28" s="3223"/>
      <c r="O28" s="3223"/>
      <c r="P28" s="3224"/>
      <c r="Q28" s="1384" t="str">
        <f t="shared" si="3"/>
        <v/>
      </c>
      <c r="R28" s="1385" t="str">
        <f>IF(H28="","",IF(C28="Efficiency",Q28/($O$6*VLOOKUP(0,'DCA Underwriting Assumptions'!$J$132:$K$137,2,FALSE)),Q28/($O$6*VLOOKUP(C28,'DCA Underwriting Assumptions'!$J$132:$K$137,2,FALSE))))</f>
        <v/>
      </c>
      <c r="S28" s="1386"/>
      <c r="T28" s="1387"/>
      <c r="U28" s="3225"/>
      <c r="V28" s="3156"/>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461" t="str">
        <f t="shared" si="134"/>
        <v/>
      </c>
      <c r="EX28" s="513" t="str">
        <f t="shared" si="135"/>
        <v/>
      </c>
      <c r="EY28" s="513" t="str">
        <f t="shared" si="136"/>
        <v/>
      </c>
      <c r="EZ28" s="513" t="str">
        <f t="shared" si="137"/>
        <v/>
      </c>
      <c r="FA28" s="513" t="str">
        <f t="shared" si="138"/>
        <v/>
      </c>
      <c r="FB28" s="513" t="str">
        <f t="shared" si="139"/>
        <v/>
      </c>
      <c r="FC28" s="513" t="str">
        <f t="shared" si="140"/>
        <v/>
      </c>
      <c r="FD28" s="513" t="str">
        <f t="shared" si="141"/>
        <v/>
      </c>
      <c r="FE28" s="513" t="str">
        <f t="shared" si="142"/>
        <v/>
      </c>
      <c r="FF28" s="513" t="str">
        <f t="shared" si="143"/>
        <v/>
      </c>
      <c r="FG28" s="513" t="str">
        <f t="shared" si="144"/>
        <v/>
      </c>
      <c r="FH28" s="513" t="str">
        <f t="shared" si="145"/>
        <v/>
      </c>
      <c r="FI28" s="513" t="str">
        <f t="shared" si="146"/>
        <v/>
      </c>
      <c r="FJ28" s="513" t="str">
        <f t="shared" si="147"/>
        <v/>
      </c>
      <c r="FK28" s="513" t="str">
        <f t="shared" si="148"/>
        <v/>
      </c>
      <c r="FL28" s="513" t="str">
        <f t="shared" si="149"/>
        <v/>
      </c>
      <c r="FM28" s="513" t="str">
        <f t="shared" si="150"/>
        <v/>
      </c>
      <c r="FN28" s="513" t="str">
        <f t="shared" si="151"/>
        <v/>
      </c>
      <c r="FO28" s="513" t="str">
        <f t="shared" si="152"/>
        <v/>
      </c>
      <c r="FP28" s="513" t="str">
        <f t="shared" si="153"/>
        <v/>
      </c>
      <c r="FQ28" s="513" t="str">
        <f t="shared" si="154"/>
        <v/>
      </c>
      <c r="FR28" s="513" t="str">
        <f t="shared" si="155"/>
        <v/>
      </c>
      <c r="FS28" s="513" t="str">
        <f t="shared" si="156"/>
        <v/>
      </c>
      <c r="FT28" s="513" t="str">
        <f t="shared" si="157"/>
        <v/>
      </c>
      <c r="FU28" s="513" t="str">
        <f t="shared" si="158"/>
        <v/>
      </c>
      <c r="FV28" s="513" t="str">
        <f t="shared" si="159"/>
        <v/>
      </c>
      <c r="FW28" s="513" t="str">
        <f t="shared" si="160"/>
        <v/>
      </c>
      <c r="FX28" s="513" t="str">
        <f t="shared" si="161"/>
        <v/>
      </c>
      <c r="FY28" s="513" t="str">
        <f t="shared" si="162"/>
        <v/>
      </c>
      <c r="FZ28" s="513" t="str">
        <f t="shared" si="163"/>
        <v/>
      </c>
      <c r="GA28" s="513" t="str">
        <f t="shared" si="164"/>
        <v/>
      </c>
      <c r="GB28" s="513" t="str">
        <f t="shared" si="165"/>
        <v/>
      </c>
      <c r="GC28" s="513" t="str">
        <f t="shared" si="166"/>
        <v/>
      </c>
      <c r="GD28" s="513" t="str">
        <f t="shared" si="167"/>
        <v/>
      </c>
      <c r="GE28" s="513" t="str">
        <f t="shared" si="168"/>
        <v/>
      </c>
      <c r="GF28" s="513" t="str">
        <f t="shared" si="169"/>
        <v/>
      </c>
      <c r="GG28" s="513" t="str">
        <f t="shared" si="170"/>
        <v/>
      </c>
      <c r="GH28" s="513" t="str">
        <f t="shared" si="171"/>
        <v/>
      </c>
      <c r="GI28" s="513" t="str">
        <f t="shared" si="172"/>
        <v/>
      </c>
      <c r="GJ28" s="513" t="str">
        <f t="shared" si="173"/>
        <v/>
      </c>
      <c r="GK28" s="513" t="str">
        <f t="shared" si="174"/>
        <v/>
      </c>
      <c r="GL28" s="513" t="str">
        <f t="shared" si="175"/>
        <v/>
      </c>
      <c r="GM28" s="513" t="str">
        <f t="shared" si="176"/>
        <v/>
      </c>
      <c r="GN28" s="513" t="str">
        <f t="shared" si="177"/>
        <v/>
      </c>
      <c r="GO28" s="513" t="str">
        <f t="shared" si="178"/>
        <v/>
      </c>
      <c r="GP28" s="513" t="str">
        <f t="shared" si="179"/>
        <v/>
      </c>
      <c r="GQ28" s="513" t="str">
        <f t="shared" si="180"/>
        <v/>
      </c>
      <c r="GR28" s="513" t="str">
        <f t="shared" si="181"/>
        <v/>
      </c>
      <c r="GS28" s="513" t="str">
        <f t="shared" si="182"/>
        <v/>
      </c>
      <c r="GT28" s="513" t="str">
        <f t="shared" si="183"/>
        <v/>
      </c>
      <c r="GU28" s="513" t="str">
        <f t="shared" si="184"/>
        <v/>
      </c>
      <c r="GV28" s="513" t="str">
        <f t="shared" si="185"/>
        <v/>
      </c>
      <c r="GW28" s="513" t="str">
        <f t="shared" si="186"/>
        <v/>
      </c>
      <c r="GX28" s="513" t="str">
        <f t="shared" si="187"/>
        <v/>
      </c>
      <c r="GY28" s="513" t="str">
        <f t="shared" si="188"/>
        <v/>
      </c>
      <c r="GZ28" s="513" t="str">
        <f t="shared" si="189"/>
        <v/>
      </c>
      <c r="HA28" s="513" t="str">
        <f t="shared" si="190"/>
        <v/>
      </c>
      <c r="HB28" s="513" t="str">
        <f t="shared" si="191"/>
        <v/>
      </c>
      <c r="HC28" s="513" t="str">
        <f t="shared" si="192"/>
        <v/>
      </c>
      <c r="HD28" s="513" t="str">
        <f t="shared" si="193"/>
        <v/>
      </c>
      <c r="HE28" s="513" t="str">
        <f t="shared" si="194"/>
        <v/>
      </c>
      <c r="HF28" s="513" t="str">
        <f t="shared" si="195"/>
        <v/>
      </c>
      <c r="HG28" s="513" t="str">
        <f t="shared" si="196"/>
        <v/>
      </c>
      <c r="HH28" s="513" t="str">
        <f t="shared" si="197"/>
        <v/>
      </c>
      <c r="HI28" s="513" t="str">
        <f t="shared" si="198"/>
        <v/>
      </c>
      <c r="HJ28" s="513" t="str">
        <f t="shared" si="199"/>
        <v/>
      </c>
      <c r="HK28" s="513" t="str">
        <f t="shared" si="200"/>
        <v/>
      </c>
      <c r="HL28" s="513" t="str">
        <f t="shared" si="201"/>
        <v/>
      </c>
      <c r="HM28" s="513" t="str">
        <f t="shared" si="202"/>
        <v/>
      </c>
      <c r="HN28" s="513" t="str">
        <f t="shared" si="203"/>
        <v/>
      </c>
      <c r="HO28" s="513" t="str">
        <f t="shared" si="204"/>
        <v/>
      </c>
      <c r="HP28" s="513" t="str">
        <f t="shared" si="205"/>
        <v/>
      </c>
      <c r="HQ28" s="513" t="str">
        <f t="shared" si="206"/>
        <v/>
      </c>
      <c r="HR28" s="513" t="str">
        <f t="shared" si="207"/>
        <v/>
      </c>
      <c r="HS28" s="513" t="str">
        <f t="shared" si="208"/>
        <v/>
      </c>
      <c r="HT28" s="513" t="str">
        <f t="shared" si="209"/>
        <v/>
      </c>
      <c r="HU28" s="513" t="str">
        <f t="shared" si="210"/>
        <v/>
      </c>
      <c r="HV28" s="513" t="str">
        <f t="shared" si="211"/>
        <v/>
      </c>
      <c r="HW28" s="513" t="str">
        <f t="shared" si="212"/>
        <v/>
      </c>
      <c r="HX28" s="513" t="str">
        <f t="shared" si="213"/>
        <v/>
      </c>
      <c r="HY28" s="513" t="str">
        <f t="shared" si="214"/>
        <v/>
      </c>
      <c r="HZ28" s="513" t="str">
        <f t="shared" si="215"/>
        <v/>
      </c>
      <c r="IA28" s="513" t="str">
        <f t="shared" si="216"/>
        <v/>
      </c>
      <c r="IB28" s="513" t="str">
        <f t="shared" si="217"/>
        <v/>
      </c>
      <c r="IC28" s="513" t="str">
        <f t="shared" si="218"/>
        <v/>
      </c>
      <c r="ID28" s="514" t="str">
        <f t="shared" si="219"/>
        <v/>
      </c>
      <c r="IE28" s="514" t="str">
        <f t="shared" si="220"/>
        <v/>
      </c>
      <c r="IF28" s="514" t="str">
        <f t="shared" si="221"/>
        <v/>
      </c>
      <c r="IG28" s="514" t="str">
        <f t="shared" si="222"/>
        <v/>
      </c>
      <c r="IH28" s="514" t="str">
        <f t="shared" si="223"/>
        <v/>
      </c>
      <c r="II28" s="503" t="str">
        <f t="shared" si="224"/>
        <v/>
      </c>
      <c r="IJ28" s="503" t="str">
        <f t="shared" si="225"/>
        <v/>
      </c>
      <c r="IK28" s="503" t="str">
        <f t="shared" si="226"/>
        <v/>
      </c>
      <c r="IL28" s="503" t="str">
        <f t="shared" si="227"/>
        <v/>
      </c>
      <c r="IM28" s="503" t="str">
        <f t="shared" si="228"/>
        <v/>
      </c>
      <c r="IN28" s="503" t="str">
        <f t="shared" si="229"/>
        <v/>
      </c>
      <c r="IO28" s="503" t="str">
        <f t="shared" si="230"/>
        <v/>
      </c>
      <c r="IP28" s="503" t="str">
        <f t="shared" si="231"/>
        <v/>
      </c>
      <c r="IQ28" s="503" t="str">
        <f t="shared" si="232"/>
        <v/>
      </c>
      <c r="IR28" s="503" t="str">
        <f t="shared" si="233"/>
        <v/>
      </c>
      <c r="IS28" s="503" t="str">
        <f t="shared" si="234"/>
        <v/>
      </c>
      <c r="IT28" s="503" t="str">
        <f t="shared" si="235"/>
        <v/>
      </c>
      <c r="IU28" s="503" t="str">
        <f t="shared" si="236"/>
        <v/>
      </c>
      <c r="IV28" s="503" t="str">
        <f t="shared" si="237"/>
        <v/>
      </c>
      <c r="IW28" s="503" t="str">
        <f t="shared" si="238"/>
        <v/>
      </c>
      <c r="IX28" s="503" t="str">
        <f t="shared" si="239"/>
        <v/>
      </c>
      <c r="IY28" s="503" t="str">
        <f t="shared" si="240"/>
        <v/>
      </c>
      <c r="IZ28" s="503" t="str">
        <f t="shared" si="241"/>
        <v/>
      </c>
      <c r="JA28" s="503" t="str">
        <f t="shared" si="242"/>
        <v/>
      </c>
      <c r="JB28" s="503" t="str">
        <f t="shared" si="243"/>
        <v/>
      </c>
      <c r="JC28" s="512">
        <f t="shared" si="244"/>
        <v>0</v>
      </c>
      <c r="JD28" s="512">
        <f t="shared" si="245"/>
        <v>0</v>
      </c>
      <c r="JE28" s="512">
        <f t="shared" si="246"/>
        <v>0</v>
      </c>
      <c r="JF28" s="512">
        <f t="shared" si="247"/>
        <v>0</v>
      </c>
      <c r="JG28" s="512">
        <f t="shared" si="248"/>
        <v>0</v>
      </c>
      <c r="JH28" s="512">
        <f t="shared" si="249"/>
        <v>0</v>
      </c>
      <c r="JI28" s="512">
        <f t="shared" si="250"/>
        <v>0</v>
      </c>
      <c r="JJ28" s="512">
        <f t="shared" si="251"/>
        <v>0</v>
      </c>
      <c r="JK28" s="512">
        <f t="shared" si="252"/>
        <v>0</v>
      </c>
      <c r="JL28" s="512">
        <f t="shared" si="253"/>
        <v>0</v>
      </c>
      <c r="JM28" s="512">
        <f t="shared" si="254"/>
        <v>0</v>
      </c>
      <c r="JN28" s="512">
        <f t="shared" si="255"/>
        <v>0</v>
      </c>
      <c r="JO28" s="512">
        <f t="shared" si="256"/>
        <v>0</v>
      </c>
      <c r="JP28" s="512">
        <f t="shared" si="257"/>
        <v>0</v>
      </c>
      <c r="JQ28" s="512">
        <f t="shared" si="258"/>
        <v>0</v>
      </c>
    </row>
    <row r="29" spans="1:277" ht="12" customHeight="1">
      <c r="A29" s="115" t="str">
        <f t="shared" si="0"/>
        <v/>
      </c>
      <c r="B29" s="3218" t="s">
        <v>1847</v>
      </c>
      <c r="C29" s="3219"/>
      <c r="D29" s="3220"/>
      <c r="E29" s="3221"/>
      <c r="F29" s="3221"/>
      <c r="G29" s="3221"/>
      <c r="H29" s="3221"/>
      <c r="I29" s="3221"/>
      <c r="J29" s="3222"/>
      <c r="K29" s="859">
        <f t="shared" si="1"/>
        <v>0</v>
      </c>
      <c r="L29" s="859">
        <f t="shared" si="2"/>
        <v>0</v>
      </c>
      <c r="M29" s="3223"/>
      <c r="N29" s="3223"/>
      <c r="O29" s="3223"/>
      <c r="P29" s="3224"/>
      <c r="Q29" s="1384" t="str">
        <f t="shared" si="3"/>
        <v/>
      </c>
      <c r="R29" s="1385" t="str">
        <f>IF(H29="","",IF(C29="Efficiency",Q29/($O$6*VLOOKUP(0,'DCA Underwriting Assumptions'!$J$132:$K$137,2,FALSE)),Q29/($O$6*VLOOKUP(C29,'DCA Underwriting Assumptions'!$J$132:$K$137,2,FALSE))))</f>
        <v/>
      </c>
      <c r="S29" s="1386"/>
      <c r="T29" s="1387"/>
      <c r="U29" s="3225"/>
      <c r="V29" s="3156"/>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461" t="str">
        <f t="shared" si="134"/>
        <v/>
      </c>
      <c r="EX29" s="513" t="str">
        <f t="shared" si="135"/>
        <v/>
      </c>
      <c r="EY29" s="513" t="str">
        <f t="shared" si="136"/>
        <v/>
      </c>
      <c r="EZ29" s="513" t="str">
        <f t="shared" si="137"/>
        <v/>
      </c>
      <c r="FA29" s="513" t="str">
        <f t="shared" si="138"/>
        <v/>
      </c>
      <c r="FB29" s="513" t="str">
        <f t="shared" si="139"/>
        <v/>
      </c>
      <c r="FC29" s="513" t="str">
        <f t="shared" si="140"/>
        <v/>
      </c>
      <c r="FD29" s="513" t="str">
        <f t="shared" si="141"/>
        <v/>
      </c>
      <c r="FE29" s="513" t="str">
        <f t="shared" si="142"/>
        <v/>
      </c>
      <c r="FF29" s="513" t="str">
        <f t="shared" si="143"/>
        <v/>
      </c>
      <c r="FG29" s="513" t="str">
        <f t="shared" si="144"/>
        <v/>
      </c>
      <c r="FH29" s="513" t="str">
        <f t="shared" si="145"/>
        <v/>
      </c>
      <c r="FI29" s="513" t="str">
        <f t="shared" si="146"/>
        <v/>
      </c>
      <c r="FJ29" s="513" t="str">
        <f t="shared" si="147"/>
        <v/>
      </c>
      <c r="FK29" s="513" t="str">
        <f t="shared" si="148"/>
        <v/>
      </c>
      <c r="FL29" s="513" t="str">
        <f t="shared" si="149"/>
        <v/>
      </c>
      <c r="FM29" s="513" t="str">
        <f t="shared" si="150"/>
        <v/>
      </c>
      <c r="FN29" s="513" t="str">
        <f t="shared" si="151"/>
        <v/>
      </c>
      <c r="FO29" s="513" t="str">
        <f t="shared" si="152"/>
        <v/>
      </c>
      <c r="FP29" s="513" t="str">
        <f t="shared" si="153"/>
        <v/>
      </c>
      <c r="FQ29" s="513" t="str">
        <f t="shared" si="154"/>
        <v/>
      </c>
      <c r="FR29" s="513" t="str">
        <f t="shared" si="155"/>
        <v/>
      </c>
      <c r="FS29" s="513" t="str">
        <f t="shared" si="156"/>
        <v/>
      </c>
      <c r="FT29" s="513" t="str">
        <f t="shared" si="157"/>
        <v/>
      </c>
      <c r="FU29" s="513" t="str">
        <f t="shared" si="158"/>
        <v/>
      </c>
      <c r="FV29" s="513" t="str">
        <f t="shared" si="159"/>
        <v/>
      </c>
      <c r="FW29" s="513" t="str">
        <f t="shared" si="160"/>
        <v/>
      </c>
      <c r="FX29" s="513" t="str">
        <f t="shared" si="161"/>
        <v/>
      </c>
      <c r="FY29" s="513" t="str">
        <f t="shared" si="162"/>
        <v/>
      </c>
      <c r="FZ29" s="513" t="str">
        <f t="shared" si="163"/>
        <v/>
      </c>
      <c r="GA29" s="513" t="str">
        <f t="shared" si="164"/>
        <v/>
      </c>
      <c r="GB29" s="513" t="str">
        <f t="shared" si="165"/>
        <v/>
      </c>
      <c r="GC29" s="513" t="str">
        <f t="shared" si="166"/>
        <v/>
      </c>
      <c r="GD29" s="513" t="str">
        <f t="shared" si="167"/>
        <v/>
      </c>
      <c r="GE29" s="513" t="str">
        <f t="shared" si="168"/>
        <v/>
      </c>
      <c r="GF29" s="513" t="str">
        <f t="shared" si="169"/>
        <v/>
      </c>
      <c r="GG29" s="513" t="str">
        <f t="shared" si="170"/>
        <v/>
      </c>
      <c r="GH29" s="513" t="str">
        <f t="shared" si="171"/>
        <v/>
      </c>
      <c r="GI29" s="513" t="str">
        <f t="shared" si="172"/>
        <v/>
      </c>
      <c r="GJ29" s="513" t="str">
        <f t="shared" si="173"/>
        <v/>
      </c>
      <c r="GK29" s="513" t="str">
        <f t="shared" si="174"/>
        <v/>
      </c>
      <c r="GL29" s="513" t="str">
        <f t="shared" si="175"/>
        <v/>
      </c>
      <c r="GM29" s="513" t="str">
        <f t="shared" si="176"/>
        <v/>
      </c>
      <c r="GN29" s="513" t="str">
        <f t="shared" si="177"/>
        <v/>
      </c>
      <c r="GO29" s="513" t="str">
        <f t="shared" si="178"/>
        <v/>
      </c>
      <c r="GP29" s="513" t="str">
        <f t="shared" si="179"/>
        <v/>
      </c>
      <c r="GQ29" s="513" t="str">
        <f t="shared" si="180"/>
        <v/>
      </c>
      <c r="GR29" s="513" t="str">
        <f t="shared" si="181"/>
        <v/>
      </c>
      <c r="GS29" s="513" t="str">
        <f t="shared" si="182"/>
        <v/>
      </c>
      <c r="GT29" s="513" t="str">
        <f t="shared" si="183"/>
        <v/>
      </c>
      <c r="GU29" s="513" t="str">
        <f t="shared" si="184"/>
        <v/>
      </c>
      <c r="GV29" s="513" t="str">
        <f t="shared" si="185"/>
        <v/>
      </c>
      <c r="GW29" s="513" t="str">
        <f t="shared" si="186"/>
        <v/>
      </c>
      <c r="GX29" s="513" t="str">
        <f t="shared" si="187"/>
        <v/>
      </c>
      <c r="GY29" s="513" t="str">
        <f t="shared" si="188"/>
        <v/>
      </c>
      <c r="GZ29" s="513" t="str">
        <f t="shared" si="189"/>
        <v/>
      </c>
      <c r="HA29" s="513" t="str">
        <f t="shared" si="190"/>
        <v/>
      </c>
      <c r="HB29" s="513" t="str">
        <f t="shared" si="191"/>
        <v/>
      </c>
      <c r="HC29" s="513" t="str">
        <f t="shared" si="192"/>
        <v/>
      </c>
      <c r="HD29" s="513" t="str">
        <f t="shared" si="193"/>
        <v/>
      </c>
      <c r="HE29" s="513" t="str">
        <f t="shared" si="194"/>
        <v/>
      </c>
      <c r="HF29" s="513" t="str">
        <f t="shared" si="195"/>
        <v/>
      </c>
      <c r="HG29" s="513" t="str">
        <f t="shared" si="196"/>
        <v/>
      </c>
      <c r="HH29" s="513" t="str">
        <f t="shared" si="197"/>
        <v/>
      </c>
      <c r="HI29" s="513" t="str">
        <f t="shared" si="198"/>
        <v/>
      </c>
      <c r="HJ29" s="513" t="str">
        <f t="shared" si="199"/>
        <v/>
      </c>
      <c r="HK29" s="513" t="str">
        <f t="shared" si="200"/>
        <v/>
      </c>
      <c r="HL29" s="513" t="str">
        <f t="shared" si="201"/>
        <v/>
      </c>
      <c r="HM29" s="513" t="str">
        <f t="shared" si="202"/>
        <v/>
      </c>
      <c r="HN29" s="513" t="str">
        <f t="shared" si="203"/>
        <v/>
      </c>
      <c r="HO29" s="513" t="str">
        <f t="shared" si="204"/>
        <v/>
      </c>
      <c r="HP29" s="513" t="str">
        <f t="shared" si="205"/>
        <v/>
      </c>
      <c r="HQ29" s="513" t="str">
        <f t="shared" si="206"/>
        <v/>
      </c>
      <c r="HR29" s="513" t="str">
        <f t="shared" si="207"/>
        <v/>
      </c>
      <c r="HS29" s="513" t="str">
        <f t="shared" si="208"/>
        <v/>
      </c>
      <c r="HT29" s="513" t="str">
        <f t="shared" si="209"/>
        <v/>
      </c>
      <c r="HU29" s="513" t="str">
        <f t="shared" si="210"/>
        <v/>
      </c>
      <c r="HV29" s="513" t="str">
        <f t="shared" si="211"/>
        <v/>
      </c>
      <c r="HW29" s="513" t="str">
        <f t="shared" si="212"/>
        <v/>
      </c>
      <c r="HX29" s="513" t="str">
        <f t="shared" si="213"/>
        <v/>
      </c>
      <c r="HY29" s="513" t="str">
        <f t="shared" si="214"/>
        <v/>
      </c>
      <c r="HZ29" s="513" t="str">
        <f t="shared" si="215"/>
        <v/>
      </c>
      <c r="IA29" s="513" t="str">
        <f t="shared" si="216"/>
        <v/>
      </c>
      <c r="IB29" s="513" t="str">
        <f t="shared" si="217"/>
        <v/>
      </c>
      <c r="IC29" s="513" t="str">
        <f t="shared" si="218"/>
        <v/>
      </c>
      <c r="ID29" s="514" t="str">
        <f t="shared" si="219"/>
        <v/>
      </c>
      <c r="IE29" s="514" t="str">
        <f t="shared" si="220"/>
        <v/>
      </c>
      <c r="IF29" s="514" t="str">
        <f t="shared" si="221"/>
        <v/>
      </c>
      <c r="IG29" s="514" t="str">
        <f t="shared" si="222"/>
        <v/>
      </c>
      <c r="IH29" s="514" t="str">
        <f t="shared" si="223"/>
        <v/>
      </c>
      <c r="II29" s="503" t="str">
        <f t="shared" si="224"/>
        <v/>
      </c>
      <c r="IJ29" s="503" t="str">
        <f t="shared" si="225"/>
        <v/>
      </c>
      <c r="IK29" s="503" t="str">
        <f t="shared" si="226"/>
        <v/>
      </c>
      <c r="IL29" s="503" t="str">
        <f t="shared" si="227"/>
        <v/>
      </c>
      <c r="IM29" s="503" t="str">
        <f t="shared" si="228"/>
        <v/>
      </c>
      <c r="IN29" s="503" t="str">
        <f t="shared" si="229"/>
        <v/>
      </c>
      <c r="IO29" s="503" t="str">
        <f t="shared" si="230"/>
        <v/>
      </c>
      <c r="IP29" s="503" t="str">
        <f t="shared" si="231"/>
        <v/>
      </c>
      <c r="IQ29" s="503" t="str">
        <f t="shared" si="232"/>
        <v/>
      </c>
      <c r="IR29" s="503" t="str">
        <f t="shared" si="233"/>
        <v/>
      </c>
      <c r="IS29" s="503" t="str">
        <f t="shared" si="234"/>
        <v/>
      </c>
      <c r="IT29" s="503" t="str">
        <f t="shared" si="235"/>
        <v/>
      </c>
      <c r="IU29" s="503" t="str">
        <f t="shared" si="236"/>
        <v/>
      </c>
      <c r="IV29" s="503" t="str">
        <f t="shared" si="237"/>
        <v/>
      </c>
      <c r="IW29" s="503" t="str">
        <f t="shared" si="238"/>
        <v/>
      </c>
      <c r="IX29" s="503" t="str">
        <f t="shared" si="239"/>
        <v/>
      </c>
      <c r="IY29" s="503" t="str">
        <f t="shared" si="240"/>
        <v/>
      </c>
      <c r="IZ29" s="503" t="str">
        <f t="shared" si="241"/>
        <v/>
      </c>
      <c r="JA29" s="503" t="str">
        <f t="shared" si="242"/>
        <v/>
      </c>
      <c r="JB29" s="503" t="str">
        <f t="shared" si="243"/>
        <v/>
      </c>
      <c r="JC29" s="512">
        <f t="shared" si="244"/>
        <v>0</v>
      </c>
      <c r="JD29" s="512">
        <f t="shared" si="245"/>
        <v>0</v>
      </c>
      <c r="JE29" s="512">
        <f t="shared" si="246"/>
        <v>0</v>
      </c>
      <c r="JF29" s="512">
        <f t="shared" si="247"/>
        <v>0</v>
      </c>
      <c r="JG29" s="512">
        <f t="shared" si="248"/>
        <v>0</v>
      </c>
      <c r="JH29" s="512">
        <f t="shared" si="249"/>
        <v>0</v>
      </c>
      <c r="JI29" s="512">
        <f t="shared" si="250"/>
        <v>0</v>
      </c>
      <c r="JJ29" s="512">
        <f t="shared" si="251"/>
        <v>0</v>
      </c>
      <c r="JK29" s="512">
        <f t="shared" si="252"/>
        <v>0</v>
      </c>
      <c r="JL29" s="512">
        <f t="shared" si="253"/>
        <v>0</v>
      </c>
      <c r="JM29" s="512">
        <f t="shared" si="254"/>
        <v>0</v>
      </c>
      <c r="JN29" s="512">
        <f t="shared" si="255"/>
        <v>0</v>
      </c>
      <c r="JO29" s="512">
        <f t="shared" si="256"/>
        <v>0</v>
      </c>
      <c r="JP29" s="512">
        <f t="shared" si="257"/>
        <v>0</v>
      </c>
      <c r="JQ29" s="512">
        <f t="shared" si="258"/>
        <v>0</v>
      </c>
    </row>
    <row r="30" spans="1:277" ht="12" customHeight="1">
      <c r="A30" s="115" t="str">
        <f t="shared" si="0"/>
        <v/>
      </c>
      <c r="B30" s="3218" t="s">
        <v>1847</v>
      </c>
      <c r="C30" s="3219"/>
      <c r="D30" s="3220"/>
      <c r="E30" s="3221"/>
      <c r="F30" s="3221"/>
      <c r="G30" s="3221"/>
      <c r="H30" s="3221"/>
      <c r="I30" s="3221"/>
      <c r="J30" s="3222"/>
      <c r="K30" s="859">
        <f t="shared" si="1"/>
        <v>0</v>
      </c>
      <c r="L30" s="859">
        <f t="shared" si="2"/>
        <v>0</v>
      </c>
      <c r="M30" s="3223"/>
      <c r="N30" s="3223"/>
      <c r="O30" s="3223"/>
      <c r="P30" s="3224"/>
      <c r="Q30" s="1384" t="str">
        <f t="shared" si="3"/>
        <v/>
      </c>
      <c r="R30" s="1385" t="str">
        <f>IF(H30="","",IF(C30="Efficiency",Q30/($O$6*VLOOKUP(0,'DCA Underwriting Assumptions'!$J$132:$K$137,2,FALSE)),Q30/($O$6*VLOOKUP(C30,'DCA Underwriting Assumptions'!$J$132:$K$137,2,FALSE))))</f>
        <v/>
      </c>
      <c r="S30" s="1386"/>
      <c r="T30" s="1387"/>
      <c r="U30" s="3225"/>
      <c r="V30" s="3156"/>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461" t="str">
        <f t="shared" si="134"/>
        <v/>
      </c>
      <c r="EX30" s="513" t="str">
        <f t="shared" si="135"/>
        <v/>
      </c>
      <c r="EY30" s="513" t="str">
        <f t="shared" si="136"/>
        <v/>
      </c>
      <c r="EZ30" s="513" t="str">
        <f t="shared" si="137"/>
        <v/>
      </c>
      <c r="FA30" s="513" t="str">
        <f t="shared" si="138"/>
        <v/>
      </c>
      <c r="FB30" s="513" t="str">
        <f t="shared" si="139"/>
        <v/>
      </c>
      <c r="FC30" s="513" t="str">
        <f t="shared" si="140"/>
        <v/>
      </c>
      <c r="FD30" s="513" t="str">
        <f t="shared" si="141"/>
        <v/>
      </c>
      <c r="FE30" s="513" t="str">
        <f t="shared" si="142"/>
        <v/>
      </c>
      <c r="FF30" s="513" t="str">
        <f t="shared" si="143"/>
        <v/>
      </c>
      <c r="FG30" s="513" t="str">
        <f t="shared" si="144"/>
        <v/>
      </c>
      <c r="FH30" s="513" t="str">
        <f t="shared" si="145"/>
        <v/>
      </c>
      <c r="FI30" s="513" t="str">
        <f t="shared" si="146"/>
        <v/>
      </c>
      <c r="FJ30" s="513" t="str">
        <f t="shared" si="147"/>
        <v/>
      </c>
      <c r="FK30" s="513" t="str">
        <f t="shared" si="148"/>
        <v/>
      </c>
      <c r="FL30" s="513" t="str">
        <f t="shared" si="149"/>
        <v/>
      </c>
      <c r="FM30" s="513" t="str">
        <f t="shared" si="150"/>
        <v/>
      </c>
      <c r="FN30" s="513" t="str">
        <f t="shared" si="151"/>
        <v/>
      </c>
      <c r="FO30" s="513" t="str">
        <f t="shared" si="152"/>
        <v/>
      </c>
      <c r="FP30" s="513" t="str">
        <f t="shared" si="153"/>
        <v/>
      </c>
      <c r="FQ30" s="513" t="str">
        <f t="shared" si="154"/>
        <v/>
      </c>
      <c r="FR30" s="513" t="str">
        <f t="shared" si="155"/>
        <v/>
      </c>
      <c r="FS30" s="513" t="str">
        <f t="shared" si="156"/>
        <v/>
      </c>
      <c r="FT30" s="513" t="str">
        <f t="shared" si="157"/>
        <v/>
      </c>
      <c r="FU30" s="513" t="str">
        <f t="shared" si="158"/>
        <v/>
      </c>
      <c r="FV30" s="513" t="str">
        <f t="shared" si="159"/>
        <v/>
      </c>
      <c r="FW30" s="513" t="str">
        <f t="shared" si="160"/>
        <v/>
      </c>
      <c r="FX30" s="513" t="str">
        <f t="shared" si="161"/>
        <v/>
      </c>
      <c r="FY30" s="513" t="str">
        <f t="shared" si="162"/>
        <v/>
      </c>
      <c r="FZ30" s="513" t="str">
        <f t="shared" si="163"/>
        <v/>
      </c>
      <c r="GA30" s="513" t="str">
        <f t="shared" si="164"/>
        <v/>
      </c>
      <c r="GB30" s="513" t="str">
        <f t="shared" si="165"/>
        <v/>
      </c>
      <c r="GC30" s="513" t="str">
        <f t="shared" si="166"/>
        <v/>
      </c>
      <c r="GD30" s="513" t="str">
        <f t="shared" si="167"/>
        <v/>
      </c>
      <c r="GE30" s="513" t="str">
        <f t="shared" si="168"/>
        <v/>
      </c>
      <c r="GF30" s="513" t="str">
        <f t="shared" si="169"/>
        <v/>
      </c>
      <c r="GG30" s="513" t="str">
        <f t="shared" si="170"/>
        <v/>
      </c>
      <c r="GH30" s="513" t="str">
        <f t="shared" si="171"/>
        <v/>
      </c>
      <c r="GI30" s="513" t="str">
        <f t="shared" si="172"/>
        <v/>
      </c>
      <c r="GJ30" s="513" t="str">
        <f t="shared" si="173"/>
        <v/>
      </c>
      <c r="GK30" s="513" t="str">
        <f t="shared" si="174"/>
        <v/>
      </c>
      <c r="GL30" s="513" t="str">
        <f t="shared" si="175"/>
        <v/>
      </c>
      <c r="GM30" s="513" t="str">
        <f t="shared" si="176"/>
        <v/>
      </c>
      <c r="GN30" s="513" t="str">
        <f t="shared" si="177"/>
        <v/>
      </c>
      <c r="GO30" s="513" t="str">
        <f t="shared" si="178"/>
        <v/>
      </c>
      <c r="GP30" s="513" t="str">
        <f t="shared" si="179"/>
        <v/>
      </c>
      <c r="GQ30" s="513" t="str">
        <f t="shared" si="180"/>
        <v/>
      </c>
      <c r="GR30" s="513" t="str">
        <f t="shared" si="181"/>
        <v/>
      </c>
      <c r="GS30" s="513" t="str">
        <f t="shared" si="182"/>
        <v/>
      </c>
      <c r="GT30" s="513" t="str">
        <f t="shared" si="183"/>
        <v/>
      </c>
      <c r="GU30" s="513" t="str">
        <f t="shared" si="184"/>
        <v/>
      </c>
      <c r="GV30" s="513" t="str">
        <f t="shared" si="185"/>
        <v/>
      </c>
      <c r="GW30" s="513" t="str">
        <f t="shared" si="186"/>
        <v/>
      </c>
      <c r="GX30" s="513" t="str">
        <f t="shared" si="187"/>
        <v/>
      </c>
      <c r="GY30" s="513" t="str">
        <f t="shared" si="188"/>
        <v/>
      </c>
      <c r="GZ30" s="513" t="str">
        <f t="shared" si="189"/>
        <v/>
      </c>
      <c r="HA30" s="513" t="str">
        <f t="shared" si="190"/>
        <v/>
      </c>
      <c r="HB30" s="513" t="str">
        <f t="shared" si="191"/>
        <v/>
      </c>
      <c r="HC30" s="513" t="str">
        <f t="shared" si="192"/>
        <v/>
      </c>
      <c r="HD30" s="513" t="str">
        <f t="shared" si="193"/>
        <v/>
      </c>
      <c r="HE30" s="513" t="str">
        <f t="shared" si="194"/>
        <v/>
      </c>
      <c r="HF30" s="513" t="str">
        <f t="shared" si="195"/>
        <v/>
      </c>
      <c r="HG30" s="513" t="str">
        <f t="shared" si="196"/>
        <v/>
      </c>
      <c r="HH30" s="513" t="str">
        <f t="shared" si="197"/>
        <v/>
      </c>
      <c r="HI30" s="513" t="str">
        <f t="shared" si="198"/>
        <v/>
      </c>
      <c r="HJ30" s="513" t="str">
        <f t="shared" si="199"/>
        <v/>
      </c>
      <c r="HK30" s="513" t="str">
        <f t="shared" si="200"/>
        <v/>
      </c>
      <c r="HL30" s="513" t="str">
        <f t="shared" si="201"/>
        <v/>
      </c>
      <c r="HM30" s="513" t="str">
        <f t="shared" si="202"/>
        <v/>
      </c>
      <c r="HN30" s="513" t="str">
        <f t="shared" si="203"/>
        <v/>
      </c>
      <c r="HO30" s="513" t="str">
        <f t="shared" si="204"/>
        <v/>
      </c>
      <c r="HP30" s="513" t="str">
        <f t="shared" si="205"/>
        <v/>
      </c>
      <c r="HQ30" s="513" t="str">
        <f t="shared" si="206"/>
        <v/>
      </c>
      <c r="HR30" s="513" t="str">
        <f t="shared" si="207"/>
        <v/>
      </c>
      <c r="HS30" s="513" t="str">
        <f t="shared" si="208"/>
        <v/>
      </c>
      <c r="HT30" s="513" t="str">
        <f t="shared" si="209"/>
        <v/>
      </c>
      <c r="HU30" s="513" t="str">
        <f t="shared" si="210"/>
        <v/>
      </c>
      <c r="HV30" s="513" t="str">
        <f t="shared" si="211"/>
        <v/>
      </c>
      <c r="HW30" s="513" t="str">
        <f t="shared" si="212"/>
        <v/>
      </c>
      <c r="HX30" s="513" t="str">
        <f t="shared" si="213"/>
        <v/>
      </c>
      <c r="HY30" s="513" t="str">
        <f t="shared" si="214"/>
        <v/>
      </c>
      <c r="HZ30" s="513" t="str">
        <f t="shared" si="215"/>
        <v/>
      </c>
      <c r="IA30" s="513" t="str">
        <f t="shared" si="216"/>
        <v/>
      </c>
      <c r="IB30" s="513" t="str">
        <f t="shared" si="217"/>
        <v/>
      </c>
      <c r="IC30" s="513" t="str">
        <f t="shared" si="218"/>
        <v/>
      </c>
      <c r="ID30" s="514" t="str">
        <f t="shared" si="219"/>
        <v/>
      </c>
      <c r="IE30" s="514" t="str">
        <f t="shared" si="220"/>
        <v/>
      </c>
      <c r="IF30" s="514" t="str">
        <f t="shared" si="221"/>
        <v/>
      </c>
      <c r="IG30" s="514" t="str">
        <f t="shared" si="222"/>
        <v/>
      </c>
      <c r="IH30" s="514" t="str">
        <f t="shared" si="223"/>
        <v/>
      </c>
      <c r="II30" s="503" t="str">
        <f t="shared" si="224"/>
        <v/>
      </c>
      <c r="IJ30" s="503" t="str">
        <f t="shared" si="225"/>
        <v/>
      </c>
      <c r="IK30" s="503" t="str">
        <f t="shared" si="226"/>
        <v/>
      </c>
      <c r="IL30" s="503" t="str">
        <f t="shared" si="227"/>
        <v/>
      </c>
      <c r="IM30" s="503" t="str">
        <f t="shared" si="228"/>
        <v/>
      </c>
      <c r="IN30" s="503" t="str">
        <f t="shared" si="229"/>
        <v/>
      </c>
      <c r="IO30" s="503" t="str">
        <f t="shared" si="230"/>
        <v/>
      </c>
      <c r="IP30" s="503" t="str">
        <f t="shared" si="231"/>
        <v/>
      </c>
      <c r="IQ30" s="503" t="str">
        <f t="shared" si="232"/>
        <v/>
      </c>
      <c r="IR30" s="503" t="str">
        <f t="shared" si="233"/>
        <v/>
      </c>
      <c r="IS30" s="503" t="str">
        <f t="shared" si="234"/>
        <v/>
      </c>
      <c r="IT30" s="503" t="str">
        <f t="shared" si="235"/>
        <v/>
      </c>
      <c r="IU30" s="503" t="str">
        <f t="shared" si="236"/>
        <v/>
      </c>
      <c r="IV30" s="503" t="str">
        <f t="shared" si="237"/>
        <v/>
      </c>
      <c r="IW30" s="503" t="str">
        <f t="shared" si="238"/>
        <v/>
      </c>
      <c r="IX30" s="503" t="str">
        <f t="shared" si="239"/>
        <v/>
      </c>
      <c r="IY30" s="503" t="str">
        <f t="shared" si="240"/>
        <v/>
      </c>
      <c r="IZ30" s="503" t="str">
        <f t="shared" si="241"/>
        <v/>
      </c>
      <c r="JA30" s="503" t="str">
        <f t="shared" si="242"/>
        <v/>
      </c>
      <c r="JB30" s="503" t="str">
        <f t="shared" si="243"/>
        <v/>
      </c>
      <c r="JC30" s="512">
        <f t="shared" si="244"/>
        <v>0</v>
      </c>
      <c r="JD30" s="512">
        <f t="shared" si="245"/>
        <v>0</v>
      </c>
      <c r="JE30" s="512">
        <f t="shared" si="246"/>
        <v>0</v>
      </c>
      <c r="JF30" s="512">
        <f t="shared" si="247"/>
        <v>0</v>
      </c>
      <c r="JG30" s="512">
        <f t="shared" si="248"/>
        <v>0</v>
      </c>
      <c r="JH30" s="512">
        <f t="shared" si="249"/>
        <v>0</v>
      </c>
      <c r="JI30" s="512">
        <f t="shared" si="250"/>
        <v>0</v>
      </c>
      <c r="JJ30" s="512">
        <f t="shared" si="251"/>
        <v>0</v>
      </c>
      <c r="JK30" s="512">
        <f t="shared" si="252"/>
        <v>0</v>
      </c>
      <c r="JL30" s="512">
        <f t="shared" si="253"/>
        <v>0</v>
      </c>
      <c r="JM30" s="512">
        <f t="shared" si="254"/>
        <v>0</v>
      </c>
      <c r="JN30" s="512">
        <f t="shared" si="255"/>
        <v>0</v>
      </c>
      <c r="JO30" s="512">
        <f t="shared" si="256"/>
        <v>0</v>
      </c>
      <c r="JP30" s="512">
        <f t="shared" si="257"/>
        <v>0</v>
      </c>
      <c r="JQ30" s="512">
        <f t="shared" si="258"/>
        <v>0</v>
      </c>
    </row>
    <row r="31" spans="1:277" ht="12" customHeight="1">
      <c r="A31" s="115" t="str">
        <f t="shared" si="0"/>
        <v/>
      </c>
      <c r="B31" s="3218" t="s">
        <v>1847</v>
      </c>
      <c r="C31" s="3219"/>
      <c r="D31" s="3220"/>
      <c r="E31" s="3221"/>
      <c r="F31" s="3221"/>
      <c r="G31" s="3221"/>
      <c r="H31" s="3221"/>
      <c r="I31" s="3221"/>
      <c r="J31" s="3222"/>
      <c r="K31" s="859">
        <f t="shared" si="1"/>
        <v>0</v>
      </c>
      <c r="L31" s="859">
        <f t="shared" si="2"/>
        <v>0</v>
      </c>
      <c r="M31" s="3223"/>
      <c r="N31" s="3223"/>
      <c r="O31" s="3223"/>
      <c r="P31" s="3224"/>
      <c r="Q31" s="1384" t="str">
        <f t="shared" si="3"/>
        <v/>
      </c>
      <c r="R31" s="1385" t="str">
        <f>IF(H31="","",IF(C31="Efficiency",Q31/($O$6*VLOOKUP(0,'DCA Underwriting Assumptions'!$J$132:$K$137,2,FALSE)),Q31/($O$6*VLOOKUP(C31,'DCA Underwriting Assumptions'!$J$132:$K$137,2,FALSE))))</f>
        <v/>
      </c>
      <c r="S31" s="1386"/>
      <c r="T31" s="1387"/>
      <c r="U31" s="3225"/>
      <c r="V31" s="3156"/>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461" t="str">
        <f t="shared" si="134"/>
        <v/>
      </c>
      <c r="EX31" s="513" t="str">
        <f t="shared" si="135"/>
        <v/>
      </c>
      <c r="EY31" s="513" t="str">
        <f t="shared" si="136"/>
        <v/>
      </c>
      <c r="EZ31" s="513" t="str">
        <f t="shared" si="137"/>
        <v/>
      </c>
      <c r="FA31" s="513" t="str">
        <f t="shared" si="138"/>
        <v/>
      </c>
      <c r="FB31" s="513" t="str">
        <f t="shared" si="139"/>
        <v/>
      </c>
      <c r="FC31" s="513" t="str">
        <f t="shared" si="140"/>
        <v/>
      </c>
      <c r="FD31" s="513" t="str">
        <f t="shared" si="141"/>
        <v/>
      </c>
      <c r="FE31" s="513" t="str">
        <f t="shared" si="142"/>
        <v/>
      </c>
      <c r="FF31" s="513" t="str">
        <f t="shared" si="143"/>
        <v/>
      </c>
      <c r="FG31" s="513" t="str">
        <f t="shared" si="144"/>
        <v/>
      </c>
      <c r="FH31" s="513" t="str">
        <f t="shared" si="145"/>
        <v/>
      </c>
      <c r="FI31" s="513" t="str">
        <f t="shared" si="146"/>
        <v/>
      </c>
      <c r="FJ31" s="513" t="str">
        <f t="shared" si="147"/>
        <v/>
      </c>
      <c r="FK31" s="513" t="str">
        <f t="shared" si="148"/>
        <v/>
      </c>
      <c r="FL31" s="513" t="str">
        <f t="shared" si="149"/>
        <v/>
      </c>
      <c r="FM31" s="513" t="str">
        <f t="shared" si="150"/>
        <v/>
      </c>
      <c r="FN31" s="513" t="str">
        <f t="shared" si="151"/>
        <v/>
      </c>
      <c r="FO31" s="513" t="str">
        <f t="shared" si="152"/>
        <v/>
      </c>
      <c r="FP31" s="513" t="str">
        <f t="shared" si="153"/>
        <v/>
      </c>
      <c r="FQ31" s="513" t="str">
        <f t="shared" si="154"/>
        <v/>
      </c>
      <c r="FR31" s="513" t="str">
        <f t="shared" si="155"/>
        <v/>
      </c>
      <c r="FS31" s="513" t="str">
        <f t="shared" si="156"/>
        <v/>
      </c>
      <c r="FT31" s="513" t="str">
        <f t="shared" si="157"/>
        <v/>
      </c>
      <c r="FU31" s="513" t="str">
        <f t="shared" si="158"/>
        <v/>
      </c>
      <c r="FV31" s="513" t="str">
        <f t="shared" si="159"/>
        <v/>
      </c>
      <c r="FW31" s="513" t="str">
        <f t="shared" si="160"/>
        <v/>
      </c>
      <c r="FX31" s="513" t="str">
        <f t="shared" si="161"/>
        <v/>
      </c>
      <c r="FY31" s="513" t="str">
        <f t="shared" si="162"/>
        <v/>
      </c>
      <c r="FZ31" s="513" t="str">
        <f t="shared" si="163"/>
        <v/>
      </c>
      <c r="GA31" s="513" t="str">
        <f t="shared" si="164"/>
        <v/>
      </c>
      <c r="GB31" s="513" t="str">
        <f t="shared" si="165"/>
        <v/>
      </c>
      <c r="GC31" s="513" t="str">
        <f t="shared" si="166"/>
        <v/>
      </c>
      <c r="GD31" s="513" t="str">
        <f t="shared" si="167"/>
        <v/>
      </c>
      <c r="GE31" s="513" t="str">
        <f t="shared" si="168"/>
        <v/>
      </c>
      <c r="GF31" s="513" t="str">
        <f t="shared" si="169"/>
        <v/>
      </c>
      <c r="GG31" s="513" t="str">
        <f t="shared" si="170"/>
        <v/>
      </c>
      <c r="GH31" s="513" t="str">
        <f t="shared" si="171"/>
        <v/>
      </c>
      <c r="GI31" s="513" t="str">
        <f t="shared" si="172"/>
        <v/>
      </c>
      <c r="GJ31" s="513" t="str">
        <f t="shared" si="173"/>
        <v/>
      </c>
      <c r="GK31" s="513" t="str">
        <f t="shared" si="174"/>
        <v/>
      </c>
      <c r="GL31" s="513" t="str">
        <f t="shared" si="175"/>
        <v/>
      </c>
      <c r="GM31" s="513" t="str">
        <f t="shared" si="176"/>
        <v/>
      </c>
      <c r="GN31" s="513" t="str">
        <f t="shared" si="177"/>
        <v/>
      </c>
      <c r="GO31" s="513" t="str">
        <f t="shared" si="178"/>
        <v/>
      </c>
      <c r="GP31" s="513" t="str">
        <f t="shared" si="179"/>
        <v/>
      </c>
      <c r="GQ31" s="513" t="str">
        <f t="shared" si="180"/>
        <v/>
      </c>
      <c r="GR31" s="513" t="str">
        <f t="shared" si="181"/>
        <v/>
      </c>
      <c r="GS31" s="513" t="str">
        <f t="shared" si="182"/>
        <v/>
      </c>
      <c r="GT31" s="513" t="str">
        <f t="shared" si="183"/>
        <v/>
      </c>
      <c r="GU31" s="513" t="str">
        <f t="shared" si="184"/>
        <v/>
      </c>
      <c r="GV31" s="513" t="str">
        <f t="shared" si="185"/>
        <v/>
      </c>
      <c r="GW31" s="513" t="str">
        <f t="shared" si="186"/>
        <v/>
      </c>
      <c r="GX31" s="513" t="str">
        <f t="shared" si="187"/>
        <v/>
      </c>
      <c r="GY31" s="513" t="str">
        <f t="shared" si="188"/>
        <v/>
      </c>
      <c r="GZ31" s="513" t="str">
        <f t="shared" si="189"/>
        <v/>
      </c>
      <c r="HA31" s="513" t="str">
        <f t="shared" si="190"/>
        <v/>
      </c>
      <c r="HB31" s="513" t="str">
        <f t="shared" si="191"/>
        <v/>
      </c>
      <c r="HC31" s="513" t="str">
        <f t="shared" si="192"/>
        <v/>
      </c>
      <c r="HD31" s="513" t="str">
        <f t="shared" si="193"/>
        <v/>
      </c>
      <c r="HE31" s="513" t="str">
        <f t="shared" si="194"/>
        <v/>
      </c>
      <c r="HF31" s="513" t="str">
        <f t="shared" si="195"/>
        <v/>
      </c>
      <c r="HG31" s="513" t="str">
        <f t="shared" si="196"/>
        <v/>
      </c>
      <c r="HH31" s="513" t="str">
        <f t="shared" si="197"/>
        <v/>
      </c>
      <c r="HI31" s="513" t="str">
        <f t="shared" si="198"/>
        <v/>
      </c>
      <c r="HJ31" s="513" t="str">
        <f t="shared" si="199"/>
        <v/>
      </c>
      <c r="HK31" s="513" t="str">
        <f t="shared" si="200"/>
        <v/>
      </c>
      <c r="HL31" s="513" t="str">
        <f t="shared" si="201"/>
        <v/>
      </c>
      <c r="HM31" s="513" t="str">
        <f t="shared" si="202"/>
        <v/>
      </c>
      <c r="HN31" s="513" t="str">
        <f t="shared" si="203"/>
        <v/>
      </c>
      <c r="HO31" s="513" t="str">
        <f t="shared" si="204"/>
        <v/>
      </c>
      <c r="HP31" s="513" t="str">
        <f t="shared" si="205"/>
        <v/>
      </c>
      <c r="HQ31" s="513" t="str">
        <f t="shared" si="206"/>
        <v/>
      </c>
      <c r="HR31" s="513" t="str">
        <f t="shared" si="207"/>
        <v/>
      </c>
      <c r="HS31" s="513" t="str">
        <f t="shared" si="208"/>
        <v/>
      </c>
      <c r="HT31" s="513" t="str">
        <f t="shared" si="209"/>
        <v/>
      </c>
      <c r="HU31" s="513" t="str">
        <f t="shared" si="210"/>
        <v/>
      </c>
      <c r="HV31" s="513" t="str">
        <f t="shared" si="211"/>
        <v/>
      </c>
      <c r="HW31" s="513" t="str">
        <f t="shared" si="212"/>
        <v/>
      </c>
      <c r="HX31" s="513" t="str">
        <f t="shared" si="213"/>
        <v/>
      </c>
      <c r="HY31" s="513" t="str">
        <f t="shared" si="214"/>
        <v/>
      </c>
      <c r="HZ31" s="513" t="str">
        <f t="shared" si="215"/>
        <v/>
      </c>
      <c r="IA31" s="513" t="str">
        <f t="shared" si="216"/>
        <v/>
      </c>
      <c r="IB31" s="513" t="str">
        <f t="shared" si="217"/>
        <v/>
      </c>
      <c r="IC31" s="513" t="str">
        <f t="shared" si="218"/>
        <v/>
      </c>
      <c r="ID31" s="514" t="str">
        <f t="shared" si="219"/>
        <v/>
      </c>
      <c r="IE31" s="514" t="str">
        <f t="shared" si="220"/>
        <v/>
      </c>
      <c r="IF31" s="514" t="str">
        <f t="shared" si="221"/>
        <v/>
      </c>
      <c r="IG31" s="514" t="str">
        <f t="shared" si="222"/>
        <v/>
      </c>
      <c r="IH31" s="514" t="str">
        <f t="shared" si="223"/>
        <v/>
      </c>
      <c r="II31" s="503" t="str">
        <f t="shared" si="224"/>
        <v/>
      </c>
      <c r="IJ31" s="503" t="str">
        <f t="shared" si="225"/>
        <v/>
      </c>
      <c r="IK31" s="503" t="str">
        <f t="shared" si="226"/>
        <v/>
      </c>
      <c r="IL31" s="503" t="str">
        <f t="shared" si="227"/>
        <v/>
      </c>
      <c r="IM31" s="503" t="str">
        <f t="shared" si="228"/>
        <v/>
      </c>
      <c r="IN31" s="503" t="str">
        <f t="shared" si="229"/>
        <v/>
      </c>
      <c r="IO31" s="503" t="str">
        <f t="shared" si="230"/>
        <v/>
      </c>
      <c r="IP31" s="503" t="str">
        <f t="shared" si="231"/>
        <v/>
      </c>
      <c r="IQ31" s="503" t="str">
        <f t="shared" si="232"/>
        <v/>
      </c>
      <c r="IR31" s="503" t="str">
        <f t="shared" si="233"/>
        <v/>
      </c>
      <c r="IS31" s="503" t="str">
        <f t="shared" si="234"/>
        <v/>
      </c>
      <c r="IT31" s="503" t="str">
        <f t="shared" si="235"/>
        <v/>
      </c>
      <c r="IU31" s="503" t="str">
        <f t="shared" si="236"/>
        <v/>
      </c>
      <c r="IV31" s="503" t="str">
        <f t="shared" si="237"/>
        <v/>
      </c>
      <c r="IW31" s="503" t="str">
        <f t="shared" si="238"/>
        <v/>
      </c>
      <c r="IX31" s="503" t="str">
        <f t="shared" si="239"/>
        <v/>
      </c>
      <c r="IY31" s="503" t="str">
        <f t="shared" si="240"/>
        <v/>
      </c>
      <c r="IZ31" s="503" t="str">
        <f t="shared" si="241"/>
        <v/>
      </c>
      <c r="JA31" s="503" t="str">
        <f t="shared" si="242"/>
        <v/>
      </c>
      <c r="JB31" s="503" t="str">
        <f t="shared" si="243"/>
        <v/>
      </c>
      <c r="JC31" s="512">
        <f t="shared" si="244"/>
        <v>0</v>
      </c>
      <c r="JD31" s="512">
        <f t="shared" si="245"/>
        <v>0</v>
      </c>
      <c r="JE31" s="512">
        <f t="shared" si="246"/>
        <v>0</v>
      </c>
      <c r="JF31" s="512">
        <f t="shared" si="247"/>
        <v>0</v>
      </c>
      <c r="JG31" s="512">
        <f t="shared" si="248"/>
        <v>0</v>
      </c>
      <c r="JH31" s="512">
        <f t="shared" si="249"/>
        <v>0</v>
      </c>
      <c r="JI31" s="512">
        <f t="shared" si="250"/>
        <v>0</v>
      </c>
      <c r="JJ31" s="512">
        <f t="shared" si="251"/>
        <v>0</v>
      </c>
      <c r="JK31" s="512">
        <f t="shared" si="252"/>
        <v>0</v>
      </c>
      <c r="JL31" s="512">
        <f t="shared" si="253"/>
        <v>0</v>
      </c>
      <c r="JM31" s="512">
        <f t="shared" si="254"/>
        <v>0</v>
      </c>
      <c r="JN31" s="512">
        <f t="shared" si="255"/>
        <v>0</v>
      </c>
      <c r="JO31" s="512">
        <f t="shared" si="256"/>
        <v>0</v>
      </c>
      <c r="JP31" s="512">
        <f t="shared" si="257"/>
        <v>0</v>
      </c>
      <c r="JQ31" s="512">
        <f t="shared" si="258"/>
        <v>0</v>
      </c>
    </row>
    <row r="32" spans="1:277" ht="12" customHeight="1">
      <c r="A32" s="115" t="str">
        <f t="shared" si="0"/>
        <v/>
      </c>
      <c r="B32" s="3218" t="s">
        <v>1847</v>
      </c>
      <c r="C32" s="3219"/>
      <c r="D32" s="3220"/>
      <c r="E32" s="3221"/>
      <c r="F32" s="3221"/>
      <c r="G32" s="3221"/>
      <c r="H32" s="3221"/>
      <c r="I32" s="3221"/>
      <c r="J32" s="3222"/>
      <c r="K32" s="859">
        <f t="shared" si="1"/>
        <v>0</v>
      </c>
      <c r="L32" s="859">
        <f t="shared" si="2"/>
        <v>0</v>
      </c>
      <c r="M32" s="3223"/>
      <c r="N32" s="3223"/>
      <c r="O32" s="3223"/>
      <c r="P32" s="3224"/>
      <c r="Q32" s="1384" t="str">
        <f t="shared" si="3"/>
        <v/>
      </c>
      <c r="R32" s="1385" t="str">
        <f>IF(H32="","",IF(C32="Efficiency",Q32/($O$6*VLOOKUP(0,'DCA Underwriting Assumptions'!$J$132:$K$137,2,FALSE)),Q32/($O$6*VLOOKUP(C32,'DCA Underwriting Assumptions'!$J$132:$K$137,2,FALSE))))</f>
        <v/>
      </c>
      <c r="S32" s="1386"/>
      <c r="T32" s="1387"/>
      <c r="U32" s="3225"/>
      <c r="V32" s="3156"/>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461" t="str">
        <f t="shared" si="134"/>
        <v/>
      </c>
      <c r="EX32" s="513" t="str">
        <f t="shared" si="135"/>
        <v/>
      </c>
      <c r="EY32" s="513" t="str">
        <f t="shared" si="136"/>
        <v/>
      </c>
      <c r="EZ32" s="513" t="str">
        <f t="shared" si="137"/>
        <v/>
      </c>
      <c r="FA32" s="513" t="str">
        <f t="shared" si="138"/>
        <v/>
      </c>
      <c r="FB32" s="513" t="str">
        <f t="shared" si="139"/>
        <v/>
      </c>
      <c r="FC32" s="513" t="str">
        <f t="shared" si="140"/>
        <v/>
      </c>
      <c r="FD32" s="513" t="str">
        <f t="shared" si="141"/>
        <v/>
      </c>
      <c r="FE32" s="513" t="str">
        <f t="shared" si="142"/>
        <v/>
      </c>
      <c r="FF32" s="513" t="str">
        <f t="shared" si="143"/>
        <v/>
      </c>
      <c r="FG32" s="513" t="str">
        <f t="shared" si="144"/>
        <v/>
      </c>
      <c r="FH32" s="513" t="str">
        <f t="shared" si="145"/>
        <v/>
      </c>
      <c r="FI32" s="513" t="str">
        <f t="shared" si="146"/>
        <v/>
      </c>
      <c r="FJ32" s="513" t="str">
        <f t="shared" si="147"/>
        <v/>
      </c>
      <c r="FK32" s="513" t="str">
        <f t="shared" si="148"/>
        <v/>
      </c>
      <c r="FL32" s="513" t="str">
        <f t="shared" si="149"/>
        <v/>
      </c>
      <c r="FM32" s="513" t="str">
        <f t="shared" si="150"/>
        <v/>
      </c>
      <c r="FN32" s="513" t="str">
        <f t="shared" si="151"/>
        <v/>
      </c>
      <c r="FO32" s="513" t="str">
        <f t="shared" si="152"/>
        <v/>
      </c>
      <c r="FP32" s="513" t="str">
        <f t="shared" si="153"/>
        <v/>
      </c>
      <c r="FQ32" s="513" t="str">
        <f t="shared" si="154"/>
        <v/>
      </c>
      <c r="FR32" s="513" t="str">
        <f t="shared" si="155"/>
        <v/>
      </c>
      <c r="FS32" s="513" t="str">
        <f t="shared" si="156"/>
        <v/>
      </c>
      <c r="FT32" s="513" t="str">
        <f t="shared" si="157"/>
        <v/>
      </c>
      <c r="FU32" s="513" t="str">
        <f t="shared" si="158"/>
        <v/>
      </c>
      <c r="FV32" s="513" t="str">
        <f t="shared" si="159"/>
        <v/>
      </c>
      <c r="FW32" s="513" t="str">
        <f t="shared" si="160"/>
        <v/>
      </c>
      <c r="FX32" s="513" t="str">
        <f t="shared" si="161"/>
        <v/>
      </c>
      <c r="FY32" s="513" t="str">
        <f t="shared" si="162"/>
        <v/>
      </c>
      <c r="FZ32" s="513" t="str">
        <f t="shared" si="163"/>
        <v/>
      </c>
      <c r="GA32" s="513" t="str">
        <f t="shared" si="164"/>
        <v/>
      </c>
      <c r="GB32" s="513" t="str">
        <f t="shared" si="165"/>
        <v/>
      </c>
      <c r="GC32" s="513" t="str">
        <f t="shared" si="166"/>
        <v/>
      </c>
      <c r="GD32" s="513" t="str">
        <f t="shared" si="167"/>
        <v/>
      </c>
      <c r="GE32" s="513" t="str">
        <f t="shared" si="168"/>
        <v/>
      </c>
      <c r="GF32" s="513" t="str">
        <f t="shared" si="169"/>
        <v/>
      </c>
      <c r="GG32" s="513" t="str">
        <f t="shared" si="170"/>
        <v/>
      </c>
      <c r="GH32" s="513" t="str">
        <f t="shared" si="171"/>
        <v/>
      </c>
      <c r="GI32" s="513" t="str">
        <f t="shared" si="172"/>
        <v/>
      </c>
      <c r="GJ32" s="513" t="str">
        <f t="shared" si="173"/>
        <v/>
      </c>
      <c r="GK32" s="513" t="str">
        <f t="shared" si="174"/>
        <v/>
      </c>
      <c r="GL32" s="513" t="str">
        <f t="shared" si="175"/>
        <v/>
      </c>
      <c r="GM32" s="513" t="str">
        <f t="shared" si="176"/>
        <v/>
      </c>
      <c r="GN32" s="513" t="str">
        <f t="shared" si="177"/>
        <v/>
      </c>
      <c r="GO32" s="513" t="str">
        <f t="shared" si="178"/>
        <v/>
      </c>
      <c r="GP32" s="513" t="str">
        <f t="shared" si="179"/>
        <v/>
      </c>
      <c r="GQ32" s="513" t="str">
        <f t="shared" si="180"/>
        <v/>
      </c>
      <c r="GR32" s="513" t="str">
        <f t="shared" si="181"/>
        <v/>
      </c>
      <c r="GS32" s="513" t="str">
        <f t="shared" si="182"/>
        <v/>
      </c>
      <c r="GT32" s="513" t="str">
        <f t="shared" si="183"/>
        <v/>
      </c>
      <c r="GU32" s="513" t="str">
        <f t="shared" si="184"/>
        <v/>
      </c>
      <c r="GV32" s="513" t="str">
        <f t="shared" si="185"/>
        <v/>
      </c>
      <c r="GW32" s="513" t="str">
        <f t="shared" si="186"/>
        <v/>
      </c>
      <c r="GX32" s="513" t="str">
        <f t="shared" si="187"/>
        <v/>
      </c>
      <c r="GY32" s="513" t="str">
        <f t="shared" si="188"/>
        <v/>
      </c>
      <c r="GZ32" s="513" t="str">
        <f t="shared" si="189"/>
        <v/>
      </c>
      <c r="HA32" s="513" t="str">
        <f t="shared" si="190"/>
        <v/>
      </c>
      <c r="HB32" s="513" t="str">
        <f t="shared" si="191"/>
        <v/>
      </c>
      <c r="HC32" s="513" t="str">
        <f t="shared" si="192"/>
        <v/>
      </c>
      <c r="HD32" s="513" t="str">
        <f t="shared" si="193"/>
        <v/>
      </c>
      <c r="HE32" s="513" t="str">
        <f t="shared" si="194"/>
        <v/>
      </c>
      <c r="HF32" s="513" t="str">
        <f t="shared" si="195"/>
        <v/>
      </c>
      <c r="HG32" s="513" t="str">
        <f t="shared" si="196"/>
        <v/>
      </c>
      <c r="HH32" s="513" t="str">
        <f t="shared" si="197"/>
        <v/>
      </c>
      <c r="HI32" s="513" t="str">
        <f t="shared" si="198"/>
        <v/>
      </c>
      <c r="HJ32" s="513" t="str">
        <f t="shared" si="199"/>
        <v/>
      </c>
      <c r="HK32" s="513" t="str">
        <f t="shared" si="200"/>
        <v/>
      </c>
      <c r="HL32" s="513" t="str">
        <f t="shared" si="201"/>
        <v/>
      </c>
      <c r="HM32" s="513" t="str">
        <f t="shared" si="202"/>
        <v/>
      </c>
      <c r="HN32" s="513" t="str">
        <f t="shared" si="203"/>
        <v/>
      </c>
      <c r="HO32" s="513" t="str">
        <f t="shared" si="204"/>
        <v/>
      </c>
      <c r="HP32" s="513" t="str">
        <f t="shared" si="205"/>
        <v/>
      </c>
      <c r="HQ32" s="513" t="str">
        <f t="shared" si="206"/>
        <v/>
      </c>
      <c r="HR32" s="513" t="str">
        <f t="shared" si="207"/>
        <v/>
      </c>
      <c r="HS32" s="513" t="str">
        <f t="shared" si="208"/>
        <v/>
      </c>
      <c r="HT32" s="513" t="str">
        <f t="shared" si="209"/>
        <v/>
      </c>
      <c r="HU32" s="513" t="str">
        <f t="shared" si="210"/>
        <v/>
      </c>
      <c r="HV32" s="513" t="str">
        <f t="shared" si="211"/>
        <v/>
      </c>
      <c r="HW32" s="513" t="str">
        <f t="shared" si="212"/>
        <v/>
      </c>
      <c r="HX32" s="513" t="str">
        <f t="shared" si="213"/>
        <v/>
      </c>
      <c r="HY32" s="513" t="str">
        <f t="shared" si="214"/>
        <v/>
      </c>
      <c r="HZ32" s="513" t="str">
        <f t="shared" si="215"/>
        <v/>
      </c>
      <c r="IA32" s="513" t="str">
        <f t="shared" si="216"/>
        <v/>
      </c>
      <c r="IB32" s="513" t="str">
        <f t="shared" si="217"/>
        <v/>
      </c>
      <c r="IC32" s="513" t="str">
        <f t="shared" si="218"/>
        <v/>
      </c>
      <c r="ID32" s="514" t="str">
        <f t="shared" si="219"/>
        <v/>
      </c>
      <c r="IE32" s="514" t="str">
        <f t="shared" si="220"/>
        <v/>
      </c>
      <c r="IF32" s="514" t="str">
        <f t="shared" si="221"/>
        <v/>
      </c>
      <c r="IG32" s="514" t="str">
        <f t="shared" si="222"/>
        <v/>
      </c>
      <c r="IH32" s="514" t="str">
        <f t="shared" si="223"/>
        <v/>
      </c>
      <c r="II32" s="503" t="str">
        <f t="shared" si="224"/>
        <v/>
      </c>
      <c r="IJ32" s="503" t="str">
        <f t="shared" si="225"/>
        <v/>
      </c>
      <c r="IK32" s="503" t="str">
        <f t="shared" si="226"/>
        <v/>
      </c>
      <c r="IL32" s="503" t="str">
        <f t="shared" si="227"/>
        <v/>
      </c>
      <c r="IM32" s="503" t="str">
        <f t="shared" si="228"/>
        <v/>
      </c>
      <c r="IN32" s="503" t="str">
        <f t="shared" si="229"/>
        <v/>
      </c>
      <c r="IO32" s="503" t="str">
        <f t="shared" si="230"/>
        <v/>
      </c>
      <c r="IP32" s="503" t="str">
        <f t="shared" si="231"/>
        <v/>
      </c>
      <c r="IQ32" s="503" t="str">
        <f t="shared" si="232"/>
        <v/>
      </c>
      <c r="IR32" s="503" t="str">
        <f t="shared" si="233"/>
        <v/>
      </c>
      <c r="IS32" s="503" t="str">
        <f t="shared" si="234"/>
        <v/>
      </c>
      <c r="IT32" s="503" t="str">
        <f t="shared" si="235"/>
        <v/>
      </c>
      <c r="IU32" s="503" t="str">
        <f t="shared" si="236"/>
        <v/>
      </c>
      <c r="IV32" s="503" t="str">
        <f t="shared" si="237"/>
        <v/>
      </c>
      <c r="IW32" s="503" t="str">
        <f t="shared" si="238"/>
        <v/>
      </c>
      <c r="IX32" s="503" t="str">
        <f t="shared" si="239"/>
        <v/>
      </c>
      <c r="IY32" s="503" t="str">
        <f t="shared" si="240"/>
        <v/>
      </c>
      <c r="IZ32" s="503" t="str">
        <f t="shared" si="241"/>
        <v/>
      </c>
      <c r="JA32" s="503" t="str">
        <f t="shared" si="242"/>
        <v/>
      </c>
      <c r="JB32" s="503" t="str">
        <f t="shared" si="243"/>
        <v/>
      </c>
      <c r="JC32" s="512">
        <f t="shared" si="244"/>
        <v>0</v>
      </c>
      <c r="JD32" s="512">
        <f t="shared" si="245"/>
        <v>0</v>
      </c>
      <c r="JE32" s="512">
        <f t="shared" si="246"/>
        <v>0</v>
      </c>
      <c r="JF32" s="512">
        <f t="shared" si="247"/>
        <v>0</v>
      </c>
      <c r="JG32" s="512">
        <f t="shared" si="248"/>
        <v>0</v>
      </c>
      <c r="JH32" s="512">
        <f t="shared" si="249"/>
        <v>0</v>
      </c>
      <c r="JI32" s="512">
        <f t="shared" si="250"/>
        <v>0</v>
      </c>
      <c r="JJ32" s="512">
        <f t="shared" si="251"/>
        <v>0</v>
      </c>
      <c r="JK32" s="512">
        <f t="shared" si="252"/>
        <v>0</v>
      </c>
      <c r="JL32" s="512">
        <f t="shared" si="253"/>
        <v>0</v>
      </c>
      <c r="JM32" s="512">
        <f t="shared" si="254"/>
        <v>0</v>
      </c>
      <c r="JN32" s="512">
        <f t="shared" si="255"/>
        <v>0</v>
      </c>
      <c r="JO32" s="512">
        <f t="shared" si="256"/>
        <v>0</v>
      </c>
      <c r="JP32" s="512">
        <f t="shared" si="257"/>
        <v>0</v>
      </c>
      <c r="JQ32" s="512">
        <f t="shared" si="258"/>
        <v>0</v>
      </c>
    </row>
    <row r="33" spans="1:296" ht="12" customHeight="1">
      <c r="A33" s="115" t="str">
        <f t="shared" si="0"/>
        <v/>
      </c>
      <c r="B33" s="3218" t="s">
        <v>1847</v>
      </c>
      <c r="C33" s="3219"/>
      <c r="D33" s="3220"/>
      <c r="E33" s="3221"/>
      <c r="F33" s="3221"/>
      <c r="G33" s="3221"/>
      <c r="H33" s="3221"/>
      <c r="I33" s="3221"/>
      <c r="J33" s="3222"/>
      <c r="K33" s="859">
        <f t="shared" si="1"/>
        <v>0</v>
      </c>
      <c r="L33" s="859">
        <f t="shared" si="2"/>
        <v>0</v>
      </c>
      <c r="M33" s="3223"/>
      <c r="N33" s="3223"/>
      <c r="O33" s="3223"/>
      <c r="P33" s="3224"/>
      <c r="Q33" s="1384" t="str">
        <f t="shared" si="3"/>
        <v/>
      </c>
      <c r="R33" s="1385" t="str">
        <f>IF(H33="","",IF(C33="Efficiency",Q33/($O$6*VLOOKUP(0,'DCA Underwriting Assumptions'!$J$132:$K$137,2,FALSE)),Q33/($O$6*VLOOKUP(C33,'DCA Underwriting Assumptions'!$J$132:$K$137,2,FALSE))))</f>
        <v/>
      </c>
      <c r="S33" s="1386"/>
      <c r="T33" s="1387"/>
      <c r="U33" s="3225"/>
      <c r="V33" s="3156"/>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461" t="str">
        <f t="shared" si="134"/>
        <v/>
      </c>
      <c r="EX33" s="513" t="str">
        <f t="shared" si="135"/>
        <v/>
      </c>
      <c r="EY33" s="513" t="str">
        <f t="shared" si="136"/>
        <v/>
      </c>
      <c r="EZ33" s="513" t="str">
        <f t="shared" si="137"/>
        <v/>
      </c>
      <c r="FA33" s="513" t="str">
        <f t="shared" si="138"/>
        <v/>
      </c>
      <c r="FB33" s="513" t="str">
        <f t="shared" si="139"/>
        <v/>
      </c>
      <c r="FC33" s="513" t="str">
        <f t="shared" si="140"/>
        <v/>
      </c>
      <c r="FD33" s="513" t="str">
        <f t="shared" si="141"/>
        <v/>
      </c>
      <c r="FE33" s="513" t="str">
        <f t="shared" si="142"/>
        <v/>
      </c>
      <c r="FF33" s="513" t="str">
        <f t="shared" si="143"/>
        <v/>
      </c>
      <c r="FG33" s="513" t="str">
        <f t="shared" si="144"/>
        <v/>
      </c>
      <c r="FH33" s="513" t="str">
        <f t="shared" si="145"/>
        <v/>
      </c>
      <c r="FI33" s="513" t="str">
        <f t="shared" si="146"/>
        <v/>
      </c>
      <c r="FJ33" s="513" t="str">
        <f t="shared" si="147"/>
        <v/>
      </c>
      <c r="FK33" s="513" t="str">
        <f t="shared" si="148"/>
        <v/>
      </c>
      <c r="FL33" s="513" t="str">
        <f t="shared" si="149"/>
        <v/>
      </c>
      <c r="FM33" s="513" t="str">
        <f t="shared" si="150"/>
        <v/>
      </c>
      <c r="FN33" s="513" t="str">
        <f t="shared" si="151"/>
        <v/>
      </c>
      <c r="FO33" s="513" t="str">
        <f t="shared" si="152"/>
        <v/>
      </c>
      <c r="FP33" s="513" t="str">
        <f t="shared" si="153"/>
        <v/>
      </c>
      <c r="FQ33" s="513" t="str">
        <f t="shared" si="154"/>
        <v/>
      </c>
      <c r="FR33" s="513" t="str">
        <f t="shared" si="155"/>
        <v/>
      </c>
      <c r="FS33" s="513" t="str">
        <f t="shared" si="156"/>
        <v/>
      </c>
      <c r="FT33" s="513" t="str">
        <f t="shared" si="157"/>
        <v/>
      </c>
      <c r="FU33" s="513" t="str">
        <f t="shared" si="158"/>
        <v/>
      </c>
      <c r="FV33" s="513" t="str">
        <f t="shared" si="159"/>
        <v/>
      </c>
      <c r="FW33" s="513" t="str">
        <f t="shared" si="160"/>
        <v/>
      </c>
      <c r="FX33" s="513" t="str">
        <f t="shared" si="161"/>
        <v/>
      </c>
      <c r="FY33" s="513" t="str">
        <f t="shared" si="162"/>
        <v/>
      </c>
      <c r="FZ33" s="513" t="str">
        <f t="shared" si="163"/>
        <v/>
      </c>
      <c r="GA33" s="513" t="str">
        <f t="shared" si="164"/>
        <v/>
      </c>
      <c r="GB33" s="513" t="str">
        <f t="shared" si="165"/>
        <v/>
      </c>
      <c r="GC33" s="513" t="str">
        <f t="shared" si="166"/>
        <v/>
      </c>
      <c r="GD33" s="513" t="str">
        <f t="shared" si="167"/>
        <v/>
      </c>
      <c r="GE33" s="513" t="str">
        <f t="shared" si="168"/>
        <v/>
      </c>
      <c r="GF33" s="513" t="str">
        <f t="shared" si="169"/>
        <v/>
      </c>
      <c r="GG33" s="513" t="str">
        <f t="shared" si="170"/>
        <v/>
      </c>
      <c r="GH33" s="513" t="str">
        <f t="shared" si="171"/>
        <v/>
      </c>
      <c r="GI33" s="513" t="str">
        <f t="shared" si="172"/>
        <v/>
      </c>
      <c r="GJ33" s="513" t="str">
        <f t="shared" si="173"/>
        <v/>
      </c>
      <c r="GK33" s="513" t="str">
        <f t="shared" si="174"/>
        <v/>
      </c>
      <c r="GL33" s="513" t="str">
        <f t="shared" si="175"/>
        <v/>
      </c>
      <c r="GM33" s="513" t="str">
        <f t="shared" si="176"/>
        <v/>
      </c>
      <c r="GN33" s="513" t="str">
        <f t="shared" si="177"/>
        <v/>
      </c>
      <c r="GO33" s="513" t="str">
        <f t="shared" si="178"/>
        <v/>
      </c>
      <c r="GP33" s="513" t="str">
        <f t="shared" si="179"/>
        <v/>
      </c>
      <c r="GQ33" s="513" t="str">
        <f t="shared" si="180"/>
        <v/>
      </c>
      <c r="GR33" s="513" t="str">
        <f t="shared" si="181"/>
        <v/>
      </c>
      <c r="GS33" s="513" t="str">
        <f t="shared" si="182"/>
        <v/>
      </c>
      <c r="GT33" s="513" t="str">
        <f t="shared" si="183"/>
        <v/>
      </c>
      <c r="GU33" s="513" t="str">
        <f t="shared" si="184"/>
        <v/>
      </c>
      <c r="GV33" s="513" t="str">
        <f t="shared" si="185"/>
        <v/>
      </c>
      <c r="GW33" s="513" t="str">
        <f t="shared" si="186"/>
        <v/>
      </c>
      <c r="GX33" s="513" t="str">
        <f t="shared" si="187"/>
        <v/>
      </c>
      <c r="GY33" s="513" t="str">
        <f t="shared" si="188"/>
        <v/>
      </c>
      <c r="GZ33" s="513" t="str">
        <f t="shared" si="189"/>
        <v/>
      </c>
      <c r="HA33" s="513" t="str">
        <f t="shared" si="190"/>
        <v/>
      </c>
      <c r="HB33" s="513" t="str">
        <f t="shared" si="191"/>
        <v/>
      </c>
      <c r="HC33" s="513" t="str">
        <f t="shared" si="192"/>
        <v/>
      </c>
      <c r="HD33" s="513" t="str">
        <f t="shared" si="193"/>
        <v/>
      </c>
      <c r="HE33" s="513" t="str">
        <f t="shared" si="194"/>
        <v/>
      </c>
      <c r="HF33" s="513" t="str">
        <f t="shared" si="195"/>
        <v/>
      </c>
      <c r="HG33" s="513" t="str">
        <f t="shared" si="196"/>
        <v/>
      </c>
      <c r="HH33" s="513" t="str">
        <f t="shared" si="197"/>
        <v/>
      </c>
      <c r="HI33" s="513" t="str">
        <f t="shared" si="198"/>
        <v/>
      </c>
      <c r="HJ33" s="513" t="str">
        <f t="shared" si="199"/>
        <v/>
      </c>
      <c r="HK33" s="513" t="str">
        <f t="shared" si="200"/>
        <v/>
      </c>
      <c r="HL33" s="513" t="str">
        <f t="shared" si="201"/>
        <v/>
      </c>
      <c r="HM33" s="513" t="str">
        <f t="shared" si="202"/>
        <v/>
      </c>
      <c r="HN33" s="513" t="str">
        <f t="shared" si="203"/>
        <v/>
      </c>
      <c r="HO33" s="513" t="str">
        <f t="shared" si="204"/>
        <v/>
      </c>
      <c r="HP33" s="513" t="str">
        <f t="shared" si="205"/>
        <v/>
      </c>
      <c r="HQ33" s="513" t="str">
        <f t="shared" si="206"/>
        <v/>
      </c>
      <c r="HR33" s="513" t="str">
        <f t="shared" si="207"/>
        <v/>
      </c>
      <c r="HS33" s="513" t="str">
        <f t="shared" si="208"/>
        <v/>
      </c>
      <c r="HT33" s="513" t="str">
        <f t="shared" si="209"/>
        <v/>
      </c>
      <c r="HU33" s="513" t="str">
        <f t="shared" si="210"/>
        <v/>
      </c>
      <c r="HV33" s="513" t="str">
        <f t="shared" si="211"/>
        <v/>
      </c>
      <c r="HW33" s="513" t="str">
        <f t="shared" si="212"/>
        <v/>
      </c>
      <c r="HX33" s="513" t="str">
        <f t="shared" si="213"/>
        <v/>
      </c>
      <c r="HY33" s="513" t="str">
        <f t="shared" si="214"/>
        <v/>
      </c>
      <c r="HZ33" s="513" t="str">
        <f t="shared" si="215"/>
        <v/>
      </c>
      <c r="IA33" s="513" t="str">
        <f t="shared" si="216"/>
        <v/>
      </c>
      <c r="IB33" s="513" t="str">
        <f t="shared" si="217"/>
        <v/>
      </c>
      <c r="IC33" s="513" t="str">
        <f t="shared" si="218"/>
        <v/>
      </c>
      <c r="ID33" s="514" t="str">
        <f t="shared" si="219"/>
        <v/>
      </c>
      <c r="IE33" s="514" t="str">
        <f t="shared" si="220"/>
        <v/>
      </c>
      <c r="IF33" s="514" t="str">
        <f t="shared" si="221"/>
        <v/>
      </c>
      <c r="IG33" s="514" t="str">
        <f t="shared" si="222"/>
        <v/>
      </c>
      <c r="IH33" s="514" t="str">
        <f t="shared" si="223"/>
        <v/>
      </c>
      <c r="II33" s="503" t="str">
        <f t="shared" si="224"/>
        <v/>
      </c>
      <c r="IJ33" s="503" t="str">
        <f t="shared" si="225"/>
        <v/>
      </c>
      <c r="IK33" s="503" t="str">
        <f t="shared" si="226"/>
        <v/>
      </c>
      <c r="IL33" s="503" t="str">
        <f t="shared" si="227"/>
        <v/>
      </c>
      <c r="IM33" s="503" t="str">
        <f t="shared" si="228"/>
        <v/>
      </c>
      <c r="IN33" s="503" t="str">
        <f t="shared" si="229"/>
        <v/>
      </c>
      <c r="IO33" s="503" t="str">
        <f t="shared" si="230"/>
        <v/>
      </c>
      <c r="IP33" s="503" t="str">
        <f t="shared" si="231"/>
        <v/>
      </c>
      <c r="IQ33" s="503" t="str">
        <f t="shared" si="232"/>
        <v/>
      </c>
      <c r="IR33" s="503" t="str">
        <f t="shared" si="233"/>
        <v/>
      </c>
      <c r="IS33" s="503" t="str">
        <f t="shared" si="234"/>
        <v/>
      </c>
      <c r="IT33" s="503" t="str">
        <f t="shared" si="235"/>
        <v/>
      </c>
      <c r="IU33" s="503" t="str">
        <f t="shared" si="236"/>
        <v/>
      </c>
      <c r="IV33" s="503" t="str">
        <f t="shared" si="237"/>
        <v/>
      </c>
      <c r="IW33" s="503" t="str">
        <f t="shared" si="238"/>
        <v/>
      </c>
      <c r="IX33" s="503" t="str">
        <f t="shared" si="239"/>
        <v/>
      </c>
      <c r="IY33" s="503" t="str">
        <f t="shared" si="240"/>
        <v/>
      </c>
      <c r="IZ33" s="503" t="str">
        <f t="shared" si="241"/>
        <v/>
      </c>
      <c r="JA33" s="503" t="str">
        <f t="shared" si="242"/>
        <v/>
      </c>
      <c r="JB33" s="503" t="str">
        <f t="shared" si="243"/>
        <v/>
      </c>
      <c r="JC33" s="512">
        <f t="shared" si="244"/>
        <v>0</v>
      </c>
      <c r="JD33" s="512">
        <f t="shared" si="245"/>
        <v>0</v>
      </c>
      <c r="JE33" s="512">
        <f t="shared" si="246"/>
        <v>0</v>
      </c>
      <c r="JF33" s="512">
        <f t="shared" si="247"/>
        <v>0</v>
      </c>
      <c r="JG33" s="512">
        <f t="shared" si="248"/>
        <v>0</v>
      </c>
      <c r="JH33" s="512">
        <f t="shared" si="249"/>
        <v>0</v>
      </c>
      <c r="JI33" s="512">
        <f t="shared" si="250"/>
        <v>0</v>
      </c>
      <c r="JJ33" s="512">
        <f t="shared" si="251"/>
        <v>0</v>
      </c>
      <c r="JK33" s="512">
        <f t="shared" si="252"/>
        <v>0</v>
      </c>
      <c r="JL33" s="512">
        <f t="shared" si="253"/>
        <v>0</v>
      </c>
      <c r="JM33" s="512">
        <f t="shared" si="254"/>
        <v>0</v>
      </c>
      <c r="JN33" s="512">
        <f t="shared" si="255"/>
        <v>0</v>
      </c>
      <c r="JO33" s="512">
        <f t="shared" si="256"/>
        <v>0</v>
      </c>
      <c r="JP33" s="512">
        <f t="shared" si="257"/>
        <v>0</v>
      </c>
      <c r="JQ33" s="512">
        <f t="shared" si="258"/>
        <v>0</v>
      </c>
    </row>
    <row r="34" spans="1:296" ht="12" customHeight="1">
      <c r="A34" s="115" t="str">
        <f t="shared" si="0"/>
        <v/>
      </c>
      <c r="B34" s="3218" t="s">
        <v>1847</v>
      </c>
      <c r="C34" s="3219"/>
      <c r="D34" s="3220"/>
      <c r="E34" s="3221"/>
      <c r="F34" s="3221"/>
      <c r="G34" s="3221"/>
      <c r="H34" s="3221"/>
      <c r="I34" s="3221"/>
      <c r="J34" s="3222"/>
      <c r="K34" s="859">
        <f t="shared" si="1"/>
        <v>0</v>
      </c>
      <c r="L34" s="859">
        <f t="shared" si="2"/>
        <v>0</v>
      </c>
      <c r="M34" s="3223"/>
      <c r="N34" s="3223"/>
      <c r="O34" s="3223"/>
      <c r="P34" s="3224"/>
      <c r="Q34" s="1384" t="str">
        <f t="shared" si="3"/>
        <v/>
      </c>
      <c r="R34" s="1385" t="str">
        <f>IF(H34="","",IF(C34="Efficiency",Q34/($O$6*VLOOKUP(0,'DCA Underwriting Assumptions'!$J$132:$K$137,2,FALSE)),Q34/($O$6*VLOOKUP(C34,'DCA Underwriting Assumptions'!$J$132:$K$137,2,FALSE))))</f>
        <v/>
      </c>
      <c r="S34" s="1386"/>
      <c r="T34" s="1387"/>
      <c r="U34" s="3225"/>
      <c r="V34" s="3156"/>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461" t="str">
        <f t="shared" si="134"/>
        <v/>
      </c>
      <c r="EX34" s="513" t="str">
        <f t="shared" si="135"/>
        <v/>
      </c>
      <c r="EY34" s="513" t="str">
        <f t="shared" si="136"/>
        <v/>
      </c>
      <c r="EZ34" s="513" t="str">
        <f t="shared" si="137"/>
        <v/>
      </c>
      <c r="FA34" s="513" t="str">
        <f t="shared" si="138"/>
        <v/>
      </c>
      <c r="FB34" s="513" t="str">
        <f t="shared" si="139"/>
        <v/>
      </c>
      <c r="FC34" s="513" t="str">
        <f t="shared" si="140"/>
        <v/>
      </c>
      <c r="FD34" s="513" t="str">
        <f t="shared" si="141"/>
        <v/>
      </c>
      <c r="FE34" s="513" t="str">
        <f t="shared" si="142"/>
        <v/>
      </c>
      <c r="FF34" s="513" t="str">
        <f t="shared" si="143"/>
        <v/>
      </c>
      <c r="FG34" s="513" t="str">
        <f t="shared" si="144"/>
        <v/>
      </c>
      <c r="FH34" s="513" t="str">
        <f t="shared" si="145"/>
        <v/>
      </c>
      <c r="FI34" s="513" t="str">
        <f t="shared" si="146"/>
        <v/>
      </c>
      <c r="FJ34" s="513" t="str">
        <f t="shared" si="147"/>
        <v/>
      </c>
      <c r="FK34" s="513" t="str">
        <f t="shared" si="148"/>
        <v/>
      </c>
      <c r="FL34" s="513" t="str">
        <f t="shared" si="149"/>
        <v/>
      </c>
      <c r="FM34" s="513" t="str">
        <f t="shared" si="150"/>
        <v/>
      </c>
      <c r="FN34" s="513" t="str">
        <f t="shared" si="151"/>
        <v/>
      </c>
      <c r="FO34" s="513" t="str">
        <f t="shared" si="152"/>
        <v/>
      </c>
      <c r="FP34" s="513" t="str">
        <f t="shared" si="153"/>
        <v/>
      </c>
      <c r="FQ34" s="513" t="str">
        <f t="shared" si="154"/>
        <v/>
      </c>
      <c r="FR34" s="513" t="str">
        <f t="shared" si="155"/>
        <v/>
      </c>
      <c r="FS34" s="513" t="str">
        <f t="shared" si="156"/>
        <v/>
      </c>
      <c r="FT34" s="513" t="str">
        <f t="shared" si="157"/>
        <v/>
      </c>
      <c r="FU34" s="513" t="str">
        <f t="shared" si="158"/>
        <v/>
      </c>
      <c r="FV34" s="513" t="str">
        <f t="shared" si="159"/>
        <v/>
      </c>
      <c r="FW34" s="513" t="str">
        <f t="shared" si="160"/>
        <v/>
      </c>
      <c r="FX34" s="513" t="str">
        <f t="shared" si="161"/>
        <v/>
      </c>
      <c r="FY34" s="513" t="str">
        <f t="shared" si="162"/>
        <v/>
      </c>
      <c r="FZ34" s="513" t="str">
        <f t="shared" si="163"/>
        <v/>
      </c>
      <c r="GA34" s="513" t="str">
        <f t="shared" si="164"/>
        <v/>
      </c>
      <c r="GB34" s="513" t="str">
        <f t="shared" si="165"/>
        <v/>
      </c>
      <c r="GC34" s="513" t="str">
        <f t="shared" si="166"/>
        <v/>
      </c>
      <c r="GD34" s="513" t="str">
        <f t="shared" si="167"/>
        <v/>
      </c>
      <c r="GE34" s="513" t="str">
        <f t="shared" si="168"/>
        <v/>
      </c>
      <c r="GF34" s="513" t="str">
        <f t="shared" si="169"/>
        <v/>
      </c>
      <c r="GG34" s="513" t="str">
        <f t="shared" si="170"/>
        <v/>
      </c>
      <c r="GH34" s="513" t="str">
        <f t="shared" si="171"/>
        <v/>
      </c>
      <c r="GI34" s="513" t="str">
        <f t="shared" si="172"/>
        <v/>
      </c>
      <c r="GJ34" s="513" t="str">
        <f t="shared" si="173"/>
        <v/>
      </c>
      <c r="GK34" s="513" t="str">
        <f t="shared" si="174"/>
        <v/>
      </c>
      <c r="GL34" s="513" t="str">
        <f t="shared" si="175"/>
        <v/>
      </c>
      <c r="GM34" s="513" t="str">
        <f t="shared" si="176"/>
        <v/>
      </c>
      <c r="GN34" s="513" t="str">
        <f t="shared" si="177"/>
        <v/>
      </c>
      <c r="GO34" s="513" t="str">
        <f t="shared" si="178"/>
        <v/>
      </c>
      <c r="GP34" s="513" t="str">
        <f t="shared" si="179"/>
        <v/>
      </c>
      <c r="GQ34" s="513" t="str">
        <f t="shared" si="180"/>
        <v/>
      </c>
      <c r="GR34" s="513" t="str">
        <f t="shared" si="181"/>
        <v/>
      </c>
      <c r="GS34" s="513" t="str">
        <f t="shared" si="182"/>
        <v/>
      </c>
      <c r="GT34" s="513" t="str">
        <f t="shared" si="183"/>
        <v/>
      </c>
      <c r="GU34" s="513" t="str">
        <f t="shared" si="184"/>
        <v/>
      </c>
      <c r="GV34" s="513" t="str">
        <f t="shared" si="185"/>
        <v/>
      </c>
      <c r="GW34" s="513" t="str">
        <f t="shared" si="186"/>
        <v/>
      </c>
      <c r="GX34" s="513" t="str">
        <f t="shared" si="187"/>
        <v/>
      </c>
      <c r="GY34" s="513" t="str">
        <f t="shared" si="188"/>
        <v/>
      </c>
      <c r="GZ34" s="513" t="str">
        <f t="shared" si="189"/>
        <v/>
      </c>
      <c r="HA34" s="513" t="str">
        <f t="shared" si="190"/>
        <v/>
      </c>
      <c r="HB34" s="513" t="str">
        <f t="shared" si="191"/>
        <v/>
      </c>
      <c r="HC34" s="513" t="str">
        <f t="shared" si="192"/>
        <v/>
      </c>
      <c r="HD34" s="513" t="str">
        <f t="shared" si="193"/>
        <v/>
      </c>
      <c r="HE34" s="513" t="str">
        <f t="shared" si="194"/>
        <v/>
      </c>
      <c r="HF34" s="513" t="str">
        <f t="shared" si="195"/>
        <v/>
      </c>
      <c r="HG34" s="513" t="str">
        <f t="shared" si="196"/>
        <v/>
      </c>
      <c r="HH34" s="513" t="str">
        <f t="shared" si="197"/>
        <v/>
      </c>
      <c r="HI34" s="513" t="str">
        <f t="shared" si="198"/>
        <v/>
      </c>
      <c r="HJ34" s="513" t="str">
        <f t="shared" si="199"/>
        <v/>
      </c>
      <c r="HK34" s="513" t="str">
        <f t="shared" si="200"/>
        <v/>
      </c>
      <c r="HL34" s="513" t="str">
        <f t="shared" si="201"/>
        <v/>
      </c>
      <c r="HM34" s="513" t="str">
        <f t="shared" si="202"/>
        <v/>
      </c>
      <c r="HN34" s="513" t="str">
        <f t="shared" si="203"/>
        <v/>
      </c>
      <c r="HO34" s="513" t="str">
        <f t="shared" si="204"/>
        <v/>
      </c>
      <c r="HP34" s="513" t="str">
        <f t="shared" si="205"/>
        <v/>
      </c>
      <c r="HQ34" s="513" t="str">
        <f t="shared" si="206"/>
        <v/>
      </c>
      <c r="HR34" s="513" t="str">
        <f t="shared" si="207"/>
        <v/>
      </c>
      <c r="HS34" s="513" t="str">
        <f t="shared" si="208"/>
        <v/>
      </c>
      <c r="HT34" s="513" t="str">
        <f t="shared" si="209"/>
        <v/>
      </c>
      <c r="HU34" s="513" t="str">
        <f t="shared" si="210"/>
        <v/>
      </c>
      <c r="HV34" s="513" t="str">
        <f t="shared" si="211"/>
        <v/>
      </c>
      <c r="HW34" s="513" t="str">
        <f t="shared" si="212"/>
        <v/>
      </c>
      <c r="HX34" s="513" t="str">
        <f t="shared" si="213"/>
        <v/>
      </c>
      <c r="HY34" s="513" t="str">
        <f t="shared" si="214"/>
        <v/>
      </c>
      <c r="HZ34" s="513" t="str">
        <f t="shared" si="215"/>
        <v/>
      </c>
      <c r="IA34" s="513" t="str">
        <f t="shared" si="216"/>
        <v/>
      </c>
      <c r="IB34" s="513" t="str">
        <f t="shared" si="217"/>
        <v/>
      </c>
      <c r="IC34" s="513" t="str">
        <f t="shared" si="218"/>
        <v/>
      </c>
      <c r="ID34" s="514" t="str">
        <f t="shared" si="219"/>
        <v/>
      </c>
      <c r="IE34" s="514" t="str">
        <f t="shared" si="220"/>
        <v/>
      </c>
      <c r="IF34" s="514" t="str">
        <f t="shared" si="221"/>
        <v/>
      </c>
      <c r="IG34" s="514" t="str">
        <f t="shared" si="222"/>
        <v/>
      </c>
      <c r="IH34" s="514" t="str">
        <f t="shared" si="223"/>
        <v/>
      </c>
      <c r="II34" s="503" t="str">
        <f t="shared" si="224"/>
        <v/>
      </c>
      <c r="IJ34" s="503" t="str">
        <f t="shared" si="225"/>
        <v/>
      </c>
      <c r="IK34" s="503" t="str">
        <f t="shared" si="226"/>
        <v/>
      </c>
      <c r="IL34" s="503" t="str">
        <f t="shared" si="227"/>
        <v/>
      </c>
      <c r="IM34" s="503" t="str">
        <f t="shared" si="228"/>
        <v/>
      </c>
      <c r="IN34" s="503" t="str">
        <f t="shared" si="229"/>
        <v/>
      </c>
      <c r="IO34" s="503" t="str">
        <f t="shared" si="230"/>
        <v/>
      </c>
      <c r="IP34" s="503" t="str">
        <f t="shared" si="231"/>
        <v/>
      </c>
      <c r="IQ34" s="503" t="str">
        <f t="shared" si="232"/>
        <v/>
      </c>
      <c r="IR34" s="503" t="str">
        <f t="shared" si="233"/>
        <v/>
      </c>
      <c r="IS34" s="503" t="str">
        <f t="shared" si="234"/>
        <v/>
      </c>
      <c r="IT34" s="503" t="str">
        <f t="shared" si="235"/>
        <v/>
      </c>
      <c r="IU34" s="503" t="str">
        <f t="shared" si="236"/>
        <v/>
      </c>
      <c r="IV34" s="503" t="str">
        <f t="shared" si="237"/>
        <v/>
      </c>
      <c r="IW34" s="503" t="str">
        <f t="shared" si="238"/>
        <v/>
      </c>
      <c r="IX34" s="503" t="str">
        <f t="shared" si="239"/>
        <v/>
      </c>
      <c r="IY34" s="503" t="str">
        <f t="shared" si="240"/>
        <v/>
      </c>
      <c r="IZ34" s="503" t="str">
        <f t="shared" si="241"/>
        <v/>
      </c>
      <c r="JA34" s="503" t="str">
        <f t="shared" si="242"/>
        <v/>
      </c>
      <c r="JB34" s="503" t="str">
        <f t="shared" si="243"/>
        <v/>
      </c>
      <c r="JC34" s="512">
        <f t="shared" si="244"/>
        <v>0</v>
      </c>
      <c r="JD34" s="512">
        <f t="shared" si="245"/>
        <v>0</v>
      </c>
      <c r="JE34" s="512">
        <f t="shared" si="246"/>
        <v>0</v>
      </c>
      <c r="JF34" s="512">
        <f t="shared" si="247"/>
        <v>0</v>
      </c>
      <c r="JG34" s="512">
        <f t="shared" si="248"/>
        <v>0</v>
      </c>
      <c r="JH34" s="512">
        <f t="shared" si="249"/>
        <v>0</v>
      </c>
      <c r="JI34" s="512">
        <f t="shared" si="250"/>
        <v>0</v>
      </c>
      <c r="JJ34" s="512">
        <f t="shared" si="251"/>
        <v>0</v>
      </c>
      <c r="JK34" s="512">
        <f t="shared" si="252"/>
        <v>0</v>
      </c>
      <c r="JL34" s="512">
        <f t="shared" si="253"/>
        <v>0</v>
      </c>
      <c r="JM34" s="512">
        <f t="shared" si="254"/>
        <v>0</v>
      </c>
      <c r="JN34" s="512">
        <f t="shared" si="255"/>
        <v>0</v>
      </c>
      <c r="JO34" s="512">
        <f t="shared" si="256"/>
        <v>0</v>
      </c>
      <c r="JP34" s="512">
        <f t="shared" si="257"/>
        <v>0</v>
      </c>
      <c r="JQ34" s="512">
        <f t="shared" si="258"/>
        <v>0</v>
      </c>
    </row>
    <row r="35" spans="1:296" ht="12" customHeight="1">
      <c r="A35" s="115" t="str">
        <f t="shared" si="0"/>
        <v/>
      </c>
      <c r="B35" s="3218" t="s">
        <v>1847</v>
      </c>
      <c r="C35" s="3219"/>
      <c r="D35" s="3220"/>
      <c r="E35" s="3221"/>
      <c r="F35" s="3221"/>
      <c r="G35" s="3221"/>
      <c r="H35" s="3221"/>
      <c r="I35" s="3221"/>
      <c r="J35" s="3222"/>
      <c r="K35" s="859">
        <f t="shared" si="1"/>
        <v>0</v>
      </c>
      <c r="L35" s="859">
        <f t="shared" si="2"/>
        <v>0</v>
      </c>
      <c r="M35" s="3223"/>
      <c r="N35" s="3223"/>
      <c r="O35" s="3223"/>
      <c r="P35" s="3224"/>
      <c r="Q35" s="1384" t="str">
        <f t="shared" si="3"/>
        <v/>
      </c>
      <c r="R35" s="1385" t="str">
        <f>IF(H35="","",IF(C35="Efficiency",Q35/($O$6*VLOOKUP(0,'DCA Underwriting Assumptions'!$J$132:$K$137,2,FALSE)),Q35/($O$6*VLOOKUP(C35,'DCA Underwriting Assumptions'!$J$132:$K$137,2,FALSE))))</f>
        <v/>
      </c>
      <c r="S35" s="1386"/>
      <c r="T35" s="1387"/>
      <c r="U35" s="3225"/>
      <c r="V35" s="3156"/>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461" t="str">
        <f t="shared" si="134"/>
        <v/>
      </c>
      <c r="EX35" s="513" t="str">
        <f t="shared" si="135"/>
        <v/>
      </c>
      <c r="EY35" s="513" t="str">
        <f t="shared" si="136"/>
        <v/>
      </c>
      <c r="EZ35" s="513" t="str">
        <f t="shared" si="137"/>
        <v/>
      </c>
      <c r="FA35" s="513" t="str">
        <f t="shared" si="138"/>
        <v/>
      </c>
      <c r="FB35" s="513" t="str">
        <f t="shared" si="139"/>
        <v/>
      </c>
      <c r="FC35" s="513" t="str">
        <f t="shared" si="140"/>
        <v/>
      </c>
      <c r="FD35" s="513" t="str">
        <f t="shared" si="141"/>
        <v/>
      </c>
      <c r="FE35" s="513" t="str">
        <f t="shared" si="142"/>
        <v/>
      </c>
      <c r="FF35" s="513" t="str">
        <f t="shared" si="143"/>
        <v/>
      </c>
      <c r="FG35" s="513" t="str">
        <f t="shared" si="144"/>
        <v/>
      </c>
      <c r="FH35" s="513" t="str">
        <f t="shared" si="145"/>
        <v/>
      </c>
      <c r="FI35" s="513" t="str">
        <f t="shared" si="146"/>
        <v/>
      </c>
      <c r="FJ35" s="513" t="str">
        <f t="shared" si="147"/>
        <v/>
      </c>
      <c r="FK35" s="513" t="str">
        <f t="shared" si="148"/>
        <v/>
      </c>
      <c r="FL35" s="513" t="str">
        <f t="shared" si="149"/>
        <v/>
      </c>
      <c r="FM35" s="513" t="str">
        <f t="shared" si="150"/>
        <v/>
      </c>
      <c r="FN35" s="513" t="str">
        <f t="shared" si="151"/>
        <v/>
      </c>
      <c r="FO35" s="513" t="str">
        <f t="shared" si="152"/>
        <v/>
      </c>
      <c r="FP35" s="513" t="str">
        <f t="shared" si="153"/>
        <v/>
      </c>
      <c r="FQ35" s="513" t="str">
        <f t="shared" si="154"/>
        <v/>
      </c>
      <c r="FR35" s="513" t="str">
        <f t="shared" si="155"/>
        <v/>
      </c>
      <c r="FS35" s="513" t="str">
        <f t="shared" si="156"/>
        <v/>
      </c>
      <c r="FT35" s="513" t="str">
        <f t="shared" si="157"/>
        <v/>
      </c>
      <c r="FU35" s="513" t="str">
        <f t="shared" si="158"/>
        <v/>
      </c>
      <c r="FV35" s="513" t="str">
        <f t="shared" si="159"/>
        <v/>
      </c>
      <c r="FW35" s="513" t="str">
        <f t="shared" si="160"/>
        <v/>
      </c>
      <c r="FX35" s="513" t="str">
        <f t="shared" si="161"/>
        <v/>
      </c>
      <c r="FY35" s="513" t="str">
        <f t="shared" si="162"/>
        <v/>
      </c>
      <c r="FZ35" s="513" t="str">
        <f t="shared" si="163"/>
        <v/>
      </c>
      <c r="GA35" s="513" t="str">
        <f t="shared" si="164"/>
        <v/>
      </c>
      <c r="GB35" s="513" t="str">
        <f t="shared" si="165"/>
        <v/>
      </c>
      <c r="GC35" s="513" t="str">
        <f t="shared" si="166"/>
        <v/>
      </c>
      <c r="GD35" s="513" t="str">
        <f t="shared" si="167"/>
        <v/>
      </c>
      <c r="GE35" s="513" t="str">
        <f t="shared" si="168"/>
        <v/>
      </c>
      <c r="GF35" s="513" t="str">
        <f t="shared" si="169"/>
        <v/>
      </c>
      <c r="GG35" s="513" t="str">
        <f t="shared" si="170"/>
        <v/>
      </c>
      <c r="GH35" s="513" t="str">
        <f t="shared" si="171"/>
        <v/>
      </c>
      <c r="GI35" s="513" t="str">
        <f t="shared" si="172"/>
        <v/>
      </c>
      <c r="GJ35" s="513" t="str">
        <f t="shared" si="173"/>
        <v/>
      </c>
      <c r="GK35" s="513" t="str">
        <f t="shared" si="174"/>
        <v/>
      </c>
      <c r="GL35" s="513" t="str">
        <f t="shared" si="175"/>
        <v/>
      </c>
      <c r="GM35" s="513" t="str">
        <f t="shared" si="176"/>
        <v/>
      </c>
      <c r="GN35" s="513" t="str">
        <f t="shared" si="177"/>
        <v/>
      </c>
      <c r="GO35" s="513" t="str">
        <f t="shared" si="178"/>
        <v/>
      </c>
      <c r="GP35" s="513" t="str">
        <f t="shared" si="179"/>
        <v/>
      </c>
      <c r="GQ35" s="513" t="str">
        <f t="shared" si="180"/>
        <v/>
      </c>
      <c r="GR35" s="513" t="str">
        <f t="shared" si="181"/>
        <v/>
      </c>
      <c r="GS35" s="513" t="str">
        <f t="shared" si="182"/>
        <v/>
      </c>
      <c r="GT35" s="513" t="str">
        <f t="shared" si="183"/>
        <v/>
      </c>
      <c r="GU35" s="513" t="str">
        <f t="shared" si="184"/>
        <v/>
      </c>
      <c r="GV35" s="513" t="str">
        <f t="shared" si="185"/>
        <v/>
      </c>
      <c r="GW35" s="513" t="str">
        <f t="shared" si="186"/>
        <v/>
      </c>
      <c r="GX35" s="513" t="str">
        <f t="shared" si="187"/>
        <v/>
      </c>
      <c r="GY35" s="513" t="str">
        <f t="shared" si="188"/>
        <v/>
      </c>
      <c r="GZ35" s="513" t="str">
        <f t="shared" si="189"/>
        <v/>
      </c>
      <c r="HA35" s="513" t="str">
        <f t="shared" si="190"/>
        <v/>
      </c>
      <c r="HB35" s="513" t="str">
        <f t="shared" si="191"/>
        <v/>
      </c>
      <c r="HC35" s="513" t="str">
        <f t="shared" si="192"/>
        <v/>
      </c>
      <c r="HD35" s="513" t="str">
        <f t="shared" si="193"/>
        <v/>
      </c>
      <c r="HE35" s="513" t="str">
        <f t="shared" si="194"/>
        <v/>
      </c>
      <c r="HF35" s="513" t="str">
        <f t="shared" si="195"/>
        <v/>
      </c>
      <c r="HG35" s="513" t="str">
        <f t="shared" si="196"/>
        <v/>
      </c>
      <c r="HH35" s="513" t="str">
        <f t="shared" si="197"/>
        <v/>
      </c>
      <c r="HI35" s="513" t="str">
        <f t="shared" si="198"/>
        <v/>
      </c>
      <c r="HJ35" s="513" t="str">
        <f t="shared" si="199"/>
        <v/>
      </c>
      <c r="HK35" s="513" t="str">
        <f t="shared" si="200"/>
        <v/>
      </c>
      <c r="HL35" s="513" t="str">
        <f t="shared" si="201"/>
        <v/>
      </c>
      <c r="HM35" s="513" t="str">
        <f t="shared" si="202"/>
        <v/>
      </c>
      <c r="HN35" s="513" t="str">
        <f t="shared" si="203"/>
        <v/>
      </c>
      <c r="HO35" s="513" t="str">
        <f t="shared" si="204"/>
        <v/>
      </c>
      <c r="HP35" s="513" t="str">
        <f t="shared" si="205"/>
        <v/>
      </c>
      <c r="HQ35" s="513" t="str">
        <f t="shared" si="206"/>
        <v/>
      </c>
      <c r="HR35" s="513" t="str">
        <f t="shared" si="207"/>
        <v/>
      </c>
      <c r="HS35" s="513" t="str">
        <f t="shared" si="208"/>
        <v/>
      </c>
      <c r="HT35" s="513" t="str">
        <f t="shared" si="209"/>
        <v/>
      </c>
      <c r="HU35" s="513" t="str">
        <f t="shared" si="210"/>
        <v/>
      </c>
      <c r="HV35" s="513" t="str">
        <f t="shared" si="211"/>
        <v/>
      </c>
      <c r="HW35" s="513" t="str">
        <f t="shared" si="212"/>
        <v/>
      </c>
      <c r="HX35" s="513" t="str">
        <f t="shared" si="213"/>
        <v/>
      </c>
      <c r="HY35" s="513" t="str">
        <f t="shared" si="214"/>
        <v/>
      </c>
      <c r="HZ35" s="513" t="str">
        <f t="shared" si="215"/>
        <v/>
      </c>
      <c r="IA35" s="513" t="str">
        <f t="shared" si="216"/>
        <v/>
      </c>
      <c r="IB35" s="513" t="str">
        <f t="shared" si="217"/>
        <v/>
      </c>
      <c r="IC35" s="513" t="str">
        <f t="shared" si="218"/>
        <v/>
      </c>
      <c r="ID35" s="514" t="str">
        <f t="shared" si="219"/>
        <v/>
      </c>
      <c r="IE35" s="514" t="str">
        <f t="shared" si="220"/>
        <v/>
      </c>
      <c r="IF35" s="514" t="str">
        <f t="shared" si="221"/>
        <v/>
      </c>
      <c r="IG35" s="514" t="str">
        <f t="shared" si="222"/>
        <v/>
      </c>
      <c r="IH35" s="514" t="str">
        <f t="shared" si="223"/>
        <v/>
      </c>
      <c r="II35" s="503" t="str">
        <f t="shared" si="224"/>
        <v/>
      </c>
      <c r="IJ35" s="503" t="str">
        <f t="shared" si="225"/>
        <v/>
      </c>
      <c r="IK35" s="503" t="str">
        <f t="shared" si="226"/>
        <v/>
      </c>
      <c r="IL35" s="503" t="str">
        <f t="shared" si="227"/>
        <v/>
      </c>
      <c r="IM35" s="503" t="str">
        <f t="shared" si="228"/>
        <v/>
      </c>
      <c r="IN35" s="503" t="str">
        <f t="shared" si="229"/>
        <v/>
      </c>
      <c r="IO35" s="503" t="str">
        <f t="shared" si="230"/>
        <v/>
      </c>
      <c r="IP35" s="503" t="str">
        <f t="shared" si="231"/>
        <v/>
      </c>
      <c r="IQ35" s="503" t="str">
        <f t="shared" si="232"/>
        <v/>
      </c>
      <c r="IR35" s="503" t="str">
        <f t="shared" si="233"/>
        <v/>
      </c>
      <c r="IS35" s="503" t="str">
        <f t="shared" si="234"/>
        <v/>
      </c>
      <c r="IT35" s="503" t="str">
        <f t="shared" si="235"/>
        <v/>
      </c>
      <c r="IU35" s="503" t="str">
        <f t="shared" si="236"/>
        <v/>
      </c>
      <c r="IV35" s="503" t="str">
        <f t="shared" si="237"/>
        <v/>
      </c>
      <c r="IW35" s="503" t="str">
        <f t="shared" si="238"/>
        <v/>
      </c>
      <c r="IX35" s="503" t="str">
        <f t="shared" si="239"/>
        <v/>
      </c>
      <c r="IY35" s="503" t="str">
        <f t="shared" si="240"/>
        <v/>
      </c>
      <c r="IZ35" s="503" t="str">
        <f t="shared" si="241"/>
        <v/>
      </c>
      <c r="JA35" s="503" t="str">
        <f t="shared" si="242"/>
        <v/>
      </c>
      <c r="JB35" s="503" t="str">
        <f t="shared" si="243"/>
        <v/>
      </c>
      <c r="JC35" s="512">
        <f t="shared" si="244"/>
        <v>0</v>
      </c>
      <c r="JD35" s="512">
        <f t="shared" si="245"/>
        <v>0</v>
      </c>
      <c r="JE35" s="512">
        <f t="shared" si="246"/>
        <v>0</v>
      </c>
      <c r="JF35" s="512">
        <f t="shared" si="247"/>
        <v>0</v>
      </c>
      <c r="JG35" s="512">
        <f t="shared" si="248"/>
        <v>0</v>
      </c>
      <c r="JH35" s="512">
        <f t="shared" si="249"/>
        <v>0</v>
      </c>
      <c r="JI35" s="512">
        <f t="shared" si="250"/>
        <v>0</v>
      </c>
      <c r="JJ35" s="512">
        <f t="shared" si="251"/>
        <v>0</v>
      </c>
      <c r="JK35" s="512">
        <f t="shared" si="252"/>
        <v>0</v>
      </c>
      <c r="JL35" s="512">
        <f t="shared" si="253"/>
        <v>0</v>
      </c>
      <c r="JM35" s="512">
        <f t="shared" si="254"/>
        <v>0</v>
      </c>
      <c r="JN35" s="512">
        <f t="shared" si="255"/>
        <v>0</v>
      </c>
      <c r="JO35" s="512">
        <f t="shared" si="256"/>
        <v>0</v>
      </c>
      <c r="JP35" s="512">
        <f t="shared" si="257"/>
        <v>0</v>
      </c>
      <c r="JQ35" s="512">
        <f t="shared" si="258"/>
        <v>0</v>
      </c>
    </row>
    <row r="36" spans="1:296" ht="12" customHeight="1">
      <c r="A36" s="115" t="str">
        <f t="shared" si="0"/>
        <v/>
      </c>
      <c r="B36" s="3218" t="s">
        <v>1847</v>
      </c>
      <c r="C36" s="3219"/>
      <c r="D36" s="3220"/>
      <c r="E36" s="3221"/>
      <c r="F36" s="3221"/>
      <c r="G36" s="3221"/>
      <c r="H36" s="3221"/>
      <c r="I36" s="3221"/>
      <c r="J36" s="3222"/>
      <c r="K36" s="859">
        <f t="shared" si="1"/>
        <v>0</v>
      </c>
      <c r="L36" s="859">
        <f t="shared" si="2"/>
        <v>0</v>
      </c>
      <c r="M36" s="3223"/>
      <c r="N36" s="3223"/>
      <c r="O36" s="3223"/>
      <c r="P36" s="3224"/>
      <c r="Q36" s="1384" t="str">
        <f t="shared" si="3"/>
        <v/>
      </c>
      <c r="R36" s="1385" t="str">
        <f>IF(H36="","",IF(C36="Efficiency",Q36/($O$6*VLOOKUP(0,'DCA Underwriting Assumptions'!$J$132:$K$137,2,FALSE)),Q36/($O$6*VLOOKUP(C36,'DCA Underwriting Assumptions'!$J$132:$K$137,2,FALSE))))</f>
        <v/>
      </c>
      <c r="S36" s="1386"/>
      <c r="T36" s="1387"/>
      <c r="U36" s="3225"/>
      <c r="V36" s="3156"/>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461" t="str">
        <f t="shared" si="134"/>
        <v/>
      </c>
      <c r="EX36" s="513" t="str">
        <f t="shared" si="135"/>
        <v/>
      </c>
      <c r="EY36" s="513" t="str">
        <f t="shared" si="136"/>
        <v/>
      </c>
      <c r="EZ36" s="513" t="str">
        <f t="shared" si="137"/>
        <v/>
      </c>
      <c r="FA36" s="513" t="str">
        <f t="shared" si="138"/>
        <v/>
      </c>
      <c r="FB36" s="513" t="str">
        <f t="shared" si="139"/>
        <v/>
      </c>
      <c r="FC36" s="513" t="str">
        <f t="shared" si="140"/>
        <v/>
      </c>
      <c r="FD36" s="513" t="str">
        <f t="shared" si="141"/>
        <v/>
      </c>
      <c r="FE36" s="513" t="str">
        <f t="shared" si="142"/>
        <v/>
      </c>
      <c r="FF36" s="513" t="str">
        <f t="shared" si="143"/>
        <v/>
      </c>
      <c r="FG36" s="513" t="str">
        <f t="shared" si="144"/>
        <v/>
      </c>
      <c r="FH36" s="513" t="str">
        <f t="shared" si="145"/>
        <v/>
      </c>
      <c r="FI36" s="513" t="str">
        <f t="shared" si="146"/>
        <v/>
      </c>
      <c r="FJ36" s="513" t="str">
        <f t="shared" si="147"/>
        <v/>
      </c>
      <c r="FK36" s="513" t="str">
        <f t="shared" si="148"/>
        <v/>
      </c>
      <c r="FL36" s="513" t="str">
        <f t="shared" si="149"/>
        <v/>
      </c>
      <c r="FM36" s="513" t="str">
        <f t="shared" si="150"/>
        <v/>
      </c>
      <c r="FN36" s="513" t="str">
        <f t="shared" si="151"/>
        <v/>
      </c>
      <c r="FO36" s="513" t="str">
        <f t="shared" si="152"/>
        <v/>
      </c>
      <c r="FP36" s="513" t="str">
        <f t="shared" si="153"/>
        <v/>
      </c>
      <c r="FQ36" s="513" t="str">
        <f t="shared" si="154"/>
        <v/>
      </c>
      <c r="FR36" s="513" t="str">
        <f t="shared" si="155"/>
        <v/>
      </c>
      <c r="FS36" s="513" t="str">
        <f t="shared" si="156"/>
        <v/>
      </c>
      <c r="FT36" s="513" t="str">
        <f t="shared" si="157"/>
        <v/>
      </c>
      <c r="FU36" s="513" t="str">
        <f t="shared" si="158"/>
        <v/>
      </c>
      <c r="FV36" s="513" t="str">
        <f t="shared" si="159"/>
        <v/>
      </c>
      <c r="FW36" s="513" t="str">
        <f t="shared" si="160"/>
        <v/>
      </c>
      <c r="FX36" s="513" t="str">
        <f t="shared" si="161"/>
        <v/>
      </c>
      <c r="FY36" s="513" t="str">
        <f t="shared" si="162"/>
        <v/>
      </c>
      <c r="FZ36" s="513" t="str">
        <f t="shared" si="163"/>
        <v/>
      </c>
      <c r="GA36" s="513" t="str">
        <f t="shared" si="164"/>
        <v/>
      </c>
      <c r="GB36" s="513" t="str">
        <f t="shared" si="165"/>
        <v/>
      </c>
      <c r="GC36" s="513" t="str">
        <f t="shared" si="166"/>
        <v/>
      </c>
      <c r="GD36" s="513" t="str">
        <f t="shared" si="167"/>
        <v/>
      </c>
      <c r="GE36" s="513" t="str">
        <f t="shared" si="168"/>
        <v/>
      </c>
      <c r="GF36" s="513" t="str">
        <f t="shared" si="169"/>
        <v/>
      </c>
      <c r="GG36" s="513" t="str">
        <f t="shared" si="170"/>
        <v/>
      </c>
      <c r="GH36" s="513" t="str">
        <f t="shared" si="171"/>
        <v/>
      </c>
      <c r="GI36" s="513" t="str">
        <f t="shared" si="172"/>
        <v/>
      </c>
      <c r="GJ36" s="513" t="str">
        <f t="shared" si="173"/>
        <v/>
      </c>
      <c r="GK36" s="513" t="str">
        <f t="shared" si="174"/>
        <v/>
      </c>
      <c r="GL36" s="513" t="str">
        <f t="shared" si="175"/>
        <v/>
      </c>
      <c r="GM36" s="513" t="str">
        <f t="shared" si="176"/>
        <v/>
      </c>
      <c r="GN36" s="513" t="str">
        <f t="shared" si="177"/>
        <v/>
      </c>
      <c r="GO36" s="513" t="str">
        <f t="shared" si="178"/>
        <v/>
      </c>
      <c r="GP36" s="513" t="str">
        <f t="shared" si="179"/>
        <v/>
      </c>
      <c r="GQ36" s="513" t="str">
        <f t="shared" si="180"/>
        <v/>
      </c>
      <c r="GR36" s="513" t="str">
        <f t="shared" si="181"/>
        <v/>
      </c>
      <c r="GS36" s="513" t="str">
        <f t="shared" si="182"/>
        <v/>
      </c>
      <c r="GT36" s="513" t="str">
        <f t="shared" si="183"/>
        <v/>
      </c>
      <c r="GU36" s="513" t="str">
        <f t="shared" si="184"/>
        <v/>
      </c>
      <c r="GV36" s="513" t="str">
        <f t="shared" si="185"/>
        <v/>
      </c>
      <c r="GW36" s="513" t="str">
        <f t="shared" si="186"/>
        <v/>
      </c>
      <c r="GX36" s="513" t="str">
        <f t="shared" si="187"/>
        <v/>
      </c>
      <c r="GY36" s="513" t="str">
        <f t="shared" si="188"/>
        <v/>
      </c>
      <c r="GZ36" s="513" t="str">
        <f t="shared" si="189"/>
        <v/>
      </c>
      <c r="HA36" s="513" t="str">
        <f t="shared" si="190"/>
        <v/>
      </c>
      <c r="HB36" s="513" t="str">
        <f t="shared" si="191"/>
        <v/>
      </c>
      <c r="HC36" s="513" t="str">
        <f t="shared" si="192"/>
        <v/>
      </c>
      <c r="HD36" s="513" t="str">
        <f t="shared" si="193"/>
        <v/>
      </c>
      <c r="HE36" s="513" t="str">
        <f t="shared" si="194"/>
        <v/>
      </c>
      <c r="HF36" s="513" t="str">
        <f t="shared" si="195"/>
        <v/>
      </c>
      <c r="HG36" s="513" t="str">
        <f t="shared" si="196"/>
        <v/>
      </c>
      <c r="HH36" s="513" t="str">
        <f t="shared" si="197"/>
        <v/>
      </c>
      <c r="HI36" s="513" t="str">
        <f t="shared" si="198"/>
        <v/>
      </c>
      <c r="HJ36" s="513" t="str">
        <f t="shared" si="199"/>
        <v/>
      </c>
      <c r="HK36" s="513" t="str">
        <f t="shared" si="200"/>
        <v/>
      </c>
      <c r="HL36" s="513" t="str">
        <f t="shared" si="201"/>
        <v/>
      </c>
      <c r="HM36" s="513" t="str">
        <f t="shared" si="202"/>
        <v/>
      </c>
      <c r="HN36" s="513" t="str">
        <f t="shared" si="203"/>
        <v/>
      </c>
      <c r="HO36" s="513" t="str">
        <f t="shared" si="204"/>
        <v/>
      </c>
      <c r="HP36" s="513" t="str">
        <f t="shared" si="205"/>
        <v/>
      </c>
      <c r="HQ36" s="513" t="str">
        <f t="shared" si="206"/>
        <v/>
      </c>
      <c r="HR36" s="513" t="str">
        <f t="shared" si="207"/>
        <v/>
      </c>
      <c r="HS36" s="513" t="str">
        <f t="shared" si="208"/>
        <v/>
      </c>
      <c r="HT36" s="513" t="str">
        <f t="shared" si="209"/>
        <v/>
      </c>
      <c r="HU36" s="513" t="str">
        <f t="shared" si="210"/>
        <v/>
      </c>
      <c r="HV36" s="513" t="str">
        <f t="shared" si="211"/>
        <v/>
      </c>
      <c r="HW36" s="513" t="str">
        <f t="shared" si="212"/>
        <v/>
      </c>
      <c r="HX36" s="513" t="str">
        <f t="shared" si="213"/>
        <v/>
      </c>
      <c r="HY36" s="513" t="str">
        <f t="shared" si="214"/>
        <v/>
      </c>
      <c r="HZ36" s="513" t="str">
        <f t="shared" si="215"/>
        <v/>
      </c>
      <c r="IA36" s="513" t="str">
        <f t="shared" si="216"/>
        <v/>
      </c>
      <c r="IB36" s="513" t="str">
        <f t="shared" si="217"/>
        <v/>
      </c>
      <c r="IC36" s="513" t="str">
        <f t="shared" si="218"/>
        <v/>
      </c>
      <c r="ID36" s="514" t="str">
        <f t="shared" si="219"/>
        <v/>
      </c>
      <c r="IE36" s="514" t="str">
        <f t="shared" si="220"/>
        <v/>
      </c>
      <c r="IF36" s="514" t="str">
        <f t="shared" si="221"/>
        <v/>
      </c>
      <c r="IG36" s="514" t="str">
        <f t="shared" si="222"/>
        <v/>
      </c>
      <c r="IH36" s="514" t="str">
        <f t="shared" si="223"/>
        <v/>
      </c>
      <c r="II36" s="503" t="str">
        <f t="shared" si="224"/>
        <v/>
      </c>
      <c r="IJ36" s="503" t="str">
        <f t="shared" si="225"/>
        <v/>
      </c>
      <c r="IK36" s="503" t="str">
        <f t="shared" si="226"/>
        <v/>
      </c>
      <c r="IL36" s="503" t="str">
        <f t="shared" si="227"/>
        <v/>
      </c>
      <c r="IM36" s="503" t="str">
        <f t="shared" si="228"/>
        <v/>
      </c>
      <c r="IN36" s="503" t="str">
        <f t="shared" si="229"/>
        <v/>
      </c>
      <c r="IO36" s="503" t="str">
        <f t="shared" si="230"/>
        <v/>
      </c>
      <c r="IP36" s="503" t="str">
        <f t="shared" si="231"/>
        <v/>
      </c>
      <c r="IQ36" s="503" t="str">
        <f t="shared" si="232"/>
        <v/>
      </c>
      <c r="IR36" s="503" t="str">
        <f t="shared" si="233"/>
        <v/>
      </c>
      <c r="IS36" s="503" t="str">
        <f t="shared" si="234"/>
        <v/>
      </c>
      <c r="IT36" s="503" t="str">
        <f t="shared" si="235"/>
        <v/>
      </c>
      <c r="IU36" s="503" t="str">
        <f t="shared" si="236"/>
        <v/>
      </c>
      <c r="IV36" s="503" t="str">
        <f t="shared" si="237"/>
        <v/>
      </c>
      <c r="IW36" s="503" t="str">
        <f t="shared" si="238"/>
        <v/>
      </c>
      <c r="IX36" s="503" t="str">
        <f t="shared" si="239"/>
        <v/>
      </c>
      <c r="IY36" s="503" t="str">
        <f t="shared" si="240"/>
        <v/>
      </c>
      <c r="IZ36" s="503" t="str">
        <f t="shared" si="241"/>
        <v/>
      </c>
      <c r="JA36" s="503" t="str">
        <f t="shared" si="242"/>
        <v/>
      </c>
      <c r="JB36" s="503" t="str">
        <f t="shared" si="243"/>
        <v/>
      </c>
      <c r="JC36" s="512">
        <f t="shared" si="244"/>
        <v>0</v>
      </c>
      <c r="JD36" s="512">
        <f t="shared" si="245"/>
        <v>0</v>
      </c>
      <c r="JE36" s="512">
        <f t="shared" si="246"/>
        <v>0</v>
      </c>
      <c r="JF36" s="512">
        <f t="shared" si="247"/>
        <v>0</v>
      </c>
      <c r="JG36" s="512">
        <f t="shared" si="248"/>
        <v>0</v>
      </c>
      <c r="JH36" s="512">
        <f t="shared" si="249"/>
        <v>0</v>
      </c>
      <c r="JI36" s="512">
        <f t="shared" si="250"/>
        <v>0</v>
      </c>
      <c r="JJ36" s="512">
        <f t="shared" si="251"/>
        <v>0</v>
      </c>
      <c r="JK36" s="512">
        <f t="shared" si="252"/>
        <v>0</v>
      </c>
      <c r="JL36" s="512">
        <f t="shared" si="253"/>
        <v>0</v>
      </c>
      <c r="JM36" s="512">
        <f t="shared" si="254"/>
        <v>0</v>
      </c>
      <c r="JN36" s="512">
        <f t="shared" si="255"/>
        <v>0</v>
      </c>
      <c r="JO36" s="512">
        <f t="shared" si="256"/>
        <v>0</v>
      </c>
      <c r="JP36" s="512">
        <f t="shared" si="257"/>
        <v>0</v>
      </c>
      <c r="JQ36" s="512">
        <f t="shared" si="258"/>
        <v>0</v>
      </c>
    </row>
    <row r="37" spans="1:296" ht="12" customHeight="1">
      <c r="A37" s="115" t="str">
        <f t="shared" si="0"/>
        <v/>
      </c>
      <c r="B37" s="3218" t="s">
        <v>1847</v>
      </c>
      <c r="C37" s="3219"/>
      <c r="D37" s="3220"/>
      <c r="E37" s="3221"/>
      <c r="F37" s="3221"/>
      <c r="G37" s="3221"/>
      <c r="H37" s="3221"/>
      <c r="I37" s="3221"/>
      <c r="J37" s="3222"/>
      <c r="K37" s="859">
        <f t="shared" si="1"/>
        <v>0</v>
      </c>
      <c r="L37" s="859">
        <f t="shared" si="2"/>
        <v>0</v>
      </c>
      <c r="M37" s="3223"/>
      <c r="N37" s="3223"/>
      <c r="O37" s="3223"/>
      <c r="P37" s="3224"/>
      <c r="Q37" s="1384" t="str">
        <f t="shared" si="3"/>
        <v/>
      </c>
      <c r="R37" s="1385" t="str">
        <f>IF(H37="","",IF(C37="Efficiency",Q37/($O$6*VLOOKUP(0,'DCA Underwriting Assumptions'!$J$132:$K$137,2,FALSE)),Q37/($O$6*VLOOKUP(C37,'DCA Underwriting Assumptions'!$J$132:$K$137,2,FALSE))))</f>
        <v/>
      </c>
      <c r="S37" s="1386"/>
      <c r="T37" s="1387"/>
      <c r="U37" s="3225"/>
      <c r="V37" s="3156"/>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461" t="str">
        <f t="shared" si="134"/>
        <v/>
      </c>
      <c r="EX37" s="513" t="str">
        <f t="shared" si="135"/>
        <v/>
      </c>
      <c r="EY37" s="513" t="str">
        <f t="shared" si="136"/>
        <v/>
      </c>
      <c r="EZ37" s="513" t="str">
        <f t="shared" si="137"/>
        <v/>
      </c>
      <c r="FA37" s="513" t="str">
        <f t="shared" si="138"/>
        <v/>
      </c>
      <c r="FB37" s="513" t="str">
        <f t="shared" si="139"/>
        <v/>
      </c>
      <c r="FC37" s="513" t="str">
        <f t="shared" si="140"/>
        <v/>
      </c>
      <c r="FD37" s="513" t="str">
        <f t="shared" si="141"/>
        <v/>
      </c>
      <c r="FE37" s="513" t="str">
        <f t="shared" si="142"/>
        <v/>
      </c>
      <c r="FF37" s="513" t="str">
        <f t="shared" si="143"/>
        <v/>
      </c>
      <c r="FG37" s="513" t="str">
        <f t="shared" si="144"/>
        <v/>
      </c>
      <c r="FH37" s="513" t="str">
        <f t="shared" si="145"/>
        <v/>
      </c>
      <c r="FI37" s="513" t="str">
        <f t="shared" si="146"/>
        <v/>
      </c>
      <c r="FJ37" s="513" t="str">
        <f t="shared" si="147"/>
        <v/>
      </c>
      <c r="FK37" s="513" t="str">
        <f t="shared" si="148"/>
        <v/>
      </c>
      <c r="FL37" s="513" t="str">
        <f t="shared" si="149"/>
        <v/>
      </c>
      <c r="FM37" s="513" t="str">
        <f t="shared" si="150"/>
        <v/>
      </c>
      <c r="FN37" s="513" t="str">
        <f t="shared" si="151"/>
        <v/>
      </c>
      <c r="FO37" s="513" t="str">
        <f t="shared" si="152"/>
        <v/>
      </c>
      <c r="FP37" s="513" t="str">
        <f t="shared" si="153"/>
        <v/>
      </c>
      <c r="FQ37" s="513" t="str">
        <f t="shared" si="154"/>
        <v/>
      </c>
      <c r="FR37" s="513" t="str">
        <f t="shared" si="155"/>
        <v/>
      </c>
      <c r="FS37" s="513" t="str">
        <f t="shared" si="156"/>
        <v/>
      </c>
      <c r="FT37" s="513" t="str">
        <f t="shared" si="157"/>
        <v/>
      </c>
      <c r="FU37" s="513" t="str">
        <f t="shared" si="158"/>
        <v/>
      </c>
      <c r="FV37" s="513" t="str">
        <f t="shared" si="159"/>
        <v/>
      </c>
      <c r="FW37" s="513" t="str">
        <f t="shared" si="160"/>
        <v/>
      </c>
      <c r="FX37" s="513" t="str">
        <f t="shared" si="161"/>
        <v/>
      </c>
      <c r="FY37" s="513" t="str">
        <f t="shared" si="162"/>
        <v/>
      </c>
      <c r="FZ37" s="513" t="str">
        <f t="shared" si="163"/>
        <v/>
      </c>
      <c r="GA37" s="513" t="str">
        <f t="shared" si="164"/>
        <v/>
      </c>
      <c r="GB37" s="513" t="str">
        <f t="shared" si="165"/>
        <v/>
      </c>
      <c r="GC37" s="513" t="str">
        <f t="shared" si="166"/>
        <v/>
      </c>
      <c r="GD37" s="513" t="str">
        <f t="shared" si="167"/>
        <v/>
      </c>
      <c r="GE37" s="513" t="str">
        <f t="shared" si="168"/>
        <v/>
      </c>
      <c r="GF37" s="513" t="str">
        <f t="shared" si="169"/>
        <v/>
      </c>
      <c r="GG37" s="513" t="str">
        <f t="shared" si="170"/>
        <v/>
      </c>
      <c r="GH37" s="513" t="str">
        <f t="shared" si="171"/>
        <v/>
      </c>
      <c r="GI37" s="513" t="str">
        <f t="shared" si="172"/>
        <v/>
      </c>
      <c r="GJ37" s="513" t="str">
        <f t="shared" si="173"/>
        <v/>
      </c>
      <c r="GK37" s="513" t="str">
        <f t="shared" si="174"/>
        <v/>
      </c>
      <c r="GL37" s="513" t="str">
        <f t="shared" si="175"/>
        <v/>
      </c>
      <c r="GM37" s="513" t="str">
        <f t="shared" si="176"/>
        <v/>
      </c>
      <c r="GN37" s="513" t="str">
        <f t="shared" si="177"/>
        <v/>
      </c>
      <c r="GO37" s="513" t="str">
        <f t="shared" si="178"/>
        <v/>
      </c>
      <c r="GP37" s="513" t="str">
        <f t="shared" si="179"/>
        <v/>
      </c>
      <c r="GQ37" s="513" t="str">
        <f t="shared" si="180"/>
        <v/>
      </c>
      <c r="GR37" s="513" t="str">
        <f t="shared" si="181"/>
        <v/>
      </c>
      <c r="GS37" s="513" t="str">
        <f t="shared" si="182"/>
        <v/>
      </c>
      <c r="GT37" s="513" t="str">
        <f t="shared" si="183"/>
        <v/>
      </c>
      <c r="GU37" s="513" t="str">
        <f t="shared" si="184"/>
        <v/>
      </c>
      <c r="GV37" s="513" t="str">
        <f t="shared" si="185"/>
        <v/>
      </c>
      <c r="GW37" s="513" t="str">
        <f t="shared" si="186"/>
        <v/>
      </c>
      <c r="GX37" s="513" t="str">
        <f t="shared" si="187"/>
        <v/>
      </c>
      <c r="GY37" s="513" t="str">
        <f t="shared" si="188"/>
        <v/>
      </c>
      <c r="GZ37" s="513" t="str">
        <f t="shared" si="189"/>
        <v/>
      </c>
      <c r="HA37" s="513" t="str">
        <f t="shared" si="190"/>
        <v/>
      </c>
      <c r="HB37" s="513" t="str">
        <f t="shared" si="191"/>
        <v/>
      </c>
      <c r="HC37" s="513" t="str">
        <f t="shared" si="192"/>
        <v/>
      </c>
      <c r="HD37" s="513" t="str">
        <f t="shared" si="193"/>
        <v/>
      </c>
      <c r="HE37" s="513" t="str">
        <f t="shared" si="194"/>
        <v/>
      </c>
      <c r="HF37" s="513" t="str">
        <f t="shared" si="195"/>
        <v/>
      </c>
      <c r="HG37" s="513" t="str">
        <f t="shared" si="196"/>
        <v/>
      </c>
      <c r="HH37" s="513" t="str">
        <f t="shared" si="197"/>
        <v/>
      </c>
      <c r="HI37" s="513" t="str">
        <f t="shared" si="198"/>
        <v/>
      </c>
      <c r="HJ37" s="513" t="str">
        <f t="shared" si="199"/>
        <v/>
      </c>
      <c r="HK37" s="513" t="str">
        <f t="shared" si="200"/>
        <v/>
      </c>
      <c r="HL37" s="513" t="str">
        <f t="shared" si="201"/>
        <v/>
      </c>
      <c r="HM37" s="513" t="str">
        <f t="shared" si="202"/>
        <v/>
      </c>
      <c r="HN37" s="513" t="str">
        <f t="shared" si="203"/>
        <v/>
      </c>
      <c r="HO37" s="513" t="str">
        <f t="shared" si="204"/>
        <v/>
      </c>
      <c r="HP37" s="513" t="str">
        <f t="shared" si="205"/>
        <v/>
      </c>
      <c r="HQ37" s="513" t="str">
        <f t="shared" si="206"/>
        <v/>
      </c>
      <c r="HR37" s="513" t="str">
        <f t="shared" si="207"/>
        <v/>
      </c>
      <c r="HS37" s="513" t="str">
        <f t="shared" si="208"/>
        <v/>
      </c>
      <c r="HT37" s="513" t="str">
        <f t="shared" si="209"/>
        <v/>
      </c>
      <c r="HU37" s="513" t="str">
        <f t="shared" si="210"/>
        <v/>
      </c>
      <c r="HV37" s="513" t="str">
        <f t="shared" si="211"/>
        <v/>
      </c>
      <c r="HW37" s="513" t="str">
        <f t="shared" si="212"/>
        <v/>
      </c>
      <c r="HX37" s="513" t="str">
        <f t="shared" si="213"/>
        <v/>
      </c>
      <c r="HY37" s="513" t="str">
        <f t="shared" si="214"/>
        <v/>
      </c>
      <c r="HZ37" s="513" t="str">
        <f t="shared" si="215"/>
        <v/>
      </c>
      <c r="IA37" s="513" t="str">
        <f t="shared" si="216"/>
        <v/>
      </c>
      <c r="IB37" s="513" t="str">
        <f t="shared" si="217"/>
        <v/>
      </c>
      <c r="IC37" s="513" t="str">
        <f t="shared" si="218"/>
        <v/>
      </c>
      <c r="ID37" s="514" t="str">
        <f t="shared" si="219"/>
        <v/>
      </c>
      <c r="IE37" s="514" t="str">
        <f t="shared" si="220"/>
        <v/>
      </c>
      <c r="IF37" s="514" t="str">
        <f t="shared" si="221"/>
        <v/>
      </c>
      <c r="IG37" s="514" t="str">
        <f t="shared" si="222"/>
        <v/>
      </c>
      <c r="IH37" s="514" t="str">
        <f t="shared" si="223"/>
        <v/>
      </c>
      <c r="II37" s="503" t="str">
        <f t="shared" si="224"/>
        <v/>
      </c>
      <c r="IJ37" s="503" t="str">
        <f t="shared" si="225"/>
        <v/>
      </c>
      <c r="IK37" s="503" t="str">
        <f t="shared" si="226"/>
        <v/>
      </c>
      <c r="IL37" s="503" t="str">
        <f t="shared" si="227"/>
        <v/>
      </c>
      <c r="IM37" s="503" t="str">
        <f t="shared" si="228"/>
        <v/>
      </c>
      <c r="IN37" s="503" t="str">
        <f t="shared" si="229"/>
        <v/>
      </c>
      <c r="IO37" s="503" t="str">
        <f t="shared" si="230"/>
        <v/>
      </c>
      <c r="IP37" s="503" t="str">
        <f t="shared" si="231"/>
        <v/>
      </c>
      <c r="IQ37" s="503" t="str">
        <f t="shared" si="232"/>
        <v/>
      </c>
      <c r="IR37" s="503" t="str">
        <f t="shared" si="233"/>
        <v/>
      </c>
      <c r="IS37" s="503" t="str">
        <f t="shared" si="234"/>
        <v/>
      </c>
      <c r="IT37" s="503" t="str">
        <f t="shared" si="235"/>
        <v/>
      </c>
      <c r="IU37" s="503" t="str">
        <f t="shared" si="236"/>
        <v/>
      </c>
      <c r="IV37" s="503" t="str">
        <f t="shared" si="237"/>
        <v/>
      </c>
      <c r="IW37" s="503" t="str">
        <f t="shared" si="238"/>
        <v/>
      </c>
      <c r="IX37" s="503" t="str">
        <f t="shared" si="239"/>
        <v/>
      </c>
      <c r="IY37" s="503" t="str">
        <f t="shared" si="240"/>
        <v/>
      </c>
      <c r="IZ37" s="503" t="str">
        <f t="shared" si="241"/>
        <v/>
      </c>
      <c r="JA37" s="503" t="str">
        <f t="shared" si="242"/>
        <v/>
      </c>
      <c r="JB37" s="503" t="str">
        <f t="shared" si="243"/>
        <v/>
      </c>
      <c r="JC37" s="512">
        <f t="shared" si="244"/>
        <v>0</v>
      </c>
      <c r="JD37" s="512">
        <f t="shared" si="245"/>
        <v>0</v>
      </c>
      <c r="JE37" s="512">
        <f t="shared" si="246"/>
        <v>0</v>
      </c>
      <c r="JF37" s="512">
        <f t="shared" si="247"/>
        <v>0</v>
      </c>
      <c r="JG37" s="512">
        <f t="shared" si="248"/>
        <v>0</v>
      </c>
      <c r="JH37" s="512">
        <f t="shared" si="249"/>
        <v>0</v>
      </c>
      <c r="JI37" s="512">
        <f t="shared" si="250"/>
        <v>0</v>
      </c>
      <c r="JJ37" s="512">
        <f t="shared" si="251"/>
        <v>0</v>
      </c>
      <c r="JK37" s="512">
        <f t="shared" si="252"/>
        <v>0</v>
      </c>
      <c r="JL37" s="512">
        <f t="shared" si="253"/>
        <v>0</v>
      </c>
      <c r="JM37" s="512">
        <f t="shared" si="254"/>
        <v>0</v>
      </c>
      <c r="JN37" s="512">
        <f t="shared" si="255"/>
        <v>0</v>
      </c>
      <c r="JO37" s="512">
        <f t="shared" si="256"/>
        <v>0</v>
      </c>
      <c r="JP37" s="512">
        <f t="shared" si="257"/>
        <v>0</v>
      </c>
      <c r="JQ37" s="512">
        <f t="shared" si="258"/>
        <v>0</v>
      </c>
    </row>
    <row r="38" spans="1:296" ht="12" customHeight="1">
      <c r="A38" s="115" t="str">
        <f t="shared" si="0"/>
        <v/>
      </c>
      <c r="B38" s="3218" t="s">
        <v>1847</v>
      </c>
      <c r="C38" s="3219"/>
      <c r="D38" s="3220"/>
      <c r="E38" s="3221"/>
      <c r="F38" s="3221"/>
      <c r="G38" s="3221"/>
      <c r="H38" s="3221"/>
      <c r="I38" s="3221"/>
      <c r="J38" s="3222"/>
      <c r="K38" s="859">
        <f t="shared" si="1"/>
        <v>0</v>
      </c>
      <c r="L38" s="859">
        <f t="shared" si="2"/>
        <v>0</v>
      </c>
      <c r="M38" s="3223"/>
      <c r="N38" s="3223"/>
      <c r="O38" s="3223"/>
      <c r="P38" s="3224"/>
      <c r="Q38" s="1384" t="str">
        <f t="shared" si="3"/>
        <v/>
      </c>
      <c r="R38" s="1385" t="str">
        <f>IF(H38="","",IF(C38="Efficiency",Q38/($O$6*VLOOKUP(0,'DCA Underwriting Assumptions'!$J$132:$K$137,2,FALSE)),Q38/($O$6*VLOOKUP(C38,'DCA Underwriting Assumptions'!$J$132:$K$137,2,FALSE))))</f>
        <v/>
      </c>
      <c r="S38" s="1386"/>
      <c r="T38" s="1387"/>
      <c r="U38" s="3225"/>
      <c r="V38" s="3156"/>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461" t="str">
        <f t="shared" si="134"/>
        <v/>
      </c>
      <c r="EX38" s="513" t="str">
        <f t="shared" si="135"/>
        <v/>
      </c>
      <c r="EY38" s="513" t="str">
        <f t="shared" si="136"/>
        <v/>
      </c>
      <c r="EZ38" s="513" t="str">
        <f t="shared" si="137"/>
        <v/>
      </c>
      <c r="FA38" s="513" t="str">
        <f t="shared" si="138"/>
        <v/>
      </c>
      <c r="FB38" s="513" t="str">
        <f t="shared" si="139"/>
        <v/>
      </c>
      <c r="FC38" s="513" t="str">
        <f t="shared" si="140"/>
        <v/>
      </c>
      <c r="FD38" s="513" t="str">
        <f t="shared" si="141"/>
        <v/>
      </c>
      <c r="FE38" s="513" t="str">
        <f t="shared" si="142"/>
        <v/>
      </c>
      <c r="FF38" s="513" t="str">
        <f t="shared" si="143"/>
        <v/>
      </c>
      <c r="FG38" s="513" t="str">
        <f t="shared" si="144"/>
        <v/>
      </c>
      <c r="FH38" s="513" t="str">
        <f t="shared" si="145"/>
        <v/>
      </c>
      <c r="FI38" s="513" t="str">
        <f t="shared" si="146"/>
        <v/>
      </c>
      <c r="FJ38" s="513" t="str">
        <f t="shared" si="147"/>
        <v/>
      </c>
      <c r="FK38" s="513" t="str">
        <f t="shared" si="148"/>
        <v/>
      </c>
      <c r="FL38" s="513" t="str">
        <f t="shared" si="149"/>
        <v/>
      </c>
      <c r="FM38" s="513" t="str">
        <f t="shared" si="150"/>
        <v/>
      </c>
      <c r="FN38" s="513" t="str">
        <f t="shared" si="151"/>
        <v/>
      </c>
      <c r="FO38" s="513" t="str">
        <f t="shared" si="152"/>
        <v/>
      </c>
      <c r="FP38" s="513" t="str">
        <f t="shared" si="153"/>
        <v/>
      </c>
      <c r="FQ38" s="513" t="str">
        <f t="shared" si="154"/>
        <v/>
      </c>
      <c r="FR38" s="513" t="str">
        <f t="shared" si="155"/>
        <v/>
      </c>
      <c r="FS38" s="513" t="str">
        <f t="shared" si="156"/>
        <v/>
      </c>
      <c r="FT38" s="513" t="str">
        <f t="shared" si="157"/>
        <v/>
      </c>
      <c r="FU38" s="513" t="str">
        <f t="shared" si="158"/>
        <v/>
      </c>
      <c r="FV38" s="513" t="str">
        <f t="shared" si="159"/>
        <v/>
      </c>
      <c r="FW38" s="513" t="str">
        <f t="shared" si="160"/>
        <v/>
      </c>
      <c r="FX38" s="513" t="str">
        <f t="shared" si="161"/>
        <v/>
      </c>
      <c r="FY38" s="513" t="str">
        <f t="shared" si="162"/>
        <v/>
      </c>
      <c r="FZ38" s="513" t="str">
        <f t="shared" si="163"/>
        <v/>
      </c>
      <c r="GA38" s="513" t="str">
        <f t="shared" si="164"/>
        <v/>
      </c>
      <c r="GB38" s="513" t="str">
        <f t="shared" si="165"/>
        <v/>
      </c>
      <c r="GC38" s="513" t="str">
        <f t="shared" si="166"/>
        <v/>
      </c>
      <c r="GD38" s="513" t="str">
        <f t="shared" si="167"/>
        <v/>
      </c>
      <c r="GE38" s="513" t="str">
        <f t="shared" si="168"/>
        <v/>
      </c>
      <c r="GF38" s="513" t="str">
        <f t="shared" si="169"/>
        <v/>
      </c>
      <c r="GG38" s="513" t="str">
        <f t="shared" si="170"/>
        <v/>
      </c>
      <c r="GH38" s="513" t="str">
        <f t="shared" si="171"/>
        <v/>
      </c>
      <c r="GI38" s="513" t="str">
        <f t="shared" si="172"/>
        <v/>
      </c>
      <c r="GJ38" s="513" t="str">
        <f t="shared" si="173"/>
        <v/>
      </c>
      <c r="GK38" s="513" t="str">
        <f t="shared" si="174"/>
        <v/>
      </c>
      <c r="GL38" s="513" t="str">
        <f t="shared" si="175"/>
        <v/>
      </c>
      <c r="GM38" s="513" t="str">
        <f t="shared" si="176"/>
        <v/>
      </c>
      <c r="GN38" s="513" t="str">
        <f t="shared" si="177"/>
        <v/>
      </c>
      <c r="GO38" s="513" t="str">
        <f t="shared" si="178"/>
        <v/>
      </c>
      <c r="GP38" s="513" t="str">
        <f t="shared" si="179"/>
        <v/>
      </c>
      <c r="GQ38" s="513" t="str">
        <f t="shared" si="180"/>
        <v/>
      </c>
      <c r="GR38" s="513" t="str">
        <f t="shared" si="181"/>
        <v/>
      </c>
      <c r="GS38" s="513" t="str">
        <f t="shared" si="182"/>
        <v/>
      </c>
      <c r="GT38" s="513" t="str">
        <f t="shared" si="183"/>
        <v/>
      </c>
      <c r="GU38" s="513" t="str">
        <f t="shared" si="184"/>
        <v/>
      </c>
      <c r="GV38" s="513" t="str">
        <f t="shared" si="185"/>
        <v/>
      </c>
      <c r="GW38" s="513" t="str">
        <f t="shared" si="186"/>
        <v/>
      </c>
      <c r="GX38" s="513" t="str">
        <f t="shared" si="187"/>
        <v/>
      </c>
      <c r="GY38" s="513" t="str">
        <f t="shared" si="188"/>
        <v/>
      </c>
      <c r="GZ38" s="513" t="str">
        <f t="shared" si="189"/>
        <v/>
      </c>
      <c r="HA38" s="513" t="str">
        <f t="shared" si="190"/>
        <v/>
      </c>
      <c r="HB38" s="513" t="str">
        <f t="shared" si="191"/>
        <v/>
      </c>
      <c r="HC38" s="513" t="str">
        <f t="shared" si="192"/>
        <v/>
      </c>
      <c r="HD38" s="513" t="str">
        <f t="shared" si="193"/>
        <v/>
      </c>
      <c r="HE38" s="513" t="str">
        <f t="shared" si="194"/>
        <v/>
      </c>
      <c r="HF38" s="513" t="str">
        <f t="shared" si="195"/>
        <v/>
      </c>
      <c r="HG38" s="513" t="str">
        <f t="shared" si="196"/>
        <v/>
      </c>
      <c r="HH38" s="513" t="str">
        <f t="shared" si="197"/>
        <v/>
      </c>
      <c r="HI38" s="513" t="str">
        <f t="shared" si="198"/>
        <v/>
      </c>
      <c r="HJ38" s="513" t="str">
        <f t="shared" si="199"/>
        <v/>
      </c>
      <c r="HK38" s="513" t="str">
        <f t="shared" si="200"/>
        <v/>
      </c>
      <c r="HL38" s="513" t="str">
        <f t="shared" si="201"/>
        <v/>
      </c>
      <c r="HM38" s="513" t="str">
        <f t="shared" si="202"/>
        <v/>
      </c>
      <c r="HN38" s="513" t="str">
        <f t="shared" si="203"/>
        <v/>
      </c>
      <c r="HO38" s="513" t="str">
        <f t="shared" si="204"/>
        <v/>
      </c>
      <c r="HP38" s="513" t="str">
        <f t="shared" si="205"/>
        <v/>
      </c>
      <c r="HQ38" s="513" t="str">
        <f t="shared" si="206"/>
        <v/>
      </c>
      <c r="HR38" s="513" t="str">
        <f t="shared" si="207"/>
        <v/>
      </c>
      <c r="HS38" s="513" t="str">
        <f t="shared" si="208"/>
        <v/>
      </c>
      <c r="HT38" s="513" t="str">
        <f t="shared" si="209"/>
        <v/>
      </c>
      <c r="HU38" s="513" t="str">
        <f t="shared" si="210"/>
        <v/>
      </c>
      <c r="HV38" s="513" t="str">
        <f t="shared" si="211"/>
        <v/>
      </c>
      <c r="HW38" s="513" t="str">
        <f t="shared" si="212"/>
        <v/>
      </c>
      <c r="HX38" s="513" t="str">
        <f t="shared" si="213"/>
        <v/>
      </c>
      <c r="HY38" s="513" t="str">
        <f t="shared" si="214"/>
        <v/>
      </c>
      <c r="HZ38" s="513" t="str">
        <f t="shared" si="215"/>
        <v/>
      </c>
      <c r="IA38" s="513" t="str">
        <f t="shared" si="216"/>
        <v/>
      </c>
      <c r="IB38" s="513" t="str">
        <f t="shared" si="217"/>
        <v/>
      </c>
      <c r="IC38" s="513" t="str">
        <f t="shared" si="218"/>
        <v/>
      </c>
      <c r="ID38" s="514" t="str">
        <f t="shared" si="219"/>
        <v/>
      </c>
      <c r="IE38" s="514" t="str">
        <f t="shared" si="220"/>
        <v/>
      </c>
      <c r="IF38" s="514" t="str">
        <f t="shared" si="221"/>
        <v/>
      </c>
      <c r="IG38" s="514" t="str">
        <f t="shared" si="222"/>
        <v/>
      </c>
      <c r="IH38" s="514" t="str">
        <f t="shared" si="223"/>
        <v/>
      </c>
      <c r="II38" s="503" t="str">
        <f t="shared" si="224"/>
        <v/>
      </c>
      <c r="IJ38" s="503" t="str">
        <f t="shared" si="225"/>
        <v/>
      </c>
      <c r="IK38" s="503" t="str">
        <f t="shared" si="226"/>
        <v/>
      </c>
      <c r="IL38" s="503" t="str">
        <f t="shared" si="227"/>
        <v/>
      </c>
      <c r="IM38" s="503" t="str">
        <f t="shared" si="228"/>
        <v/>
      </c>
      <c r="IN38" s="503" t="str">
        <f t="shared" si="229"/>
        <v/>
      </c>
      <c r="IO38" s="503" t="str">
        <f t="shared" si="230"/>
        <v/>
      </c>
      <c r="IP38" s="503" t="str">
        <f t="shared" si="231"/>
        <v/>
      </c>
      <c r="IQ38" s="503" t="str">
        <f t="shared" si="232"/>
        <v/>
      </c>
      <c r="IR38" s="503" t="str">
        <f t="shared" si="233"/>
        <v/>
      </c>
      <c r="IS38" s="503" t="str">
        <f t="shared" si="234"/>
        <v/>
      </c>
      <c r="IT38" s="503" t="str">
        <f t="shared" si="235"/>
        <v/>
      </c>
      <c r="IU38" s="503" t="str">
        <f t="shared" si="236"/>
        <v/>
      </c>
      <c r="IV38" s="503" t="str">
        <f t="shared" si="237"/>
        <v/>
      </c>
      <c r="IW38" s="503" t="str">
        <f t="shared" si="238"/>
        <v/>
      </c>
      <c r="IX38" s="503" t="str">
        <f t="shared" si="239"/>
        <v/>
      </c>
      <c r="IY38" s="503" t="str">
        <f t="shared" si="240"/>
        <v/>
      </c>
      <c r="IZ38" s="503" t="str">
        <f t="shared" si="241"/>
        <v/>
      </c>
      <c r="JA38" s="503" t="str">
        <f t="shared" si="242"/>
        <v/>
      </c>
      <c r="JB38" s="503" t="str">
        <f t="shared" si="243"/>
        <v/>
      </c>
      <c r="JC38" s="512">
        <f t="shared" si="244"/>
        <v>0</v>
      </c>
      <c r="JD38" s="512">
        <f t="shared" si="245"/>
        <v>0</v>
      </c>
      <c r="JE38" s="512">
        <f t="shared" si="246"/>
        <v>0</v>
      </c>
      <c r="JF38" s="512">
        <f t="shared" si="247"/>
        <v>0</v>
      </c>
      <c r="JG38" s="512">
        <f t="shared" si="248"/>
        <v>0</v>
      </c>
      <c r="JH38" s="512">
        <f t="shared" si="249"/>
        <v>0</v>
      </c>
      <c r="JI38" s="512">
        <f t="shared" si="250"/>
        <v>0</v>
      </c>
      <c r="JJ38" s="512">
        <f t="shared" si="251"/>
        <v>0</v>
      </c>
      <c r="JK38" s="512">
        <f t="shared" si="252"/>
        <v>0</v>
      </c>
      <c r="JL38" s="512">
        <f t="shared" si="253"/>
        <v>0</v>
      </c>
      <c r="JM38" s="512">
        <f t="shared" si="254"/>
        <v>0</v>
      </c>
      <c r="JN38" s="512">
        <f t="shared" si="255"/>
        <v>0</v>
      </c>
      <c r="JO38" s="512">
        <f t="shared" si="256"/>
        <v>0</v>
      </c>
      <c r="JP38" s="512">
        <f t="shared" si="257"/>
        <v>0</v>
      </c>
      <c r="JQ38" s="512">
        <f t="shared" si="258"/>
        <v>0</v>
      </c>
    </row>
    <row r="39" spans="1:296" ht="12" customHeight="1">
      <c r="A39" s="115" t="str">
        <f t="shared" si="0"/>
        <v/>
      </c>
      <c r="B39" s="3218" t="s">
        <v>1847</v>
      </c>
      <c r="C39" s="3219"/>
      <c r="D39" s="3220"/>
      <c r="E39" s="3221"/>
      <c r="F39" s="3221"/>
      <c r="G39" s="3221"/>
      <c r="H39" s="3221"/>
      <c r="I39" s="3221"/>
      <c r="J39" s="3222"/>
      <c r="K39" s="859">
        <f t="shared" si="1"/>
        <v>0</v>
      </c>
      <c r="L39" s="859">
        <f t="shared" si="2"/>
        <v>0</v>
      </c>
      <c r="M39" s="3223"/>
      <c r="N39" s="3223"/>
      <c r="O39" s="3223"/>
      <c r="P39" s="3224"/>
      <c r="Q39" s="1384" t="str">
        <f t="shared" si="3"/>
        <v/>
      </c>
      <c r="R39" s="1385" t="str">
        <f>IF(H39="","",IF(C39="Efficiency",Q39/($O$6*VLOOKUP(0,'DCA Underwriting Assumptions'!$J$132:$K$137,2,FALSE)),Q39/($O$6*VLOOKUP(C39,'DCA Underwriting Assumptions'!$J$132:$K$137,2,FALSE))))</f>
        <v/>
      </c>
      <c r="S39" s="1386"/>
      <c r="T39" s="1387"/>
      <c r="U39" s="3225"/>
      <c r="V39" s="3156"/>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461" t="str">
        <f t="shared" si="134"/>
        <v/>
      </c>
      <c r="EX39" s="513" t="str">
        <f t="shared" si="135"/>
        <v/>
      </c>
      <c r="EY39" s="513" t="str">
        <f t="shared" si="136"/>
        <v/>
      </c>
      <c r="EZ39" s="513" t="str">
        <f t="shared" si="137"/>
        <v/>
      </c>
      <c r="FA39" s="513" t="str">
        <f t="shared" si="138"/>
        <v/>
      </c>
      <c r="FB39" s="513" t="str">
        <f t="shared" si="139"/>
        <v/>
      </c>
      <c r="FC39" s="513" t="str">
        <f t="shared" si="140"/>
        <v/>
      </c>
      <c r="FD39" s="513" t="str">
        <f t="shared" si="141"/>
        <v/>
      </c>
      <c r="FE39" s="513" t="str">
        <f t="shared" si="142"/>
        <v/>
      </c>
      <c r="FF39" s="513" t="str">
        <f t="shared" si="143"/>
        <v/>
      </c>
      <c r="FG39" s="513" t="str">
        <f t="shared" si="144"/>
        <v/>
      </c>
      <c r="FH39" s="513" t="str">
        <f t="shared" si="145"/>
        <v/>
      </c>
      <c r="FI39" s="513" t="str">
        <f t="shared" si="146"/>
        <v/>
      </c>
      <c r="FJ39" s="513" t="str">
        <f t="shared" si="147"/>
        <v/>
      </c>
      <c r="FK39" s="513" t="str">
        <f t="shared" si="148"/>
        <v/>
      </c>
      <c r="FL39" s="513" t="str">
        <f t="shared" si="149"/>
        <v/>
      </c>
      <c r="FM39" s="513" t="str">
        <f t="shared" si="150"/>
        <v/>
      </c>
      <c r="FN39" s="513" t="str">
        <f t="shared" si="151"/>
        <v/>
      </c>
      <c r="FO39" s="513" t="str">
        <f t="shared" si="152"/>
        <v/>
      </c>
      <c r="FP39" s="513" t="str">
        <f t="shared" si="153"/>
        <v/>
      </c>
      <c r="FQ39" s="513" t="str">
        <f t="shared" si="154"/>
        <v/>
      </c>
      <c r="FR39" s="513" t="str">
        <f t="shared" si="155"/>
        <v/>
      </c>
      <c r="FS39" s="513" t="str">
        <f t="shared" si="156"/>
        <v/>
      </c>
      <c r="FT39" s="513" t="str">
        <f t="shared" si="157"/>
        <v/>
      </c>
      <c r="FU39" s="513" t="str">
        <f t="shared" si="158"/>
        <v/>
      </c>
      <c r="FV39" s="513" t="str">
        <f t="shared" si="159"/>
        <v/>
      </c>
      <c r="FW39" s="513" t="str">
        <f t="shared" si="160"/>
        <v/>
      </c>
      <c r="FX39" s="513" t="str">
        <f t="shared" si="161"/>
        <v/>
      </c>
      <c r="FY39" s="513" t="str">
        <f t="shared" si="162"/>
        <v/>
      </c>
      <c r="FZ39" s="513" t="str">
        <f t="shared" si="163"/>
        <v/>
      </c>
      <c r="GA39" s="513" t="str">
        <f t="shared" si="164"/>
        <v/>
      </c>
      <c r="GB39" s="513" t="str">
        <f t="shared" si="165"/>
        <v/>
      </c>
      <c r="GC39" s="513" t="str">
        <f t="shared" si="166"/>
        <v/>
      </c>
      <c r="GD39" s="513" t="str">
        <f t="shared" si="167"/>
        <v/>
      </c>
      <c r="GE39" s="513" t="str">
        <f t="shared" si="168"/>
        <v/>
      </c>
      <c r="GF39" s="513" t="str">
        <f t="shared" si="169"/>
        <v/>
      </c>
      <c r="GG39" s="513" t="str">
        <f t="shared" si="170"/>
        <v/>
      </c>
      <c r="GH39" s="513" t="str">
        <f t="shared" si="171"/>
        <v/>
      </c>
      <c r="GI39" s="513" t="str">
        <f t="shared" si="172"/>
        <v/>
      </c>
      <c r="GJ39" s="513" t="str">
        <f t="shared" si="173"/>
        <v/>
      </c>
      <c r="GK39" s="513" t="str">
        <f t="shared" si="174"/>
        <v/>
      </c>
      <c r="GL39" s="513" t="str">
        <f t="shared" si="175"/>
        <v/>
      </c>
      <c r="GM39" s="513" t="str">
        <f t="shared" si="176"/>
        <v/>
      </c>
      <c r="GN39" s="513" t="str">
        <f t="shared" si="177"/>
        <v/>
      </c>
      <c r="GO39" s="513" t="str">
        <f t="shared" si="178"/>
        <v/>
      </c>
      <c r="GP39" s="513" t="str">
        <f t="shared" si="179"/>
        <v/>
      </c>
      <c r="GQ39" s="513" t="str">
        <f t="shared" si="180"/>
        <v/>
      </c>
      <c r="GR39" s="513" t="str">
        <f t="shared" si="181"/>
        <v/>
      </c>
      <c r="GS39" s="513" t="str">
        <f t="shared" si="182"/>
        <v/>
      </c>
      <c r="GT39" s="513" t="str">
        <f t="shared" si="183"/>
        <v/>
      </c>
      <c r="GU39" s="513" t="str">
        <f t="shared" si="184"/>
        <v/>
      </c>
      <c r="GV39" s="513" t="str">
        <f t="shared" si="185"/>
        <v/>
      </c>
      <c r="GW39" s="513" t="str">
        <f t="shared" si="186"/>
        <v/>
      </c>
      <c r="GX39" s="513" t="str">
        <f t="shared" si="187"/>
        <v/>
      </c>
      <c r="GY39" s="513" t="str">
        <f t="shared" si="188"/>
        <v/>
      </c>
      <c r="GZ39" s="513" t="str">
        <f t="shared" si="189"/>
        <v/>
      </c>
      <c r="HA39" s="513" t="str">
        <f t="shared" si="190"/>
        <v/>
      </c>
      <c r="HB39" s="513" t="str">
        <f t="shared" si="191"/>
        <v/>
      </c>
      <c r="HC39" s="513" t="str">
        <f t="shared" si="192"/>
        <v/>
      </c>
      <c r="HD39" s="513" t="str">
        <f t="shared" si="193"/>
        <v/>
      </c>
      <c r="HE39" s="513" t="str">
        <f t="shared" si="194"/>
        <v/>
      </c>
      <c r="HF39" s="513" t="str">
        <f t="shared" si="195"/>
        <v/>
      </c>
      <c r="HG39" s="513" t="str">
        <f t="shared" si="196"/>
        <v/>
      </c>
      <c r="HH39" s="513" t="str">
        <f t="shared" si="197"/>
        <v/>
      </c>
      <c r="HI39" s="513" t="str">
        <f t="shared" si="198"/>
        <v/>
      </c>
      <c r="HJ39" s="513" t="str">
        <f t="shared" si="199"/>
        <v/>
      </c>
      <c r="HK39" s="513" t="str">
        <f t="shared" si="200"/>
        <v/>
      </c>
      <c r="HL39" s="513" t="str">
        <f t="shared" si="201"/>
        <v/>
      </c>
      <c r="HM39" s="513" t="str">
        <f t="shared" si="202"/>
        <v/>
      </c>
      <c r="HN39" s="513" t="str">
        <f t="shared" si="203"/>
        <v/>
      </c>
      <c r="HO39" s="513" t="str">
        <f t="shared" si="204"/>
        <v/>
      </c>
      <c r="HP39" s="513" t="str">
        <f t="shared" si="205"/>
        <v/>
      </c>
      <c r="HQ39" s="513" t="str">
        <f t="shared" si="206"/>
        <v/>
      </c>
      <c r="HR39" s="513" t="str">
        <f t="shared" si="207"/>
        <v/>
      </c>
      <c r="HS39" s="513" t="str">
        <f t="shared" si="208"/>
        <v/>
      </c>
      <c r="HT39" s="513" t="str">
        <f t="shared" si="209"/>
        <v/>
      </c>
      <c r="HU39" s="513" t="str">
        <f t="shared" si="210"/>
        <v/>
      </c>
      <c r="HV39" s="513" t="str">
        <f t="shared" si="211"/>
        <v/>
      </c>
      <c r="HW39" s="513" t="str">
        <f t="shared" si="212"/>
        <v/>
      </c>
      <c r="HX39" s="513" t="str">
        <f t="shared" si="213"/>
        <v/>
      </c>
      <c r="HY39" s="513" t="str">
        <f t="shared" si="214"/>
        <v/>
      </c>
      <c r="HZ39" s="513" t="str">
        <f t="shared" si="215"/>
        <v/>
      </c>
      <c r="IA39" s="513" t="str">
        <f t="shared" si="216"/>
        <v/>
      </c>
      <c r="IB39" s="513" t="str">
        <f t="shared" si="217"/>
        <v/>
      </c>
      <c r="IC39" s="513" t="str">
        <f t="shared" si="218"/>
        <v/>
      </c>
      <c r="ID39" s="514" t="str">
        <f t="shared" si="219"/>
        <v/>
      </c>
      <c r="IE39" s="514" t="str">
        <f t="shared" si="220"/>
        <v/>
      </c>
      <c r="IF39" s="514" t="str">
        <f t="shared" si="221"/>
        <v/>
      </c>
      <c r="IG39" s="514" t="str">
        <f t="shared" si="222"/>
        <v/>
      </c>
      <c r="IH39" s="514" t="str">
        <f t="shared" si="223"/>
        <v/>
      </c>
      <c r="II39" s="503" t="str">
        <f t="shared" si="224"/>
        <v/>
      </c>
      <c r="IJ39" s="503" t="str">
        <f t="shared" si="225"/>
        <v/>
      </c>
      <c r="IK39" s="503" t="str">
        <f t="shared" si="226"/>
        <v/>
      </c>
      <c r="IL39" s="503" t="str">
        <f t="shared" si="227"/>
        <v/>
      </c>
      <c r="IM39" s="503" t="str">
        <f t="shared" si="228"/>
        <v/>
      </c>
      <c r="IN39" s="503" t="str">
        <f t="shared" si="229"/>
        <v/>
      </c>
      <c r="IO39" s="503" t="str">
        <f t="shared" si="230"/>
        <v/>
      </c>
      <c r="IP39" s="503" t="str">
        <f t="shared" si="231"/>
        <v/>
      </c>
      <c r="IQ39" s="503" t="str">
        <f t="shared" si="232"/>
        <v/>
      </c>
      <c r="IR39" s="503" t="str">
        <f t="shared" si="233"/>
        <v/>
      </c>
      <c r="IS39" s="503" t="str">
        <f t="shared" si="234"/>
        <v/>
      </c>
      <c r="IT39" s="503" t="str">
        <f t="shared" si="235"/>
        <v/>
      </c>
      <c r="IU39" s="503" t="str">
        <f t="shared" si="236"/>
        <v/>
      </c>
      <c r="IV39" s="503" t="str">
        <f t="shared" si="237"/>
        <v/>
      </c>
      <c r="IW39" s="503" t="str">
        <f t="shared" si="238"/>
        <v/>
      </c>
      <c r="IX39" s="503" t="str">
        <f t="shared" si="239"/>
        <v/>
      </c>
      <c r="IY39" s="503" t="str">
        <f t="shared" si="240"/>
        <v/>
      </c>
      <c r="IZ39" s="503" t="str">
        <f t="shared" si="241"/>
        <v/>
      </c>
      <c r="JA39" s="503" t="str">
        <f t="shared" si="242"/>
        <v/>
      </c>
      <c r="JB39" s="503" t="str">
        <f t="shared" si="243"/>
        <v/>
      </c>
      <c r="JC39" s="512">
        <f t="shared" si="244"/>
        <v>0</v>
      </c>
      <c r="JD39" s="512">
        <f t="shared" si="245"/>
        <v>0</v>
      </c>
      <c r="JE39" s="512">
        <f t="shared" si="246"/>
        <v>0</v>
      </c>
      <c r="JF39" s="512">
        <f t="shared" si="247"/>
        <v>0</v>
      </c>
      <c r="JG39" s="512">
        <f t="shared" si="248"/>
        <v>0</v>
      </c>
      <c r="JH39" s="512">
        <f t="shared" si="249"/>
        <v>0</v>
      </c>
      <c r="JI39" s="512">
        <f t="shared" si="250"/>
        <v>0</v>
      </c>
      <c r="JJ39" s="512">
        <f t="shared" si="251"/>
        <v>0</v>
      </c>
      <c r="JK39" s="512">
        <f t="shared" si="252"/>
        <v>0</v>
      </c>
      <c r="JL39" s="512">
        <f t="shared" si="253"/>
        <v>0</v>
      </c>
      <c r="JM39" s="512">
        <f t="shared" si="254"/>
        <v>0</v>
      </c>
      <c r="JN39" s="512">
        <f t="shared" si="255"/>
        <v>0</v>
      </c>
      <c r="JO39" s="512">
        <f t="shared" si="256"/>
        <v>0</v>
      </c>
      <c r="JP39" s="512">
        <f t="shared" si="257"/>
        <v>0</v>
      </c>
      <c r="JQ39" s="512">
        <f t="shared" si="258"/>
        <v>0</v>
      </c>
    </row>
    <row r="40" spans="1:296" ht="12" customHeight="1">
      <c r="A40" s="115" t="str">
        <f t="shared" si="0"/>
        <v/>
      </c>
      <c r="B40" s="3218" t="s">
        <v>1847</v>
      </c>
      <c r="C40" s="3219"/>
      <c r="D40" s="3220"/>
      <c r="E40" s="3221"/>
      <c r="F40" s="3221"/>
      <c r="G40" s="3221"/>
      <c r="H40" s="3221"/>
      <c r="I40" s="3221"/>
      <c r="J40" s="3222"/>
      <c r="K40" s="859">
        <f t="shared" si="1"/>
        <v>0</v>
      </c>
      <c r="L40" s="859">
        <f t="shared" si="2"/>
        <v>0</v>
      </c>
      <c r="M40" s="3223"/>
      <c r="N40" s="3223"/>
      <c r="O40" s="3223"/>
      <c r="P40" s="3224"/>
      <c r="Q40" s="1384" t="str">
        <f t="shared" si="3"/>
        <v/>
      </c>
      <c r="R40" s="1385" t="str">
        <f>IF(H40="","",IF(C40="Efficiency",Q40/($O$6*VLOOKUP(0,'DCA Underwriting Assumptions'!$J$132:$K$137,2,FALSE)),Q40/($O$6*VLOOKUP(C40,'DCA Underwriting Assumptions'!$J$132:$K$137,2,FALSE))))</f>
        <v/>
      </c>
      <c r="S40" s="1386"/>
      <c r="T40" s="1387"/>
      <c r="U40" s="3225"/>
      <c r="V40" s="3156"/>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461" t="str">
        <f t="shared" si="134"/>
        <v/>
      </c>
      <c r="EX40" s="513" t="str">
        <f t="shared" si="135"/>
        <v/>
      </c>
      <c r="EY40" s="513" t="str">
        <f t="shared" si="136"/>
        <v/>
      </c>
      <c r="EZ40" s="513" t="str">
        <f t="shared" si="137"/>
        <v/>
      </c>
      <c r="FA40" s="513" t="str">
        <f t="shared" si="138"/>
        <v/>
      </c>
      <c r="FB40" s="513" t="str">
        <f t="shared" si="139"/>
        <v/>
      </c>
      <c r="FC40" s="513" t="str">
        <f t="shared" si="140"/>
        <v/>
      </c>
      <c r="FD40" s="513" t="str">
        <f t="shared" si="141"/>
        <v/>
      </c>
      <c r="FE40" s="513" t="str">
        <f t="shared" si="142"/>
        <v/>
      </c>
      <c r="FF40" s="513" t="str">
        <f t="shared" si="143"/>
        <v/>
      </c>
      <c r="FG40" s="513" t="str">
        <f t="shared" si="144"/>
        <v/>
      </c>
      <c r="FH40" s="513" t="str">
        <f t="shared" si="145"/>
        <v/>
      </c>
      <c r="FI40" s="513" t="str">
        <f t="shared" si="146"/>
        <v/>
      </c>
      <c r="FJ40" s="513" t="str">
        <f t="shared" si="147"/>
        <v/>
      </c>
      <c r="FK40" s="513" t="str">
        <f t="shared" si="148"/>
        <v/>
      </c>
      <c r="FL40" s="513" t="str">
        <f t="shared" si="149"/>
        <v/>
      </c>
      <c r="FM40" s="513" t="str">
        <f t="shared" si="150"/>
        <v/>
      </c>
      <c r="FN40" s="513" t="str">
        <f t="shared" si="151"/>
        <v/>
      </c>
      <c r="FO40" s="513" t="str">
        <f t="shared" si="152"/>
        <v/>
      </c>
      <c r="FP40" s="513" t="str">
        <f t="shared" si="153"/>
        <v/>
      </c>
      <c r="FQ40" s="513" t="str">
        <f t="shared" si="154"/>
        <v/>
      </c>
      <c r="FR40" s="513" t="str">
        <f t="shared" si="155"/>
        <v/>
      </c>
      <c r="FS40" s="513" t="str">
        <f t="shared" si="156"/>
        <v/>
      </c>
      <c r="FT40" s="513" t="str">
        <f t="shared" si="157"/>
        <v/>
      </c>
      <c r="FU40" s="513" t="str">
        <f t="shared" si="158"/>
        <v/>
      </c>
      <c r="FV40" s="513" t="str">
        <f t="shared" si="159"/>
        <v/>
      </c>
      <c r="FW40" s="513" t="str">
        <f t="shared" si="160"/>
        <v/>
      </c>
      <c r="FX40" s="513" t="str">
        <f t="shared" si="161"/>
        <v/>
      </c>
      <c r="FY40" s="513" t="str">
        <f t="shared" si="162"/>
        <v/>
      </c>
      <c r="FZ40" s="513" t="str">
        <f t="shared" si="163"/>
        <v/>
      </c>
      <c r="GA40" s="513" t="str">
        <f t="shared" si="164"/>
        <v/>
      </c>
      <c r="GB40" s="513" t="str">
        <f t="shared" si="165"/>
        <v/>
      </c>
      <c r="GC40" s="513" t="str">
        <f t="shared" si="166"/>
        <v/>
      </c>
      <c r="GD40" s="513" t="str">
        <f t="shared" si="167"/>
        <v/>
      </c>
      <c r="GE40" s="513" t="str">
        <f t="shared" si="168"/>
        <v/>
      </c>
      <c r="GF40" s="513" t="str">
        <f t="shared" si="169"/>
        <v/>
      </c>
      <c r="GG40" s="513" t="str">
        <f t="shared" si="170"/>
        <v/>
      </c>
      <c r="GH40" s="513" t="str">
        <f t="shared" si="171"/>
        <v/>
      </c>
      <c r="GI40" s="513" t="str">
        <f t="shared" si="172"/>
        <v/>
      </c>
      <c r="GJ40" s="513" t="str">
        <f t="shared" si="173"/>
        <v/>
      </c>
      <c r="GK40" s="513" t="str">
        <f t="shared" si="174"/>
        <v/>
      </c>
      <c r="GL40" s="513" t="str">
        <f t="shared" si="175"/>
        <v/>
      </c>
      <c r="GM40" s="513" t="str">
        <f t="shared" si="176"/>
        <v/>
      </c>
      <c r="GN40" s="513" t="str">
        <f t="shared" si="177"/>
        <v/>
      </c>
      <c r="GO40" s="513" t="str">
        <f t="shared" si="178"/>
        <v/>
      </c>
      <c r="GP40" s="513" t="str">
        <f t="shared" si="179"/>
        <v/>
      </c>
      <c r="GQ40" s="513" t="str">
        <f t="shared" si="180"/>
        <v/>
      </c>
      <c r="GR40" s="513" t="str">
        <f t="shared" si="181"/>
        <v/>
      </c>
      <c r="GS40" s="513" t="str">
        <f t="shared" si="182"/>
        <v/>
      </c>
      <c r="GT40" s="513" t="str">
        <f t="shared" si="183"/>
        <v/>
      </c>
      <c r="GU40" s="513" t="str">
        <f t="shared" si="184"/>
        <v/>
      </c>
      <c r="GV40" s="513" t="str">
        <f t="shared" si="185"/>
        <v/>
      </c>
      <c r="GW40" s="513" t="str">
        <f t="shared" si="186"/>
        <v/>
      </c>
      <c r="GX40" s="513" t="str">
        <f t="shared" si="187"/>
        <v/>
      </c>
      <c r="GY40" s="513" t="str">
        <f t="shared" si="188"/>
        <v/>
      </c>
      <c r="GZ40" s="513" t="str">
        <f t="shared" si="189"/>
        <v/>
      </c>
      <c r="HA40" s="513" t="str">
        <f t="shared" si="190"/>
        <v/>
      </c>
      <c r="HB40" s="513" t="str">
        <f t="shared" si="191"/>
        <v/>
      </c>
      <c r="HC40" s="513" t="str">
        <f t="shared" si="192"/>
        <v/>
      </c>
      <c r="HD40" s="513" t="str">
        <f t="shared" si="193"/>
        <v/>
      </c>
      <c r="HE40" s="513" t="str">
        <f t="shared" si="194"/>
        <v/>
      </c>
      <c r="HF40" s="513" t="str">
        <f t="shared" si="195"/>
        <v/>
      </c>
      <c r="HG40" s="513" t="str">
        <f t="shared" si="196"/>
        <v/>
      </c>
      <c r="HH40" s="513" t="str">
        <f t="shared" si="197"/>
        <v/>
      </c>
      <c r="HI40" s="513" t="str">
        <f t="shared" si="198"/>
        <v/>
      </c>
      <c r="HJ40" s="513" t="str">
        <f t="shared" si="199"/>
        <v/>
      </c>
      <c r="HK40" s="513" t="str">
        <f t="shared" si="200"/>
        <v/>
      </c>
      <c r="HL40" s="513" t="str">
        <f t="shared" si="201"/>
        <v/>
      </c>
      <c r="HM40" s="513" t="str">
        <f t="shared" si="202"/>
        <v/>
      </c>
      <c r="HN40" s="513" t="str">
        <f t="shared" si="203"/>
        <v/>
      </c>
      <c r="HO40" s="513" t="str">
        <f t="shared" si="204"/>
        <v/>
      </c>
      <c r="HP40" s="513" t="str">
        <f t="shared" si="205"/>
        <v/>
      </c>
      <c r="HQ40" s="513" t="str">
        <f t="shared" si="206"/>
        <v/>
      </c>
      <c r="HR40" s="513" t="str">
        <f t="shared" si="207"/>
        <v/>
      </c>
      <c r="HS40" s="513" t="str">
        <f t="shared" si="208"/>
        <v/>
      </c>
      <c r="HT40" s="513" t="str">
        <f t="shared" si="209"/>
        <v/>
      </c>
      <c r="HU40" s="513" t="str">
        <f t="shared" si="210"/>
        <v/>
      </c>
      <c r="HV40" s="513" t="str">
        <f t="shared" si="211"/>
        <v/>
      </c>
      <c r="HW40" s="513" t="str">
        <f t="shared" si="212"/>
        <v/>
      </c>
      <c r="HX40" s="513" t="str">
        <f t="shared" si="213"/>
        <v/>
      </c>
      <c r="HY40" s="513" t="str">
        <f t="shared" si="214"/>
        <v/>
      </c>
      <c r="HZ40" s="513" t="str">
        <f t="shared" si="215"/>
        <v/>
      </c>
      <c r="IA40" s="513" t="str">
        <f t="shared" si="216"/>
        <v/>
      </c>
      <c r="IB40" s="513" t="str">
        <f t="shared" si="217"/>
        <v/>
      </c>
      <c r="IC40" s="513" t="str">
        <f t="shared" si="218"/>
        <v/>
      </c>
      <c r="ID40" s="514" t="str">
        <f t="shared" si="219"/>
        <v/>
      </c>
      <c r="IE40" s="514" t="str">
        <f t="shared" si="220"/>
        <v/>
      </c>
      <c r="IF40" s="514" t="str">
        <f t="shared" si="221"/>
        <v/>
      </c>
      <c r="IG40" s="514" t="str">
        <f t="shared" si="222"/>
        <v/>
      </c>
      <c r="IH40" s="514" t="str">
        <f t="shared" si="223"/>
        <v/>
      </c>
      <c r="II40" s="503" t="str">
        <f t="shared" si="224"/>
        <v/>
      </c>
      <c r="IJ40" s="503" t="str">
        <f t="shared" si="225"/>
        <v/>
      </c>
      <c r="IK40" s="503" t="str">
        <f t="shared" si="226"/>
        <v/>
      </c>
      <c r="IL40" s="503" t="str">
        <f t="shared" si="227"/>
        <v/>
      </c>
      <c r="IM40" s="503" t="str">
        <f t="shared" si="228"/>
        <v/>
      </c>
      <c r="IN40" s="503" t="str">
        <f t="shared" si="229"/>
        <v/>
      </c>
      <c r="IO40" s="503" t="str">
        <f t="shared" si="230"/>
        <v/>
      </c>
      <c r="IP40" s="503" t="str">
        <f t="shared" si="231"/>
        <v/>
      </c>
      <c r="IQ40" s="503" t="str">
        <f t="shared" si="232"/>
        <v/>
      </c>
      <c r="IR40" s="503" t="str">
        <f t="shared" si="233"/>
        <v/>
      </c>
      <c r="IS40" s="503" t="str">
        <f t="shared" si="234"/>
        <v/>
      </c>
      <c r="IT40" s="503" t="str">
        <f t="shared" si="235"/>
        <v/>
      </c>
      <c r="IU40" s="503" t="str">
        <f t="shared" si="236"/>
        <v/>
      </c>
      <c r="IV40" s="503" t="str">
        <f t="shared" si="237"/>
        <v/>
      </c>
      <c r="IW40" s="503" t="str">
        <f t="shared" si="238"/>
        <v/>
      </c>
      <c r="IX40" s="503" t="str">
        <f t="shared" si="239"/>
        <v/>
      </c>
      <c r="IY40" s="503" t="str">
        <f t="shared" si="240"/>
        <v/>
      </c>
      <c r="IZ40" s="503" t="str">
        <f t="shared" si="241"/>
        <v/>
      </c>
      <c r="JA40" s="503" t="str">
        <f t="shared" si="242"/>
        <v/>
      </c>
      <c r="JB40" s="503" t="str">
        <f t="shared" si="243"/>
        <v/>
      </c>
      <c r="JC40" s="512">
        <f t="shared" si="244"/>
        <v>0</v>
      </c>
      <c r="JD40" s="512">
        <f t="shared" si="245"/>
        <v>0</v>
      </c>
      <c r="JE40" s="512">
        <f t="shared" si="246"/>
        <v>0</v>
      </c>
      <c r="JF40" s="512">
        <f t="shared" si="247"/>
        <v>0</v>
      </c>
      <c r="JG40" s="512">
        <f t="shared" si="248"/>
        <v>0</v>
      </c>
      <c r="JH40" s="512">
        <f t="shared" si="249"/>
        <v>0</v>
      </c>
      <c r="JI40" s="512">
        <f t="shared" si="250"/>
        <v>0</v>
      </c>
      <c r="JJ40" s="512">
        <f t="shared" si="251"/>
        <v>0</v>
      </c>
      <c r="JK40" s="512">
        <f t="shared" si="252"/>
        <v>0</v>
      </c>
      <c r="JL40" s="512">
        <f t="shared" si="253"/>
        <v>0</v>
      </c>
      <c r="JM40" s="512">
        <f t="shared" si="254"/>
        <v>0</v>
      </c>
      <c r="JN40" s="512">
        <f t="shared" si="255"/>
        <v>0</v>
      </c>
      <c r="JO40" s="512">
        <f t="shared" si="256"/>
        <v>0</v>
      </c>
      <c r="JP40" s="512">
        <f t="shared" si="257"/>
        <v>0</v>
      </c>
      <c r="JQ40" s="512">
        <f t="shared" si="258"/>
        <v>0</v>
      </c>
    </row>
    <row r="41" spans="1:296" ht="12" customHeight="1">
      <c r="A41" s="115" t="str">
        <f t="shared" si="0"/>
        <v/>
      </c>
      <c r="B41" s="3218" t="s">
        <v>1847</v>
      </c>
      <c r="C41" s="3219"/>
      <c r="D41" s="3220"/>
      <c r="E41" s="3221"/>
      <c r="F41" s="3221"/>
      <c r="G41" s="3221"/>
      <c r="H41" s="3221"/>
      <c r="I41" s="3221"/>
      <c r="J41" s="3222"/>
      <c r="K41" s="859">
        <f t="shared" si="1"/>
        <v>0</v>
      </c>
      <c r="L41" s="859">
        <f t="shared" si="2"/>
        <v>0</v>
      </c>
      <c r="M41" s="3223"/>
      <c r="N41" s="3223"/>
      <c r="O41" s="3223"/>
      <c r="P41" s="3224"/>
      <c r="Q41" s="1384" t="str">
        <f t="shared" si="3"/>
        <v/>
      </c>
      <c r="R41" s="1385" t="str">
        <f>IF(H41="","",IF(C41="Efficiency",Q41/($O$6*VLOOKUP(0,'DCA Underwriting Assumptions'!$J$132:$K$137,2,FALSE)),Q41/($O$6*VLOOKUP(C41,'DCA Underwriting Assumptions'!$J$132:$K$137,2,FALSE))))</f>
        <v/>
      </c>
      <c r="S41" s="1386"/>
      <c r="T41" s="1387"/>
      <c r="U41" s="3225"/>
      <c r="V41" s="3156"/>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461" t="str">
        <f t="shared" si="134"/>
        <v/>
      </c>
      <c r="EX41" s="513" t="str">
        <f t="shared" si="135"/>
        <v/>
      </c>
      <c r="EY41" s="513" t="str">
        <f t="shared" si="136"/>
        <v/>
      </c>
      <c r="EZ41" s="513" t="str">
        <f t="shared" si="137"/>
        <v/>
      </c>
      <c r="FA41" s="513" t="str">
        <f t="shared" si="138"/>
        <v/>
      </c>
      <c r="FB41" s="513" t="str">
        <f t="shared" si="139"/>
        <v/>
      </c>
      <c r="FC41" s="513" t="str">
        <f t="shared" si="140"/>
        <v/>
      </c>
      <c r="FD41" s="513" t="str">
        <f t="shared" si="141"/>
        <v/>
      </c>
      <c r="FE41" s="513" t="str">
        <f t="shared" si="142"/>
        <v/>
      </c>
      <c r="FF41" s="513" t="str">
        <f t="shared" si="143"/>
        <v/>
      </c>
      <c r="FG41" s="513" t="str">
        <f t="shared" si="144"/>
        <v/>
      </c>
      <c r="FH41" s="513" t="str">
        <f t="shared" si="145"/>
        <v/>
      </c>
      <c r="FI41" s="513" t="str">
        <f t="shared" si="146"/>
        <v/>
      </c>
      <c r="FJ41" s="513" t="str">
        <f t="shared" si="147"/>
        <v/>
      </c>
      <c r="FK41" s="513" t="str">
        <f t="shared" si="148"/>
        <v/>
      </c>
      <c r="FL41" s="513" t="str">
        <f t="shared" si="149"/>
        <v/>
      </c>
      <c r="FM41" s="513" t="str">
        <f t="shared" si="150"/>
        <v/>
      </c>
      <c r="FN41" s="513" t="str">
        <f t="shared" si="151"/>
        <v/>
      </c>
      <c r="FO41" s="513" t="str">
        <f t="shared" si="152"/>
        <v/>
      </c>
      <c r="FP41" s="513" t="str">
        <f t="shared" si="153"/>
        <v/>
      </c>
      <c r="FQ41" s="513" t="str">
        <f t="shared" si="154"/>
        <v/>
      </c>
      <c r="FR41" s="513" t="str">
        <f t="shared" si="155"/>
        <v/>
      </c>
      <c r="FS41" s="513" t="str">
        <f t="shared" si="156"/>
        <v/>
      </c>
      <c r="FT41" s="513" t="str">
        <f t="shared" si="157"/>
        <v/>
      </c>
      <c r="FU41" s="513" t="str">
        <f t="shared" si="158"/>
        <v/>
      </c>
      <c r="FV41" s="513" t="str">
        <f t="shared" si="159"/>
        <v/>
      </c>
      <c r="FW41" s="513" t="str">
        <f t="shared" si="160"/>
        <v/>
      </c>
      <c r="FX41" s="513" t="str">
        <f t="shared" si="161"/>
        <v/>
      </c>
      <c r="FY41" s="513" t="str">
        <f t="shared" si="162"/>
        <v/>
      </c>
      <c r="FZ41" s="513" t="str">
        <f t="shared" si="163"/>
        <v/>
      </c>
      <c r="GA41" s="513" t="str">
        <f t="shared" si="164"/>
        <v/>
      </c>
      <c r="GB41" s="513" t="str">
        <f t="shared" si="165"/>
        <v/>
      </c>
      <c r="GC41" s="513" t="str">
        <f t="shared" si="166"/>
        <v/>
      </c>
      <c r="GD41" s="513" t="str">
        <f t="shared" si="167"/>
        <v/>
      </c>
      <c r="GE41" s="513" t="str">
        <f t="shared" si="168"/>
        <v/>
      </c>
      <c r="GF41" s="513" t="str">
        <f t="shared" si="169"/>
        <v/>
      </c>
      <c r="GG41" s="513" t="str">
        <f t="shared" si="170"/>
        <v/>
      </c>
      <c r="GH41" s="513" t="str">
        <f t="shared" si="171"/>
        <v/>
      </c>
      <c r="GI41" s="513" t="str">
        <f t="shared" si="172"/>
        <v/>
      </c>
      <c r="GJ41" s="513" t="str">
        <f t="shared" si="173"/>
        <v/>
      </c>
      <c r="GK41" s="513" t="str">
        <f t="shared" si="174"/>
        <v/>
      </c>
      <c r="GL41" s="513" t="str">
        <f t="shared" si="175"/>
        <v/>
      </c>
      <c r="GM41" s="513" t="str">
        <f t="shared" si="176"/>
        <v/>
      </c>
      <c r="GN41" s="513" t="str">
        <f t="shared" si="177"/>
        <v/>
      </c>
      <c r="GO41" s="513" t="str">
        <f t="shared" si="178"/>
        <v/>
      </c>
      <c r="GP41" s="513" t="str">
        <f t="shared" si="179"/>
        <v/>
      </c>
      <c r="GQ41" s="513" t="str">
        <f t="shared" si="180"/>
        <v/>
      </c>
      <c r="GR41" s="513" t="str">
        <f t="shared" si="181"/>
        <v/>
      </c>
      <c r="GS41" s="513" t="str">
        <f t="shared" si="182"/>
        <v/>
      </c>
      <c r="GT41" s="513" t="str">
        <f t="shared" si="183"/>
        <v/>
      </c>
      <c r="GU41" s="513" t="str">
        <f t="shared" si="184"/>
        <v/>
      </c>
      <c r="GV41" s="513" t="str">
        <f t="shared" si="185"/>
        <v/>
      </c>
      <c r="GW41" s="513" t="str">
        <f t="shared" si="186"/>
        <v/>
      </c>
      <c r="GX41" s="513" t="str">
        <f t="shared" si="187"/>
        <v/>
      </c>
      <c r="GY41" s="513" t="str">
        <f t="shared" si="188"/>
        <v/>
      </c>
      <c r="GZ41" s="513" t="str">
        <f t="shared" si="189"/>
        <v/>
      </c>
      <c r="HA41" s="513" t="str">
        <f t="shared" si="190"/>
        <v/>
      </c>
      <c r="HB41" s="513" t="str">
        <f t="shared" si="191"/>
        <v/>
      </c>
      <c r="HC41" s="513" t="str">
        <f t="shared" si="192"/>
        <v/>
      </c>
      <c r="HD41" s="513" t="str">
        <f t="shared" si="193"/>
        <v/>
      </c>
      <c r="HE41" s="513" t="str">
        <f t="shared" si="194"/>
        <v/>
      </c>
      <c r="HF41" s="513" t="str">
        <f t="shared" si="195"/>
        <v/>
      </c>
      <c r="HG41" s="513" t="str">
        <f t="shared" si="196"/>
        <v/>
      </c>
      <c r="HH41" s="513" t="str">
        <f t="shared" si="197"/>
        <v/>
      </c>
      <c r="HI41" s="513" t="str">
        <f t="shared" si="198"/>
        <v/>
      </c>
      <c r="HJ41" s="513" t="str">
        <f t="shared" si="199"/>
        <v/>
      </c>
      <c r="HK41" s="513" t="str">
        <f t="shared" si="200"/>
        <v/>
      </c>
      <c r="HL41" s="513" t="str">
        <f t="shared" si="201"/>
        <v/>
      </c>
      <c r="HM41" s="513" t="str">
        <f t="shared" si="202"/>
        <v/>
      </c>
      <c r="HN41" s="513" t="str">
        <f t="shared" si="203"/>
        <v/>
      </c>
      <c r="HO41" s="513" t="str">
        <f t="shared" si="204"/>
        <v/>
      </c>
      <c r="HP41" s="513" t="str">
        <f t="shared" si="205"/>
        <v/>
      </c>
      <c r="HQ41" s="513" t="str">
        <f t="shared" si="206"/>
        <v/>
      </c>
      <c r="HR41" s="513" t="str">
        <f t="shared" si="207"/>
        <v/>
      </c>
      <c r="HS41" s="513" t="str">
        <f t="shared" si="208"/>
        <v/>
      </c>
      <c r="HT41" s="513" t="str">
        <f t="shared" si="209"/>
        <v/>
      </c>
      <c r="HU41" s="513" t="str">
        <f t="shared" si="210"/>
        <v/>
      </c>
      <c r="HV41" s="513" t="str">
        <f t="shared" si="211"/>
        <v/>
      </c>
      <c r="HW41" s="513" t="str">
        <f t="shared" si="212"/>
        <v/>
      </c>
      <c r="HX41" s="513" t="str">
        <f t="shared" si="213"/>
        <v/>
      </c>
      <c r="HY41" s="513" t="str">
        <f t="shared" si="214"/>
        <v/>
      </c>
      <c r="HZ41" s="513" t="str">
        <f t="shared" si="215"/>
        <v/>
      </c>
      <c r="IA41" s="513" t="str">
        <f t="shared" si="216"/>
        <v/>
      </c>
      <c r="IB41" s="513" t="str">
        <f t="shared" si="217"/>
        <v/>
      </c>
      <c r="IC41" s="513" t="str">
        <f t="shared" si="218"/>
        <v/>
      </c>
      <c r="ID41" s="514" t="str">
        <f t="shared" si="219"/>
        <v/>
      </c>
      <c r="IE41" s="514" t="str">
        <f t="shared" si="220"/>
        <v/>
      </c>
      <c r="IF41" s="514" t="str">
        <f t="shared" si="221"/>
        <v/>
      </c>
      <c r="IG41" s="514" t="str">
        <f t="shared" si="222"/>
        <v/>
      </c>
      <c r="IH41" s="514" t="str">
        <f t="shared" si="223"/>
        <v/>
      </c>
      <c r="II41" s="503" t="str">
        <f t="shared" si="224"/>
        <v/>
      </c>
      <c r="IJ41" s="503" t="str">
        <f t="shared" si="225"/>
        <v/>
      </c>
      <c r="IK41" s="503" t="str">
        <f t="shared" si="226"/>
        <v/>
      </c>
      <c r="IL41" s="503" t="str">
        <f t="shared" si="227"/>
        <v/>
      </c>
      <c r="IM41" s="503" t="str">
        <f t="shared" si="228"/>
        <v/>
      </c>
      <c r="IN41" s="503" t="str">
        <f t="shared" si="229"/>
        <v/>
      </c>
      <c r="IO41" s="503" t="str">
        <f t="shared" si="230"/>
        <v/>
      </c>
      <c r="IP41" s="503" t="str">
        <f t="shared" si="231"/>
        <v/>
      </c>
      <c r="IQ41" s="503" t="str">
        <f t="shared" si="232"/>
        <v/>
      </c>
      <c r="IR41" s="503" t="str">
        <f t="shared" si="233"/>
        <v/>
      </c>
      <c r="IS41" s="503" t="str">
        <f t="shared" si="234"/>
        <v/>
      </c>
      <c r="IT41" s="503" t="str">
        <f t="shared" si="235"/>
        <v/>
      </c>
      <c r="IU41" s="503" t="str">
        <f t="shared" si="236"/>
        <v/>
      </c>
      <c r="IV41" s="503" t="str">
        <f t="shared" si="237"/>
        <v/>
      </c>
      <c r="IW41" s="503" t="str">
        <f t="shared" si="238"/>
        <v/>
      </c>
      <c r="IX41" s="503" t="str">
        <f t="shared" si="239"/>
        <v/>
      </c>
      <c r="IY41" s="503" t="str">
        <f t="shared" si="240"/>
        <v/>
      </c>
      <c r="IZ41" s="503" t="str">
        <f t="shared" si="241"/>
        <v/>
      </c>
      <c r="JA41" s="503" t="str">
        <f t="shared" si="242"/>
        <v/>
      </c>
      <c r="JB41" s="503" t="str">
        <f t="shared" si="243"/>
        <v/>
      </c>
      <c r="JC41" s="512">
        <f t="shared" si="244"/>
        <v>0</v>
      </c>
      <c r="JD41" s="512">
        <f t="shared" si="245"/>
        <v>0</v>
      </c>
      <c r="JE41" s="512">
        <f t="shared" si="246"/>
        <v>0</v>
      </c>
      <c r="JF41" s="512">
        <f t="shared" si="247"/>
        <v>0</v>
      </c>
      <c r="JG41" s="512">
        <f t="shared" si="248"/>
        <v>0</v>
      </c>
      <c r="JH41" s="512">
        <f t="shared" si="249"/>
        <v>0</v>
      </c>
      <c r="JI41" s="512">
        <f t="shared" si="250"/>
        <v>0</v>
      </c>
      <c r="JJ41" s="512">
        <f t="shared" si="251"/>
        <v>0</v>
      </c>
      <c r="JK41" s="512">
        <f t="shared" si="252"/>
        <v>0</v>
      </c>
      <c r="JL41" s="512">
        <f t="shared" si="253"/>
        <v>0</v>
      </c>
      <c r="JM41" s="512">
        <f t="shared" si="254"/>
        <v>0</v>
      </c>
      <c r="JN41" s="512">
        <f t="shared" si="255"/>
        <v>0</v>
      </c>
      <c r="JO41" s="512">
        <f t="shared" si="256"/>
        <v>0</v>
      </c>
      <c r="JP41" s="512">
        <f t="shared" si="257"/>
        <v>0</v>
      </c>
      <c r="JQ41" s="512">
        <f t="shared" si="258"/>
        <v>0</v>
      </c>
    </row>
    <row r="42" spans="1:296" ht="12" customHeight="1">
      <c r="A42" s="115" t="str">
        <f t="shared" si="0"/>
        <v/>
      </c>
      <c r="B42" s="3218" t="s">
        <v>1847</v>
      </c>
      <c r="C42" s="3219"/>
      <c r="D42" s="3220"/>
      <c r="E42" s="3221"/>
      <c r="F42" s="3221"/>
      <c r="G42" s="3221"/>
      <c r="H42" s="3221"/>
      <c r="I42" s="3221"/>
      <c r="J42" s="3222"/>
      <c r="K42" s="859">
        <f t="shared" si="1"/>
        <v>0</v>
      </c>
      <c r="L42" s="859">
        <f t="shared" si="2"/>
        <v>0</v>
      </c>
      <c r="M42" s="3223"/>
      <c r="N42" s="3223"/>
      <c r="O42" s="3223"/>
      <c r="P42" s="3224"/>
      <c r="Q42" s="1384" t="str">
        <f t="shared" si="3"/>
        <v/>
      </c>
      <c r="R42" s="1385" t="str">
        <f>IF(H42="","",IF(C42="Efficiency",Q42/($O$6*VLOOKUP(0,'DCA Underwriting Assumptions'!$J$132:$K$137,2,FALSE)),Q42/($O$6*VLOOKUP(C42,'DCA Underwriting Assumptions'!$J$132:$K$137,2,FALSE))))</f>
        <v/>
      </c>
      <c r="S42" s="1386"/>
      <c r="T42" s="1387"/>
      <c r="U42" s="3225"/>
      <c r="V42" s="3156"/>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461" t="str">
        <f t="shared" si="134"/>
        <v/>
      </c>
      <c r="EX42" s="513" t="str">
        <f t="shared" si="135"/>
        <v/>
      </c>
      <c r="EY42" s="513" t="str">
        <f t="shared" si="136"/>
        <v/>
      </c>
      <c r="EZ42" s="513" t="str">
        <f t="shared" si="137"/>
        <v/>
      </c>
      <c r="FA42" s="513" t="str">
        <f t="shared" si="138"/>
        <v/>
      </c>
      <c r="FB42" s="513" t="str">
        <f t="shared" si="139"/>
        <v/>
      </c>
      <c r="FC42" s="513" t="str">
        <f t="shared" si="140"/>
        <v/>
      </c>
      <c r="FD42" s="513" t="str">
        <f t="shared" si="141"/>
        <v/>
      </c>
      <c r="FE42" s="513" t="str">
        <f t="shared" si="142"/>
        <v/>
      </c>
      <c r="FF42" s="513" t="str">
        <f t="shared" si="143"/>
        <v/>
      </c>
      <c r="FG42" s="513" t="str">
        <f t="shared" si="144"/>
        <v/>
      </c>
      <c r="FH42" s="513" t="str">
        <f t="shared" si="145"/>
        <v/>
      </c>
      <c r="FI42" s="513" t="str">
        <f t="shared" si="146"/>
        <v/>
      </c>
      <c r="FJ42" s="513" t="str">
        <f t="shared" si="147"/>
        <v/>
      </c>
      <c r="FK42" s="513" t="str">
        <f t="shared" si="148"/>
        <v/>
      </c>
      <c r="FL42" s="513" t="str">
        <f t="shared" si="149"/>
        <v/>
      </c>
      <c r="FM42" s="513" t="str">
        <f t="shared" si="150"/>
        <v/>
      </c>
      <c r="FN42" s="513" t="str">
        <f t="shared" si="151"/>
        <v/>
      </c>
      <c r="FO42" s="513" t="str">
        <f t="shared" si="152"/>
        <v/>
      </c>
      <c r="FP42" s="513" t="str">
        <f t="shared" si="153"/>
        <v/>
      </c>
      <c r="FQ42" s="513" t="str">
        <f t="shared" si="154"/>
        <v/>
      </c>
      <c r="FR42" s="513" t="str">
        <f t="shared" si="155"/>
        <v/>
      </c>
      <c r="FS42" s="513" t="str">
        <f t="shared" si="156"/>
        <v/>
      </c>
      <c r="FT42" s="513" t="str">
        <f t="shared" si="157"/>
        <v/>
      </c>
      <c r="FU42" s="513" t="str">
        <f t="shared" si="158"/>
        <v/>
      </c>
      <c r="FV42" s="513" t="str">
        <f t="shared" si="159"/>
        <v/>
      </c>
      <c r="FW42" s="513" t="str">
        <f t="shared" si="160"/>
        <v/>
      </c>
      <c r="FX42" s="513" t="str">
        <f t="shared" si="161"/>
        <v/>
      </c>
      <c r="FY42" s="513" t="str">
        <f t="shared" si="162"/>
        <v/>
      </c>
      <c r="FZ42" s="513" t="str">
        <f t="shared" si="163"/>
        <v/>
      </c>
      <c r="GA42" s="513" t="str">
        <f t="shared" si="164"/>
        <v/>
      </c>
      <c r="GB42" s="513" t="str">
        <f t="shared" si="165"/>
        <v/>
      </c>
      <c r="GC42" s="513" t="str">
        <f t="shared" si="166"/>
        <v/>
      </c>
      <c r="GD42" s="513" t="str">
        <f t="shared" si="167"/>
        <v/>
      </c>
      <c r="GE42" s="513" t="str">
        <f t="shared" si="168"/>
        <v/>
      </c>
      <c r="GF42" s="513" t="str">
        <f t="shared" si="169"/>
        <v/>
      </c>
      <c r="GG42" s="513" t="str">
        <f t="shared" si="170"/>
        <v/>
      </c>
      <c r="GH42" s="513" t="str">
        <f t="shared" si="171"/>
        <v/>
      </c>
      <c r="GI42" s="513" t="str">
        <f t="shared" si="172"/>
        <v/>
      </c>
      <c r="GJ42" s="513" t="str">
        <f t="shared" si="173"/>
        <v/>
      </c>
      <c r="GK42" s="513" t="str">
        <f t="shared" si="174"/>
        <v/>
      </c>
      <c r="GL42" s="513" t="str">
        <f t="shared" si="175"/>
        <v/>
      </c>
      <c r="GM42" s="513" t="str">
        <f t="shared" si="176"/>
        <v/>
      </c>
      <c r="GN42" s="513" t="str">
        <f t="shared" si="177"/>
        <v/>
      </c>
      <c r="GO42" s="513" t="str">
        <f t="shared" si="178"/>
        <v/>
      </c>
      <c r="GP42" s="513" t="str">
        <f t="shared" si="179"/>
        <v/>
      </c>
      <c r="GQ42" s="513" t="str">
        <f t="shared" si="180"/>
        <v/>
      </c>
      <c r="GR42" s="513" t="str">
        <f t="shared" si="181"/>
        <v/>
      </c>
      <c r="GS42" s="513" t="str">
        <f t="shared" si="182"/>
        <v/>
      </c>
      <c r="GT42" s="513" t="str">
        <f t="shared" si="183"/>
        <v/>
      </c>
      <c r="GU42" s="513" t="str">
        <f t="shared" si="184"/>
        <v/>
      </c>
      <c r="GV42" s="513" t="str">
        <f t="shared" si="185"/>
        <v/>
      </c>
      <c r="GW42" s="513" t="str">
        <f t="shared" si="186"/>
        <v/>
      </c>
      <c r="GX42" s="513" t="str">
        <f t="shared" si="187"/>
        <v/>
      </c>
      <c r="GY42" s="513" t="str">
        <f t="shared" si="188"/>
        <v/>
      </c>
      <c r="GZ42" s="513" t="str">
        <f t="shared" si="189"/>
        <v/>
      </c>
      <c r="HA42" s="513" t="str">
        <f t="shared" si="190"/>
        <v/>
      </c>
      <c r="HB42" s="513" t="str">
        <f t="shared" si="191"/>
        <v/>
      </c>
      <c r="HC42" s="513" t="str">
        <f t="shared" si="192"/>
        <v/>
      </c>
      <c r="HD42" s="513" t="str">
        <f t="shared" si="193"/>
        <v/>
      </c>
      <c r="HE42" s="513" t="str">
        <f t="shared" si="194"/>
        <v/>
      </c>
      <c r="HF42" s="513" t="str">
        <f t="shared" si="195"/>
        <v/>
      </c>
      <c r="HG42" s="513" t="str">
        <f t="shared" si="196"/>
        <v/>
      </c>
      <c r="HH42" s="513" t="str">
        <f t="shared" si="197"/>
        <v/>
      </c>
      <c r="HI42" s="513" t="str">
        <f t="shared" si="198"/>
        <v/>
      </c>
      <c r="HJ42" s="513" t="str">
        <f t="shared" si="199"/>
        <v/>
      </c>
      <c r="HK42" s="513" t="str">
        <f t="shared" si="200"/>
        <v/>
      </c>
      <c r="HL42" s="513" t="str">
        <f t="shared" si="201"/>
        <v/>
      </c>
      <c r="HM42" s="513" t="str">
        <f t="shared" si="202"/>
        <v/>
      </c>
      <c r="HN42" s="513" t="str">
        <f t="shared" si="203"/>
        <v/>
      </c>
      <c r="HO42" s="513" t="str">
        <f t="shared" si="204"/>
        <v/>
      </c>
      <c r="HP42" s="513" t="str">
        <f t="shared" si="205"/>
        <v/>
      </c>
      <c r="HQ42" s="513" t="str">
        <f t="shared" si="206"/>
        <v/>
      </c>
      <c r="HR42" s="513" t="str">
        <f t="shared" si="207"/>
        <v/>
      </c>
      <c r="HS42" s="513" t="str">
        <f t="shared" si="208"/>
        <v/>
      </c>
      <c r="HT42" s="513" t="str">
        <f t="shared" si="209"/>
        <v/>
      </c>
      <c r="HU42" s="513" t="str">
        <f t="shared" si="210"/>
        <v/>
      </c>
      <c r="HV42" s="513" t="str">
        <f t="shared" si="211"/>
        <v/>
      </c>
      <c r="HW42" s="513" t="str">
        <f t="shared" si="212"/>
        <v/>
      </c>
      <c r="HX42" s="513" t="str">
        <f t="shared" si="213"/>
        <v/>
      </c>
      <c r="HY42" s="513" t="str">
        <f t="shared" si="214"/>
        <v/>
      </c>
      <c r="HZ42" s="513" t="str">
        <f t="shared" si="215"/>
        <v/>
      </c>
      <c r="IA42" s="513" t="str">
        <f t="shared" si="216"/>
        <v/>
      </c>
      <c r="IB42" s="513" t="str">
        <f t="shared" si="217"/>
        <v/>
      </c>
      <c r="IC42" s="513" t="str">
        <f t="shared" si="218"/>
        <v/>
      </c>
      <c r="ID42" s="514" t="str">
        <f t="shared" si="219"/>
        <v/>
      </c>
      <c r="IE42" s="514" t="str">
        <f t="shared" si="220"/>
        <v/>
      </c>
      <c r="IF42" s="514" t="str">
        <f t="shared" si="221"/>
        <v/>
      </c>
      <c r="IG42" s="514" t="str">
        <f t="shared" si="222"/>
        <v/>
      </c>
      <c r="IH42" s="514" t="str">
        <f t="shared" si="223"/>
        <v/>
      </c>
      <c r="II42" s="503" t="str">
        <f t="shared" si="224"/>
        <v/>
      </c>
      <c r="IJ42" s="503" t="str">
        <f t="shared" si="225"/>
        <v/>
      </c>
      <c r="IK42" s="503" t="str">
        <f t="shared" si="226"/>
        <v/>
      </c>
      <c r="IL42" s="503" t="str">
        <f t="shared" si="227"/>
        <v/>
      </c>
      <c r="IM42" s="503" t="str">
        <f t="shared" si="228"/>
        <v/>
      </c>
      <c r="IN42" s="503" t="str">
        <f t="shared" si="229"/>
        <v/>
      </c>
      <c r="IO42" s="503" t="str">
        <f t="shared" si="230"/>
        <v/>
      </c>
      <c r="IP42" s="503" t="str">
        <f t="shared" si="231"/>
        <v/>
      </c>
      <c r="IQ42" s="503" t="str">
        <f t="shared" si="232"/>
        <v/>
      </c>
      <c r="IR42" s="503" t="str">
        <f t="shared" si="233"/>
        <v/>
      </c>
      <c r="IS42" s="503" t="str">
        <f t="shared" si="234"/>
        <v/>
      </c>
      <c r="IT42" s="503" t="str">
        <f t="shared" si="235"/>
        <v/>
      </c>
      <c r="IU42" s="503" t="str">
        <f t="shared" si="236"/>
        <v/>
      </c>
      <c r="IV42" s="503" t="str">
        <f t="shared" si="237"/>
        <v/>
      </c>
      <c r="IW42" s="503" t="str">
        <f t="shared" si="238"/>
        <v/>
      </c>
      <c r="IX42" s="503" t="str">
        <f t="shared" si="239"/>
        <v/>
      </c>
      <c r="IY42" s="503" t="str">
        <f t="shared" si="240"/>
        <v/>
      </c>
      <c r="IZ42" s="503" t="str">
        <f t="shared" si="241"/>
        <v/>
      </c>
      <c r="JA42" s="503" t="str">
        <f t="shared" si="242"/>
        <v/>
      </c>
      <c r="JB42" s="503" t="str">
        <f t="shared" si="243"/>
        <v/>
      </c>
      <c r="JC42" s="512">
        <f t="shared" si="244"/>
        <v>0</v>
      </c>
      <c r="JD42" s="512">
        <f t="shared" si="245"/>
        <v>0</v>
      </c>
      <c r="JE42" s="512">
        <f t="shared" si="246"/>
        <v>0</v>
      </c>
      <c r="JF42" s="512">
        <f t="shared" si="247"/>
        <v>0</v>
      </c>
      <c r="JG42" s="512">
        <f t="shared" si="248"/>
        <v>0</v>
      </c>
      <c r="JH42" s="512">
        <f t="shared" si="249"/>
        <v>0</v>
      </c>
      <c r="JI42" s="512">
        <f t="shared" si="250"/>
        <v>0</v>
      </c>
      <c r="JJ42" s="512">
        <f t="shared" si="251"/>
        <v>0</v>
      </c>
      <c r="JK42" s="512">
        <f t="shared" si="252"/>
        <v>0</v>
      </c>
      <c r="JL42" s="512">
        <f t="shared" si="253"/>
        <v>0</v>
      </c>
      <c r="JM42" s="512">
        <f t="shared" si="254"/>
        <v>0</v>
      </c>
      <c r="JN42" s="512">
        <f t="shared" si="255"/>
        <v>0</v>
      </c>
      <c r="JO42" s="512">
        <f t="shared" si="256"/>
        <v>0</v>
      </c>
      <c r="JP42" s="512">
        <f t="shared" si="257"/>
        <v>0</v>
      </c>
      <c r="JQ42" s="512">
        <f t="shared" si="258"/>
        <v>0</v>
      </c>
    </row>
    <row r="43" spans="1:296" ht="12" customHeight="1">
      <c r="A43" s="115" t="str">
        <f t="shared" si="0"/>
        <v/>
      </c>
      <c r="B43" s="3218" t="s">
        <v>1847</v>
      </c>
      <c r="C43" s="3219"/>
      <c r="D43" s="3220"/>
      <c r="E43" s="3221"/>
      <c r="F43" s="3221"/>
      <c r="G43" s="3221"/>
      <c r="H43" s="3221"/>
      <c r="I43" s="3221"/>
      <c r="J43" s="3222"/>
      <c r="K43" s="859">
        <f t="shared" si="1"/>
        <v>0</v>
      </c>
      <c r="L43" s="859">
        <f t="shared" si="2"/>
        <v>0</v>
      </c>
      <c r="M43" s="3223"/>
      <c r="N43" s="3223"/>
      <c r="O43" s="3223"/>
      <c r="P43" s="3224"/>
      <c r="Q43" s="1384" t="str">
        <f t="shared" si="3"/>
        <v/>
      </c>
      <c r="R43" s="1385" t="str">
        <f>IF(H43="","",IF(C43="Efficiency",Q43/($O$6*VLOOKUP(0,'DCA Underwriting Assumptions'!$J$132:$K$137,2,FALSE)),Q43/($O$6*VLOOKUP(C43,'DCA Underwriting Assumptions'!$J$132:$K$137,2,FALSE))))</f>
        <v/>
      </c>
      <c r="S43" s="1386"/>
      <c r="T43" s="1387"/>
      <c r="U43" s="3225"/>
      <c r="V43" s="3156"/>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461" t="str">
        <f t="shared" si="134"/>
        <v/>
      </c>
      <c r="EX43" s="513" t="str">
        <f t="shared" si="135"/>
        <v/>
      </c>
      <c r="EY43" s="513" t="str">
        <f t="shared" si="136"/>
        <v/>
      </c>
      <c r="EZ43" s="513" t="str">
        <f t="shared" si="137"/>
        <v/>
      </c>
      <c r="FA43" s="513" t="str">
        <f t="shared" si="138"/>
        <v/>
      </c>
      <c r="FB43" s="513" t="str">
        <f t="shared" si="139"/>
        <v/>
      </c>
      <c r="FC43" s="513" t="str">
        <f t="shared" si="140"/>
        <v/>
      </c>
      <c r="FD43" s="513" t="str">
        <f t="shared" si="141"/>
        <v/>
      </c>
      <c r="FE43" s="513" t="str">
        <f t="shared" si="142"/>
        <v/>
      </c>
      <c r="FF43" s="513" t="str">
        <f t="shared" si="143"/>
        <v/>
      </c>
      <c r="FG43" s="513" t="str">
        <f t="shared" si="144"/>
        <v/>
      </c>
      <c r="FH43" s="513" t="str">
        <f t="shared" si="145"/>
        <v/>
      </c>
      <c r="FI43" s="513" t="str">
        <f t="shared" si="146"/>
        <v/>
      </c>
      <c r="FJ43" s="513" t="str">
        <f t="shared" si="147"/>
        <v/>
      </c>
      <c r="FK43" s="513" t="str">
        <f t="shared" si="148"/>
        <v/>
      </c>
      <c r="FL43" s="513" t="str">
        <f t="shared" si="149"/>
        <v/>
      </c>
      <c r="FM43" s="513" t="str">
        <f t="shared" si="150"/>
        <v/>
      </c>
      <c r="FN43" s="513" t="str">
        <f t="shared" si="151"/>
        <v/>
      </c>
      <c r="FO43" s="513" t="str">
        <f t="shared" si="152"/>
        <v/>
      </c>
      <c r="FP43" s="513" t="str">
        <f t="shared" si="153"/>
        <v/>
      </c>
      <c r="FQ43" s="513" t="str">
        <f t="shared" si="154"/>
        <v/>
      </c>
      <c r="FR43" s="513" t="str">
        <f t="shared" si="155"/>
        <v/>
      </c>
      <c r="FS43" s="513" t="str">
        <f t="shared" si="156"/>
        <v/>
      </c>
      <c r="FT43" s="513" t="str">
        <f t="shared" si="157"/>
        <v/>
      </c>
      <c r="FU43" s="513" t="str">
        <f t="shared" si="158"/>
        <v/>
      </c>
      <c r="FV43" s="513" t="str">
        <f t="shared" si="159"/>
        <v/>
      </c>
      <c r="FW43" s="513" t="str">
        <f t="shared" si="160"/>
        <v/>
      </c>
      <c r="FX43" s="513" t="str">
        <f t="shared" si="161"/>
        <v/>
      </c>
      <c r="FY43" s="513" t="str">
        <f t="shared" si="162"/>
        <v/>
      </c>
      <c r="FZ43" s="513" t="str">
        <f t="shared" si="163"/>
        <v/>
      </c>
      <c r="GA43" s="513" t="str">
        <f t="shared" si="164"/>
        <v/>
      </c>
      <c r="GB43" s="513" t="str">
        <f t="shared" si="165"/>
        <v/>
      </c>
      <c r="GC43" s="513" t="str">
        <f t="shared" si="166"/>
        <v/>
      </c>
      <c r="GD43" s="513" t="str">
        <f t="shared" si="167"/>
        <v/>
      </c>
      <c r="GE43" s="513" t="str">
        <f t="shared" si="168"/>
        <v/>
      </c>
      <c r="GF43" s="513" t="str">
        <f t="shared" si="169"/>
        <v/>
      </c>
      <c r="GG43" s="513" t="str">
        <f t="shared" si="170"/>
        <v/>
      </c>
      <c r="GH43" s="513" t="str">
        <f t="shared" si="171"/>
        <v/>
      </c>
      <c r="GI43" s="513" t="str">
        <f t="shared" si="172"/>
        <v/>
      </c>
      <c r="GJ43" s="513" t="str">
        <f t="shared" si="173"/>
        <v/>
      </c>
      <c r="GK43" s="513" t="str">
        <f t="shared" si="174"/>
        <v/>
      </c>
      <c r="GL43" s="513" t="str">
        <f t="shared" si="175"/>
        <v/>
      </c>
      <c r="GM43" s="513" t="str">
        <f t="shared" si="176"/>
        <v/>
      </c>
      <c r="GN43" s="513" t="str">
        <f t="shared" si="177"/>
        <v/>
      </c>
      <c r="GO43" s="513" t="str">
        <f t="shared" si="178"/>
        <v/>
      </c>
      <c r="GP43" s="513" t="str">
        <f t="shared" si="179"/>
        <v/>
      </c>
      <c r="GQ43" s="513" t="str">
        <f t="shared" si="180"/>
        <v/>
      </c>
      <c r="GR43" s="513" t="str">
        <f t="shared" si="181"/>
        <v/>
      </c>
      <c r="GS43" s="513" t="str">
        <f t="shared" si="182"/>
        <v/>
      </c>
      <c r="GT43" s="513" t="str">
        <f t="shared" si="183"/>
        <v/>
      </c>
      <c r="GU43" s="513" t="str">
        <f t="shared" si="184"/>
        <v/>
      </c>
      <c r="GV43" s="513" t="str">
        <f t="shared" si="185"/>
        <v/>
      </c>
      <c r="GW43" s="513" t="str">
        <f t="shared" si="186"/>
        <v/>
      </c>
      <c r="GX43" s="513" t="str">
        <f t="shared" si="187"/>
        <v/>
      </c>
      <c r="GY43" s="513" t="str">
        <f t="shared" si="188"/>
        <v/>
      </c>
      <c r="GZ43" s="513" t="str">
        <f t="shared" si="189"/>
        <v/>
      </c>
      <c r="HA43" s="513" t="str">
        <f t="shared" si="190"/>
        <v/>
      </c>
      <c r="HB43" s="513" t="str">
        <f t="shared" si="191"/>
        <v/>
      </c>
      <c r="HC43" s="513" t="str">
        <f t="shared" si="192"/>
        <v/>
      </c>
      <c r="HD43" s="513" t="str">
        <f t="shared" si="193"/>
        <v/>
      </c>
      <c r="HE43" s="513" t="str">
        <f t="shared" si="194"/>
        <v/>
      </c>
      <c r="HF43" s="513" t="str">
        <f t="shared" si="195"/>
        <v/>
      </c>
      <c r="HG43" s="513" t="str">
        <f t="shared" si="196"/>
        <v/>
      </c>
      <c r="HH43" s="513" t="str">
        <f t="shared" si="197"/>
        <v/>
      </c>
      <c r="HI43" s="513" t="str">
        <f t="shared" si="198"/>
        <v/>
      </c>
      <c r="HJ43" s="513" t="str">
        <f t="shared" si="199"/>
        <v/>
      </c>
      <c r="HK43" s="513" t="str">
        <f t="shared" si="200"/>
        <v/>
      </c>
      <c r="HL43" s="513" t="str">
        <f t="shared" si="201"/>
        <v/>
      </c>
      <c r="HM43" s="513" t="str">
        <f t="shared" si="202"/>
        <v/>
      </c>
      <c r="HN43" s="513" t="str">
        <f t="shared" si="203"/>
        <v/>
      </c>
      <c r="HO43" s="513" t="str">
        <f t="shared" si="204"/>
        <v/>
      </c>
      <c r="HP43" s="513" t="str">
        <f t="shared" si="205"/>
        <v/>
      </c>
      <c r="HQ43" s="513" t="str">
        <f t="shared" si="206"/>
        <v/>
      </c>
      <c r="HR43" s="513" t="str">
        <f t="shared" si="207"/>
        <v/>
      </c>
      <c r="HS43" s="513" t="str">
        <f t="shared" si="208"/>
        <v/>
      </c>
      <c r="HT43" s="513" t="str">
        <f t="shared" si="209"/>
        <v/>
      </c>
      <c r="HU43" s="513" t="str">
        <f t="shared" si="210"/>
        <v/>
      </c>
      <c r="HV43" s="513" t="str">
        <f t="shared" si="211"/>
        <v/>
      </c>
      <c r="HW43" s="513" t="str">
        <f t="shared" si="212"/>
        <v/>
      </c>
      <c r="HX43" s="513" t="str">
        <f t="shared" si="213"/>
        <v/>
      </c>
      <c r="HY43" s="513" t="str">
        <f t="shared" si="214"/>
        <v/>
      </c>
      <c r="HZ43" s="513" t="str">
        <f t="shared" si="215"/>
        <v/>
      </c>
      <c r="IA43" s="513" t="str">
        <f t="shared" si="216"/>
        <v/>
      </c>
      <c r="IB43" s="513" t="str">
        <f t="shared" si="217"/>
        <v/>
      </c>
      <c r="IC43" s="513" t="str">
        <f t="shared" si="218"/>
        <v/>
      </c>
      <c r="ID43" s="514" t="str">
        <f t="shared" si="219"/>
        <v/>
      </c>
      <c r="IE43" s="514" t="str">
        <f t="shared" si="220"/>
        <v/>
      </c>
      <c r="IF43" s="514" t="str">
        <f t="shared" si="221"/>
        <v/>
      </c>
      <c r="IG43" s="514" t="str">
        <f t="shared" si="222"/>
        <v/>
      </c>
      <c r="IH43" s="514" t="str">
        <f t="shared" si="223"/>
        <v/>
      </c>
      <c r="II43" s="503" t="str">
        <f t="shared" si="224"/>
        <v/>
      </c>
      <c r="IJ43" s="503" t="str">
        <f t="shared" si="225"/>
        <v/>
      </c>
      <c r="IK43" s="503" t="str">
        <f t="shared" si="226"/>
        <v/>
      </c>
      <c r="IL43" s="503" t="str">
        <f t="shared" si="227"/>
        <v/>
      </c>
      <c r="IM43" s="503" t="str">
        <f t="shared" si="228"/>
        <v/>
      </c>
      <c r="IN43" s="503" t="str">
        <f t="shared" si="229"/>
        <v/>
      </c>
      <c r="IO43" s="503" t="str">
        <f t="shared" si="230"/>
        <v/>
      </c>
      <c r="IP43" s="503" t="str">
        <f t="shared" si="231"/>
        <v/>
      </c>
      <c r="IQ43" s="503" t="str">
        <f t="shared" si="232"/>
        <v/>
      </c>
      <c r="IR43" s="503" t="str">
        <f t="shared" si="233"/>
        <v/>
      </c>
      <c r="IS43" s="503" t="str">
        <f t="shared" si="234"/>
        <v/>
      </c>
      <c r="IT43" s="503" t="str">
        <f t="shared" si="235"/>
        <v/>
      </c>
      <c r="IU43" s="503" t="str">
        <f t="shared" si="236"/>
        <v/>
      </c>
      <c r="IV43" s="503" t="str">
        <f t="shared" si="237"/>
        <v/>
      </c>
      <c r="IW43" s="503" t="str">
        <f t="shared" si="238"/>
        <v/>
      </c>
      <c r="IX43" s="503" t="str">
        <f t="shared" si="239"/>
        <v/>
      </c>
      <c r="IY43" s="503" t="str">
        <f t="shared" si="240"/>
        <v/>
      </c>
      <c r="IZ43" s="503" t="str">
        <f t="shared" si="241"/>
        <v/>
      </c>
      <c r="JA43" s="503" t="str">
        <f t="shared" si="242"/>
        <v/>
      </c>
      <c r="JB43" s="503" t="str">
        <f t="shared" si="243"/>
        <v/>
      </c>
      <c r="JC43" s="512">
        <f t="shared" si="244"/>
        <v>0</v>
      </c>
      <c r="JD43" s="512">
        <f t="shared" si="245"/>
        <v>0</v>
      </c>
      <c r="JE43" s="512">
        <f t="shared" si="246"/>
        <v>0</v>
      </c>
      <c r="JF43" s="512">
        <f t="shared" si="247"/>
        <v>0</v>
      </c>
      <c r="JG43" s="512">
        <f t="shared" si="248"/>
        <v>0</v>
      </c>
      <c r="JH43" s="512">
        <f t="shared" si="249"/>
        <v>0</v>
      </c>
      <c r="JI43" s="512">
        <f t="shared" si="250"/>
        <v>0</v>
      </c>
      <c r="JJ43" s="512">
        <f t="shared" si="251"/>
        <v>0</v>
      </c>
      <c r="JK43" s="512">
        <f t="shared" si="252"/>
        <v>0</v>
      </c>
      <c r="JL43" s="512">
        <f t="shared" si="253"/>
        <v>0</v>
      </c>
      <c r="JM43" s="512">
        <f t="shared" si="254"/>
        <v>0</v>
      </c>
      <c r="JN43" s="512">
        <f t="shared" si="255"/>
        <v>0</v>
      </c>
      <c r="JO43" s="512">
        <f t="shared" si="256"/>
        <v>0</v>
      </c>
      <c r="JP43" s="512">
        <f t="shared" si="257"/>
        <v>0</v>
      </c>
      <c r="JQ43" s="512">
        <f t="shared" si="258"/>
        <v>0</v>
      </c>
    </row>
    <row r="44" spans="1:296" ht="12" customHeight="1">
      <c r="A44" s="115" t="str">
        <f t="shared" si="0"/>
        <v/>
      </c>
      <c r="B44" s="3218" t="s">
        <v>1847</v>
      </c>
      <c r="C44" s="3219"/>
      <c r="D44" s="3220"/>
      <c r="E44" s="3221"/>
      <c r="F44" s="3221"/>
      <c r="G44" s="3221"/>
      <c r="H44" s="3221"/>
      <c r="I44" s="3221"/>
      <c r="J44" s="3222"/>
      <c r="K44" s="859">
        <f t="shared" si="1"/>
        <v>0</v>
      </c>
      <c r="L44" s="859">
        <f t="shared" si="2"/>
        <v>0</v>
      </c>
      <c r="M44" s="3223"/>
      <c r="N44" s="3223"/>
      <c r="O44" s="3223"/>
      <c r="P44" s="3224"/>
      <c r="Q44" s="1384" t="str">
        <f t="shared" si="3"/>
        <v/>
      </c>
      <c r="R44" s="1385" t="str">
        <f>IF(H44="","",IF(C44="Efficiency",Q44/($O$6*VLOOKUP(0,'DCA Underwriting Assumptions'!$J$132:$K$137,2,FALSE)),Q44/($O$6*VLOOKUP(C44,'DCA Underwriting Assumptions'!$J$132:$K$137,2,FALSE))))</f>
        <v/>
      </c>
      <c r="S44" s="1386"/>
      <c r="T44" s="1387"/>
      <c r="U44" s="3225"/>
      <c r="V44" s="3156"/>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461" t="str">
        <f t="shared" si="134"/>
        <v/>
      </c>
      <c r="EX44" s="513" t="str">
        <f t="shared" si="135"/>
        <v/>
      </c>
      <c r="EY44" s="513" t="str">
        <f t="shared" si="136"/>
        <v/>
      </c>
      <c r="EZ44" s="513" t="str">
        <f t="shared" si="137"/>
        <v/>
      </c>
      <c r="FA44" s="513" t="str">
        <f t="shared" si="138"/>
        <v/>
      </c>
      <c r="FB44" s="513" t="str">
        <f t="shared" si="139"/>
        <v/>
      </c>
      <c r="FC44" s="513" t="str">
        <f t="shared" si="140"/>
        <v/>
      </c>
      <c r="FD44" s="513" t="str">
        <f t="shared" si="141"/>
        <v/>
      </c>
      <c r="FE44" s="513" t="str">
        <f t="shared" si="142"/>
        <v/>
      </c>
      <c r="FF44" s="513" t="str">
        <f t="shared" si="143"/>
        <v/>
      </c>
      <c r="FG44" s="513" t="str">
        <f t="shared" si="144"/>
        <v/>
      </c>
      <c r="FH44" s="513" t="str">
        <f t="shared" si="145"/>
        <v/>
      </c>
      <c r="FI44" s="513" t="str">
        <f t="shared" si="146"/>
        <v/>
      </c>
      <c r="FJ44" s="513" t="str">
        <f t="shared" si="147"/>
        <v/>
      </c>
      <c r="FK44" s="513" t="str">
        <f t="shared" si="148"/>
        <v/>
      </c>
      <c r="FL44" s="513" t="str">
        <f t="shared" si="149"/>
        <v/>
      </c>
      <c r="FM44" s="513" t="str">
        <f t="shared" si="150"/>
        <v/>
      </c>
      <c r="FN44" s="513" t="str">
        <f t="shared" si="151"/>
        <v/>
      </c>
      <c r="FO44" s="513" t="str">
        <f t="shared" si="152"/>
        <v/>
      </c>
      <c r="FP44" s="513" t="str">
        <f t="shared" si="153"/>
        <v/>
      </c>
      <c r="FQ44" s="513" t="str">
        <f t="shared" si="154"/>
        <v/>
      </c>
      <c r="FR44" s="513" t="str">
        <f t="shared" si="155"/>
        <v/>
      </c>
      <c r="FS44" s="513" t="str">
        <f t="shared" si="156"/>
        <v/>
      </c>
      <c r="FT44" s="513" t="str">
        <f t="shared" si="157"/>
        <v/>
      </c>
      <c r="FU44" s="513" t="str">
        <f t="shared" si="158"/>
        <v/>
      </c>
      <c r="FV44" s="513" t="str">
        <f t="shared" si="159"/>
        <v/>
      </c>
      <c r="FW44" s="513" t="str">
        <f t="shared" si="160"/>
        <v/>
      </c>
      <c r="FX44" s="513" t="str">
        <f t="shared" si="161"/>
        <v/>
      </c>
      <c r="FY44" s="513" t="str">
        <f t="shared" si="162"/>
        <v/>
      </c>
      <c r="FZ44" s="513" t="str">
        <f t="shared" si="163"/>
        <v/>
      </c>
      <c r="GA44" s="513" t="str">
        <f t="shared" si="164"/>
        <v/>
      </c>
      <c r="GB44" s="513" t="str">
        <f t="shared" si="165"/>
        <v/>
      </c>
      <c r="GC44" s="513" t="str">
        <f t="shared" si="166"/>
        <v/>
      </c>
      <c r="GD44" s="513" t="str">
        <f t="shared" si="167"/>
        <v/>
      </c>
      <c r="GE44" s="513" t="str">
        <f t="shared" si="168"/>
        <v/>
      </c>
      <c r="GF44" s="513" t="str">
        <f t="shared" si="169"/>
        <v/>
      </c>
      <c r="GG44" s="513" t="str">
        <f t="shared" si="170"/>
        <v/>
      </c>
      <c r="GH44" s="513" t="str">
        <f t="shared" si="171"/>
        <v/>
      </c>
      <c r="GI44" s="513" t="str">
        <f t="shared" si="172"/>
        <v/>
      </c>
      <c r="GJ44" s="513" t="str">
        <f t="shared" si="173"/>
        <v/>
      </c>
      <c r="GK44" s="513" t="str">
        <f t="shared" si="174"/>
        <v/>
      </c>
      <c r="GL44" s="513" t="str">
        <f t="shared" si="175"/>
        <v/>
      </c>
      <c r="GM44" s="513" t="str">
        <f t="shared" si="176"/>
        <v/>
      </c>
      <c r="GN44" s="513" t="str">
        <f t="shared" si="177"/>
        <v/>
      </c>
      <c r="GO44" s="513" t="str">
        <f t="shared" si="178"/>
        <v/>
      </c>
      <c r="GP44" s="513" t="str">
        <f t="shared" si="179"/>
        <v/>
      </c>
      <c r="GQ44" s="513" t="str">
        <f t="shared" si="180"/>
        <v/>
      </c>
      <c r="GR44" s="513" t="str">
        <f t="shared" si="181"/>
        <v/>
      </c>
      <c r="GS44" s="513" t="str">
        <f t="shared" si="182"/>
        <v/>
      </c>
      <c r="GT44" s="513" t="str">
        <f t="shared" si="183"/>
        <v/>
      </c>
      <c r="GU44" s="513" t="str">
        <f t="shared" si="184"/>
        <v/>
      </c>
      <c r="GV44" s="513" t="str">
        <f t="shared" si="185"/>
        <v/>
      </c>
      <c r="GW44" s="513" t="str">
        <f t="shared" si="186"/>
        <v/>
      </c>
      <c r="GX44" s="513" t="str">
        <f t="shared" si="187"/>
        <v/>
      </c>
      <c r="GY44" s="513" t="str">
        <f t="shared" si="188"/>
        <v/>
      </c>
      <c r="GZ44" s="513" t="str">
        <f t="shared" si="189"/>
        <v/>
      </c>
      <c r="HA44" s="513" t="str">
        <f t="shared" si="190"/>
        <v/>
      </c>
      <c r="HB44" s="513" t="str">
        <f t="shared" si="191"/>
        <v/>
      </c>
      <c r="HC44" s="513" t="str">
        <f t="shared" si="192"/>
        <v/>
      </c>
      <c r="HD44" s="513" t="str">
        <f t="shared" si="193"/>
        <v/>
      </c>
      <c r="HE44" s="513" t="str">
        <f t="shared" si="194"/>
        <v/>
      </c>
      <c r="HF44" s="513" t="str">
        <f t="shared" si="195"/>
        <v/>
      </c>
      <c r="HG44" s="513" t="str">
        <f t="shared" si="196"/>
        <v/>
      </c>
      <c r="HH44" s="513" t="str">
        <f t="shared" si="197"/>
        <v/>
      </c>
      <c r="HI44" s="513" t="str">
        <f t="shared" si="198"/>
        <v/>
      </c>
      <c r="HJ44" s="513" t="str">
        <f t="shared" si="199"/>
        <v/>
      </c>
      <c r="HK44" s="513" t="str">
        <f t="shared" si="200"/>
        <v/>
      </c>
      <c r="HL44" s="513" t="str">
        <f t="shared" si="201"/>
        <v/>
      </c>
      <c r="HM44" s="513" t="str">
        <f t="shared" si="202"/>
        <v/>
      </c>
      <c r="HN44" s="513" t="str">
        <f t="shared" si="203"/>
        <v/>
      </c>
      <c r="HO44" s="513" t="str">
        <f t="shared" si="204"/>
        <v/>
      </c>
      <c r="HP44" s="513" t="str">
        <f t="shared" si="205"/>
        <v/>
      </c>
      <c r="HQ44" s="513" t="str">
        <f t="shared" si="206"/>
        <v/>
      </c>
      <c r="HR44" s="513" t="str">
        <f t="shared" si="207"/>
        <v/>
      </c>
      <c r="HS44" s="513" t="str">
        <f t="shared" si="208"/>
        <v/>
      </c>
      <c r="HT44" s="513" t="str">
        <f t="shared" si="209"/>
        <v/>
      </c>
      <c r="HU44" s="513" t="str">
        <f t="shared" si="210"/>
        <v/>
      </c>
      <c r="HV44" s="513" t="str">
        <f t="shared" si="211"/>
        <v/>
      </c>
      <c r="HW44" s="513" t="str">
        <f t="shared" si="212"/>
        <v/>
      </c>
      <c r="HX44" s="513" t="str">
        <f t="shared" si="213"/>
        <v/>
      </c>
      <c r="HY44" s="513" t="str">
        <f t="shared" si="214"/>
        <v/>
      </c>
      <c r="HZ44" s="513" t="str">
        <f t="shared" si="215"/>
        <v/>
      </c>
      <c r="IA44" s="513" t="str">
        <f t="shared" si="216"/>
        <v/>
      </c>
      <c r="IB44" s="513" t="str">
        <f t="shared" si="217"/>
        <v/>
      </c>
      <c r="IC44" s="513" t="str">
        <f t="shared" si="218"/>
        <v/>
      </c>
      <c r="ID44" s="514" t="str">
        <f t="shared" si="219"/>
        <v/>
      </c>
      <c r="IE44" s="514" t="str">
        <f t="shared" si="220"/>
        <v/>
      </c>
      <c r="IF44" s="514" t="str">
        <f t="shared" si="221"/>
        <v/>
      </c>
      <c r="IG44" s="514" t="str">
        <f t="shared" si="222"/>
        <v/>
      </c>
      <c r="IH44" s="514" t="str">
        <f t="shared" si="223"/>
        <v/>
      </c>
      <c r="II44" s="503" t="str">
        <f t="shared" si="224"/>
        <v/>
      </c>
      <c r="IJ44" s="503" t="str">
        <f t="shared" si="225"/>
        <v/>
      </c>
      <c r="IK44" s="503" t="str">
        <f t="shared" si="226"/>
        <v/>
      </c>
      <c r="IL44" s="503" t="str">
        <f t="shared" si="227"/>
        <v/>
      </c>
      <c r="IM44" s="503" t="str">
        <f t="shared" si="228"/>
        <v/>
      </c>
      <c r="IN44" s="503" t="str">
        <f t="shared" si="229"/>
        <v/>
      </c>
      <c r="IO44" s="503" t="str">
        <f t="shared" si="230"/>
        <v/>
      </c>
      <c r="IP44" s="503" t="str">
        <f t="shared" si="231"/>
        <v/>
      </c>
      <c r="IQ44" s="503" t="str">
        <f t="shared" si="232"/>
        <v/>
      </c>
      <c r="IR44" s="503" t="str">
        <f t="shared" si="233"/>
        <v/>
      </c>
      <c r="IS44" s="503" t="str">
        <f t="shared" si="234"/>
        <v/>
      </c>
      <c r="IT44" s="503" t="str">
        <f t="shared" si="235"/>
        <v/>
      </c>
      <c r="IU44" s="503" t="str">
        <f t="shared" si="236"/>
        <v/>
      </c>
      <c r="IV44" s="503" t="str">
        <f t="shared" si="237"/>
        <v/>
      </c>
      <c r="IW44" s="503" t="str">
        <f t="shared" si="238"/>
        <v/>
      </c>
      <c r="IX44" s="503" t="str">
        <f t="shared" si="239"/>
        <v/>
      </c>
      <c r="IY44" s="503" t="str">
        <f t="shared" si="240"/>
        <v/>
      </c>
      <c r="IZ44" s="503" t="str">
        <f t="shared" si="241"/>
        <v/>
      </c>
      <c r="JA44" s="503" t="str">
        <f t="shared" si="242"/>
        <v/>
      </c>
      <c r="JB44" s="503" t="str">
        <f t="shared" si="243"/>
        <v/>
      </c>
      <c r="JC44" s="512">
        <f t="shared" si="244"/>
        <v>0</v>
      </c>
      <c r="JD44" s="512">
        <f t="shared" si="245"/>
        <v>0</v>
      </c>
      <c r="JE44" s="512">
        <f t="shared" si="246"/>
        <v>0</v>
      </c>
      <c r="JF44" s="512">
        <f t="shared" si="247"/>
        <v>0</v>
      </c>
      <c r="JG44" s="512">
        <f t="shared" si="248"/>
        <v>0</v>
      </c>
      <c r="JH44" s="512">
        <f t="shared" si="249"/>
        <v>0</v>
      </c>
      <c r="JI44" s="512">
        <f t="shared" si="250"/>
        <v>0</v>
      </c>
      <c r="JJ44" s="512">
        <f t="shared" si="251"/>
        <v>0</v>
      </c>
      <c r="JK44" s="512">
        <f t="shared" si="252"/>
        <v>0</v>
      </c>
      <c r="JL44" s="512">
        <f t="shared" si="253"/>
        <v>0</v>
      </c>
      <c r="JM44" s="512">
        <f t="shared" si="254"/>
        <v>0</v>
      </c>
      <c r="JN44" s="512">
        <f t="shared" si="255"/>
        <v>0</v>
      </c>
      <c r="JO44" s="512">
        <f t="shared" si="256"/>
        <v>0</v>
      </c>
      <c r="JP44" s="512">
        <f t="shared" si="257"/>
        <v>0</v>
      </c>
      <c r="JQ44" s="512">
        <f t="shared" si="258"/>
        <v>0</v>
      </c>
    </row>
    <row r="45" spans="1:296" ht="12" customHeight="1">
      <c r="A45" s="115" t="str">
        <f t="shared" si="0"/>
        <v/>
      </c>
      <c r="B45" s="3218" t="s">
        <v>1847</v>
      </c>
      <c r="C45" s="3219"/>
      <c r="D45" s="3220"/>
      <c r="E45" s="3221"/>
      <c r="F45" s="3221"/>
      <c r="G45" s="3221"/>
      <c r="H45" s="3221"/>
      <c r="I45" s="3221"/>
      <c r="J45" s="3222"/>
      <c r="K45" s="859">
        <f t="shared" si="1"/>
        <v>0</v>
      </c>
      <c r="L45" s="859">
        <f t="shared" si="2"/>
        <v>0</v>
      </c>
      <c r="M45" s="3223"/>
      <c r="N45" s="3223"/>
      <c r="O45" s="3223"/>
      <c r="P45" s="3224"/>
      <c r="Q45" s="1384" t="str">
        <f t="shared" si="3"/>
        <v/>
      </c>
      <c r="R45" s="1385" t="str">
        <f>IF(H45="","",IF(C45="Efficiency",Q45/($O$6*VLOOKUP(0,'DCA Underwriting Assumptions'!$J$132:$K$137,2,FALSE)),Q45/($O$6*VLOOKUP(C45,'DCA Underwriting Assumptions'!$J$132:$K$137,2,FALSE))))</f>
        <v/>
      </c>
      <c r="S45" s="1386"/>
      <c r="T45" s="1387"/>
      <c r="U45" s="3225"/>
      <c r="V45" s="3156"/>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461" t="str">
        <f t="shared" si="134"/>
        <v/>
      </c>
      <c r="EX45" s="513" t="str">
        <f t="shared" si="135"/>
        <v/>
      </c>
      <c r="EY45" s="513" t="str">
        <f t="shared" si="136"/>
        <v/>
      </c>
      <c r="EZ45" s="513" t="str">
        <f t="shared" si="137"/>
        <v/>
      </c>
      <c r="FA45" s="513" t="str">
        <f t="shared" si="138"/>
        <v/>
      </c>
      <c r="FB45" s="513" t="str">
        <f t="shared" si="139"/>
        <v/>
      </c>
      <c r="FC45" s="513" t="str">
        <f t="shared" si="140"/>
        <v/>
      </c>
      <c r="FD45" s="513" t="str">
        <f t="shared" si="141"/>
        <v/>
      </c>
      <c r="FE45" s="513" t="str">
        <f t="shared" si="142"/>
        <v/>
      </c>
      <c r="FF45" s="513" t="str">
        <f t="shared" si="143"/>
        <v/>
      </c>
      <c r="FG45" s="513" t="str">
        <f t="shared" si="144"/>
        <v/>
      </c>
      <c r="FH45" s="513" t="str">
        <f t="shared" si="145"/>
        <v/>
      </c>
      <c r="FI45" s="513" t="str">
        <f t="shared" si="146"/>
        <v/>
      </c>
      <c r="FJ45" s="513" t="str">
        <f t="shared" si="147"/>
        <v/>
      </c>
      <c r="FK45" s="513" t="str">
        <f t="shared" si="148"/>
        <v/>
      </c>
      <c r="FL45" s="513" t="str">
        <f t="shared" si="149"/>
        <v/>
      </c>
      <c r="FM45" s="513" t="str">
        <f t="shared" si="150"/>
        <v/>
      </c>
      <c r="FN45" s="513" t="str">
        <f t="shared" si="151"/>
        <v/>
      </c>
      <c r="FO45" s="513" t="str">
        <f t="shared" si="152"/>
        <v/>
      </c>
      <c r="FP45" s="513" t="str">
        <f t="shared" si="153"/>
        <v/>
      </c>
      <c r="FQ45" s="513" t="str">
        <f t="shared" si="154"/>
        <v/>
      </c>
      <c r="FR45" s="513" t="str">
        <f t="shared" si="155"/>
        <v/>
      </c>
      <c r="FS45" s="513" t="str">
        <f t="shared" si="156"/>
        <v/>
      </c>
      <c r="FT45" s="513" t="str">
        <f t="shared" si="157"/>
        <v/>
      </c>
      <c r="FU45" s="513" t="str">
        <f t="shared" si="158"/>
        <v/>
      </c>
      <c r="FV45" s="513" t="str">
        <f t="shared" si="159"/>
        <v/>
      </c>
      <c r="FW45" s="513" t="str">
        <f t="shared" si="160"/>
        <v/>
      </c>
      <c r="FX45" s="513" t="str">
        <f t="shared" si="161"/>
        <v/>
      </c>
      <c r="FY45" s="513" t="str">
        <f t="shared" si="162"/>
        <v/>
      </c>
      <c r="FZ45" s="513" t="str">
        <f t="shared" si="163"/>
        <v/>
      </c>
      <c r="GA45" s="513" t="str">
        <f t="shared" si="164"/>
        <v/>
      </c>
      <c r="GB45" s="513" t="str">
        <f t="shared" si="165"/>
        <v/>
      </c>
      <c r="GC45" s="513" t="str">
        <f t="shared" si="166"/>
        <v/>
      </c>
      <c r="GD45" s="513" t="str">
        <f t="shared" si="167"/>
        <v/>
      </c>
      <c r="GE45" s="513" t="str">
        <f t="shared" si="168"/>
        <v/>
      </c>
      <c r="GF45" s="513" t="str">
        <f t="shared" si="169"/>
        <v/>
      </c>
      <c r="GG45" s="513" t="str">
        <f t="shared" si="170"/>
        <v/>
      </c>
      <c r="GH45" s="513" t="str">
        <f t="shared" si="171"/>
        <v/>
      </c>
      <c r="GI45" s="513" t="str">
        <f t="shared" si="172"/>
        <v/>
      </c>
      <c r="GJ45" s="513" t="str">
        <f t="shared" si="173"/>
        <v/>
      </c>
      <c r="GK45" s="513" t="str">
        <f t="shared" si="174"/>
        <v/>
      </c>
      <c r="GL45" s="513" t="str">
        <f t="shared" si="175"/>
        <v/>
      </c>
      <c r="GM45" s="513" t="str">
        <f t="shared" si="176"/>
        <v/>
      </c>
      <c r="GN45" s="513" t="str">
        <f t="shared" si="177"/>
        <v/>
      </c>
      <c r="GO45" s="513" t="str">
        <f t="shared" si="178"/>
        <v/>
      </c>
      <c r="GP45" s="513" t="str">
        <f t="shared" si="179"/>
        <v/>
      </c>
      <c r="GQ45" s="513" t="str">
        <f t="shared" si="180"/>
        <v/>
      </c>
      <c r="GR45" s="513" t="str">
        <f t="shared" si="181"/>
        <v/>
      </c>
      <c r="GS45" s="513" t="str">
        <f t="shared" si="182"/>
        <v/>
      </c>
      <c r="GT45" s="513" t="str">
        <f t="shared" si="183"/>
        <v/>
      </c>
      <c r="GU45" s="513" t="str">
        <f t="shared" si="184"/>
        <v/>
      </c>
      <c r="GV45" s="513" t="str">
        <f t="shared" si="185"/>
        <v/>
      </c>
      <c r="GW45" s="513" t="str">
        <f t="shared" si="186"/>
        <v/>
      </c>
      <c r="GX45" s="513" t="str">
        <f t="shared" si="187"/>
        <v/>
      </c>
      <c r="GY45" s="513" t="str">
        <f t="shared" si="188"/>
        <v/>
      </c>
      <c r="GZ45" s="513" t="str">
        <f t="shared" si="189"/>
        <v/>
      </c>
      <c r="HA45" s="513" t="str">
        <f t="shared" si="190"/>
        <v/>
      </c>
      <c r="HB45" s="513" t="str">
        <f t="shared" si="191"/>
        <v/>
      </c>
      <c r="HC45" s="513" t="str">
        <f t="shared" si="192"/>
        <v/>
      </c>
      <c r="HD45" s="513" t="str">
        <f t="shared" si="193"/>
        <v/>
      </c>
      <c r="HE45" s="513" t="str">
        <f t="shared" si="194"/>
        <v/>
      </c>
      <c r="HF45" s="513" t="str">
        <f t="shared" si="195"/>
        <v/>
      </c>
      <c r="HG45" s="513" t="str">
        <f t="shared" si="196"/>
        <v/>
      </c>
      <c r="HH45" s="513" t="str">
        <f t="shared" si="197"/>
        <v/>
      </c>
      <c r="HI45" s="513" t="str">
        <f t="shared" si="198"/>
        <v/>
      </c>
      <c r="HJ45" s="513" t="str">
        <f t="shared" si="199"/>
        <v/>
      </c>
      <c r="HK45" s="513" t="str">
        <f t="shared" si="200"/>
        <v/>
      </c>
      <c r="HL45" s="513" t="str">
        <f t="shared" si="201"/>
        <v/>
      </c>
      <c r="HM45" s="513" t="str">
        <f t="shared" si="202"/>
        <v/>
      </c>
      <c r="HN45" s="513" t="str">
        <f t="shared" si="203"/>
        <v/>
      </c>
      <c r="HO45" s="513" t="str">
        <f t="shared" si="204"/>
        <v/>
      </c>
      <c r="HP45" s="513" t="str">
        <f t="shared" si="205"/>
        <v/>
      </c>
      <c r="HQ45" s="513" t="str">
        <f t="shared" si="206"/>
        <v/>
      </c>
      <c r="HR45" s="513" t="str">
        <f t="shared" si="207"/>
        <v/>
      </c>
      <c r="HS45" s="513" t="str">
        <f t="shared" si="208"/>
        <v/>
      </c>
      <c r="HT45" s="513" t="str">
        <f t="shared" si="209"/>
        <v/>
      </c>
      <c r="HU45" s="513" t="str">
        <f t="shared" si="210"/>
        <v/>
      </c>
      <c r="HV45" s="513" t="str">
        <f t="shared" si="211"/>
        <v/>
      </c>
      <c r="HW45" s="513" t="str">
        <f t="shared" si="212"/>
        <v/>
      </c>
      <c r="HX45" s="513" t="str">
        <f t="shared" si="213"/>
        <v/>
      </c>
      <c r="HY45" s="513" t="str">
        <f t="shared" si="214"/>
        <v/>
      </c>
      <c r="HZ45" s="513" t="str">
        <f t="shared" si="215"/>
        <v/>
      </c>
      <c r="IA45" s="513" t="str">
        <f t="shared" si="216"/>
        <v/>
      </c>
      <c r="IB45" s="513" t="str">
        <f t="shared" si="217"/>
        <v/>
      </c>
      <c r="IC45" s="513" t="str">
        <f t="shared" si="218"/>
        <v/>
      </c>
      <c r="ID45" s="514" t="str">
        <f t="shared" si="219"/>
        <v/>
      </c>
      <c r="IE45" s="514" t="str">
        <f t="shared" si="220"/>
        <v/>
      </c>
      <c r="IF45" s="514" t="str">
        <f t="shared" si="221"/>
        <v/>
      </c>
      <c r="IG45" s="514" t="str">
        <f t="shared" si="222"/>
        <v/>
      </c>
      <c r="IH45" s="514" t="str">
        <f t="shared" si="223"/>
        <v/>
      </c>
      <c r="II45" s="503" t="str">
        <f t="shared" si="224"/>
        <v/>
      </c>
      <c r="IJ45" s="503" t="str">
        <f t="shared" si="225"/>
        <v/>
      </c>
      <c r="IK45" s="503" t="str">
        <f t="shared" si="226"/>
        <v/>
      </c>
      <c r="IL45" s="503" t="str">
        <f t="shared" si="227"/>
        <v/>
      </c>
      <c r="IM45" s="503" t="str">
        <f t="shared" si="228"/>
        <v/>
      </c>
      <c r="IN45" s="503" t="str">
        <f t="shared" si="229"/>
        <v/>
      </c>
      <c r="IO45" s="503" t="str">
        <f t="shared" si="230"/>
        <v/>
      </c>
      <c r="IP45" s="503" t="str">
        <f t="shared" si="231"/>
        <v/>
      </c>
      <c r="IQ45" s="503" t="str">
        <f t="shared" si="232"/>
        <v/>
      </c>
      <c r="IR45" s="503" t="str">
        <f t="shared" si="233"/>
        <v/>
      </c>
      <c r="IS45" s="503" t="str">
        <f t="shared" si="234"/>
        <v/>
      </c>
      <c r="IT45" s="503" t="str">
        <f t="shared" si="235"/>
        <v/>
      </c>
      <c r="IU45" s="503" t="str">
        <f t="shared" si="236"/>
        <v/>
      </c>
      <c r="IV45" s="503" t="str">
        <f t="shared" si="237"/>
        <v/>
      </c>
      <c r="IW45" s="503" t="str">
        <f t="shared" si="238"/>
        <v/>
      </c>
      <c r="IX45" s="503" t="str">
        <f t="shared" si="239"/>
        <v/>
      </c>
      <c r="IY45" s="503" t="str">
        <f t="shared" si="240"/>
        <v/>
      </c>
      <c r="IZ45" s="503" t="str">
        <f t="shared" si="241"/>
        <v/>
      </c>
      <c r="JA45" s="503" t="str">
        <f t="shared" si="242"/>
        <v/>
      </c>
      <c r="JB45" s="503" t="str">
        <f t="shared" si="243"/>
        <v/>
      </c>
      <c r="JC45" s="512">
        <f t="shared" si="244"/>
        <v>0</v>
      </c>
      <c r="JD45" s="512">
        <f t="shared" si="245"/>
        <v>0</v>
      </c>
      <c r="JE45" s="512">
        <f t="shared" si="246"/>
        <v>0</v>
      </c>
      <c r="JF45" s="512">
        <f t="shared" si="247"/>
        <v>0</v>
      </c>
      <c r="JG45" s="512">
        <f t="shared" si="248"/>
        <v>0</v>
      </c>
      <c r="JH45" s="512">
        <f t="shared" si="249"/>
        <v>0</v>
      </c>
      <c r="JI45" s="512">
        <f t="shared" si="250"/>
        <v>0</v>
      </c>
      <c r="JJ45" s="512">
        <f t="shared" si="251"/>
        <v>0</v>
      </c>
      <c r="JK45" s="512">
        <f t="shared" si="252"/>
        <v>0</v>
      </c>
      <c r="JL45" s="512">
        <f t="shared" si="253"/>
        <v>0</v>
      </c>
      <c r="JM45" s="512">
        <f t="shared" si="254"/>
        <v>0</v>
      </c>
      <c r="JN45" s="512">
        <f t="shared" si="255"/>
        <v>0</v>
      </c>
      <c r="JO45" s="512">
        <f t="shared" si="256"/>
        <v>0</v>
      </c>
      <c r="JP45" s="512">
        <f t="shared" si="257"/>
        <v>0</v>
      </c>
      <c r="JQ45" s="512">
        <f t="shared" si="258"/>
        <v>0</v>
      </c>
    </row>
    <row r="46" spans="1:296" ht="12" customHeight="1">
      <c r="A46" s="115" t="str">
        <f t="shared" si="0"/>
        <v/>
      </c>
      <c r="B46" s="3218" t="s">
        <v>1847</v>
      </c>
      <c r="C46" s="3219"/>
      <c r="D46" s="3220"/>
      <c r="E46" s="3221"/>
      <c r="F46" s="3221"/>
      <c r="G46" s="3221"/>
      <c r="H46" s="3221"/>
      <c r="I46" s="3221"/>
      <c r="J46" s="3222"/>
      <c r="K46" s="859">
        <f t="shared" si="1"/>
        <v>0</v>
      </c>
      <c r="L46" s="859">
        <f t="shared" si="2"/>
        <v>0</v>
      </c>
      <c r="M46" s="3223"/>
      <c r="N46" s="3223"/>
      <c r="O46" s="3223"/>
      <c r="P46" s="3224"/>
      <c r="Q46" s="1384" t="str">
        <f t="shared" si="3"/>
        <v/>
      </c>
      <c r="R46" s="1385" t="str">
        <f>IF(H46="","",IF(C46="Efficiency",Q46/($O$6*VLOOKUP(0,'DCA Underwriting Assumptions'!$J$132:$K$137,2,FALSE)),Q46/($O$6*VLOOKUP(C46,'DCA Underwriting Assumptions'!$J$132:$K$137,2,FALSE))))</f>
        <v/>
      </c>
      <c r="S46" s="1386"/>
      <c r="T46" s="1387"/>
      <c r="U46" s="3225"/>
      <c r="V46" s="3156"/>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461" t="str">
        <f t="shared" si="134"/>
        <v/>
      </c>
      <c r="EX46" s="513" t="str">
        <f t="shared" si="135"/>
        <v/>
      </c>
      <c r="EY46" s="513" t="str">
        <f t="shared" si="136"/>
        <v/>
      </c>
      <c r="EZ46" s="513" t="str">
        <f t="shared" si="137"/>
        <v/>
      </c>
      <c r="FA46" s="513" t="str">
        <f t="shared" si="138"/>
        <v/>
      </c>
      <c r="FB46" s="513" t="str">
        <f t="shared" si="139"/>
        <v/>
      </c>
      <c r="FC46" s="513" t="str">
        <f t="shared" si="140"/>
        <v/>
      </c>
      <c r="FD46" s="513" t="str">
        <f t="shared" si="141"/>
        <v/>
      </c>
      <c r="FE46" s="513" t="str">
        <f t="shared" si="142"/>
        <v/>
      </c>
      <c r="FF46" s="513" t="str">
        <f t="shared" si="143"/>
        <v/>
      </c>
      <c r="FG46" s="513" t="str">
        <f t="shared" si="144"/>
        <v/>
      </c>
      <c r="FH46" s="513" t="str">
        <f t="shared" si="145"/>
        <v/>
      </c>
      <c r="FI46" s="513" t="str">
        <f t="shared" si="146"/>
        <v/>
      </c>
      <c r="FJ46" s="513" t="str">
        <f t="shared" si="147"/>
        <v/>
      </c>
      <c r="FK46" s="513" t="str">
        <f t="shared" si="148"/>
        <v/>
      </c>
      <c r="FL46" s="513" t="str">
        <f t="shared" si="149"/>
        <v/>
      </c>
      <c r="FM46" s="513" t="str">
        <f t="shared" si="150"/>
        <v/>
      </c>
      <c r="FN46" s="513" t="str">
        <f t="shared" si="151"/>
        <v/>
      </c>
      <c r="FO46" s="513" t="str">
        <f t="shared" si="152"/>
        <v/>
      </c>
      <c r="FP46" s="513" t="str">
        <f t="shared" si="153"/>
        <v/>
      </c>
      <c r="FQ46" s="513" t="str">
        <f t="shared" si="154"/>
        <v/>
      </c>
      <c r="FR46" s="513" t="str">
        <f t="shared" si="155"/>
        <v/>
      </c>
      <c r="FS46" s="513" t="str">
        <f t="shared" si="156"/>
        <v/>
      </c>
      <c r="FT46" s="513" t="str">
        <f t="shared" si="157"/>
        <v/>
      </c>
      <c r="FU46" s="513" t="str">
        <f t="shared" si="158"/>
        <v/>
      </c>
      <c r="FV46" s="513" t="str">
        <f t="shared" si="159"/>
        <v/>
      </c>
      <c r="FW46" s="513" t="str">
        <f t="shared" si="160"/>
        <v/>
      </c>
      <c r="FX46" s="513" t="str">
        <f t="shared" si="161"/>
        <v/>
      </c>
      <c r="FY46" s="513" t="str">
        <f t="shared" si="162"/>
        <v/>
      </c>
      <c r="FZ46" s="513" t="str">
        <f t="shared" si="163"/>
        <v/>
      </c>
      <c r="GA46" s="513" t="str">
        <f t="shared" si="164"/>
        <v/>
      </c>
      <c r="GB46" s="513" t="str">
        <f t="shared" si="165"/>
        <v/>
      </c>
      <c r="GC46" s="513" t="str">
        <f t="shared" si="166"/>
        <v/>
      </c>
      <c r="GD46" s="513" t="str">
        <f t="shared" si="167"/>
        <v/>
      </c>
      <c r="GE46" s="513" t="str">
        <f t="shared" si="168"/>
        <v/>
      </c>
      <c r="GF46" s="513" t="str">
        <f t="shared" si="169"/>
        <v/>
      </c>
      <c r="GG46" s="513" t="str">
        <f t="shared" si="170"/>
        <v/>
      </c>
      <c r="GH46" s="513" t="str">
        <f t="shared" si="171"/>
        <v/>
      </c>
      <c r="GI46" s="513" t="str">
        <f t="shared" si="172"/>
        <v/>
      </c>
      <c r="GJ46" s="513" t="str">
        <f t="shared" si="173"/>
        <v/>
      </c>
      <c r="GK46" s="513" t="str">
        <f t="shared" si="174"/>
        <v/>
      </c>
      <c r="GL46" s="513" t="str">
        <f t="shared" si="175"/>
        <v/>
      </c>
      <c r="GM46" s="513" t="str">
        <f t="shared" si="176"/>
        <v/>
      </c>
      <c r="GN46" s="513" t="str">
        <f t="shared" si="177"/>
        <v/>
      </c>
      <c r="GO46" s="513" t="str">
        <f t="shared" si="178"/>
        <v/>
      </c>
      <c r="GP46" s="513" t="str">
        <f t="shared" si="179"/>
        <v/>
      </c>
      <c r="GQ46" s="513" t="str">
        <f t="shared" si="180"/>
        <v/>
      </c>
      <c r="GR46" s="513" t="str">
        <f t="shared" si="181"/>
        <v/>
      </c>
      <c r="GS46" s="513" t="str">
        <f t="shared" si="182"/>
        <v/>
      </c>
      <c r="GT46" s="513" t="str">
        <f t="shared" si="183"/>
        <v/>
      </c>
      <c r="GU46" s="513" t="str">
        <f t="shared" si="184"/>
        <v/>
      </c>
      <c r="GV46" s="513" t="str">
        <f t="shared" si="185"/>
        <v/>
      </c>
      <c r="GW46" s="513" t="str">
        <f t="shared" si="186"/>
        <v/>
      </c>
      <c r="GX46" s="513" t="str">
        <f t="shared" si="187"/>
        <v/>
      </c>
      <c r="GY46" s="513" t="str">
        <f t="shared" si="188"/>
        <v/>
      </c>
      <c r="GZ46" s="513" t="str">
        <f t="shared" si="189"/>
        <v/>
      </c>
      <c r="HA46" s="513" t="str">
        <f t="shared" si="190"/>
        <v/>
      </c>
      <c r="HB46" s="513" t="str">
        <f t="shared" si="191"/>
        <v/>
      </c>
      <c r="HC46" s="513" t="str">
        <f t="shared" si="192"/>
        <v/>
      </c>
      <c r="HD46" s="513" t="str">
        <f t="shared" si="193"/>
        <v/>
      </c>
      <c r="HE46" s="513" t="str">
        <f t="shared" si="194"/>
        <v/>
      </c>
      <c r="HF46" s="513" t="str">
        <f t="shared" si="195"/>
        <v/>
      </c>
      <c r="HG46" s="513" t="str">
        <f t="shared" si="196"/>
        <v/>
      </c>
      <c r="HH46" s="513" t="str">
        <f t="shared" si="197"/>
        <v/>
      </c>
      <c r="HI46" s="513" t="str">
        <f t="shared" si="198"/>
        <v/>
      </c>
      <c r="HJ46" s="513" t="str">
        <f t="shared" si="199"/>
        <v/>
      </c>
      <c r="HK46" s="513" t="str">
        <f t="shared" si="200"/>
        <v/>
      </c>
      <c r="HL46" s="513" t="str">
        <f t="shared" si="201"/>
        <v/>
      </c>
      <c r="HM46" s="513" t="str">
        <f t="shared" si="202"/>
        <v/>
      </c>
      <c r="HN46" s="513" t="str">
        <f t="shared" si="203"/>
        <v/>
      </c>
      <c r="HO46" s="513" t="str">
        <f t="shared" si="204"/>
        <v/>
      </c>
      <c r="HP46" s="513" t="str">
        <f t="shared" si="205"/>
        <v/>
      </c>
      <c r="HQ46" s="513" t="str">
        <f t="shared" si="206"/>
        <v/>
      </c>
      <c r="HR46" s="513" t="str">
        <f t="shared" si="207"/>
        <v/>
      </c>
      <c r="HS46" s="513" t="str">
        <f t="shared" si="208"/>
        <v/>
      </c>
      <c r="HT46" s="513" t="str">
        <f t="shared" si="209"/>
        <v/>
      </c>
      <c r="HU46" s="513" t="str">
        <f t="shared" si="210"/>
        <v/>
      </c>
      <c r="HV46" s="513" t="str">
        <f t="shared" si="211"/>
        <v/>
      </c>
      <c r="HW46" s="513" t="str">
        <f t="shared" si="212"/>
        <v/>
      </c>
      <c r="HX46" s="513" t="str">
        <f t="shared" si="213"/>
        <v/>
      </c>
      <c r="HY46" s="513" t="str">
        <f t="shared" si="214"/>
        <v/>
      </c>
      <c r="HZ46" s="513" t="str">
        <f t="shared" si="215"/>
        <v/>
      </c>
      <c r="IA46" s="513" t="str">
        <f t="shared" si="216"/>
        <v/>
      </c>
      <c r="IB46" s="513" t="str">
        <f t="shared" si="217"/>
        <v/>
      </c>
      <c r="IC46" s="513" t="str">
        <f t="shared" si="218"/>
        <v/>
      </c>
      <c r="ID46" s="514" t="str">
        <f t="shared" si="219"/>
        <v/>
      </c>
      <c r="IE46" s="514" t="str">
        <f t="shared" si="220"/>
        <v/>
      </c>
      <c r="IF46" s="514" t="str">
        <f t="shared" si="221"/>
        <v/>
      </c>
      <c r="IG46" s="514" t="str">
        <f t="shared" si="222"/>
        <v/>
      </c>
      <c r="IH46" s="514" t="str">
        <f t="shared" si="223"/>
        <v/>
      </c>
      <c r="II46" s="503" t="str">
        <f t="shared" si="224"/>
        <v/>
      </c>
      <c r="IJ46" s="503" t="str">
        <f t="shared" si="225"/>
        <v/>
      </c>
      <c r="IK46" s="503" t="str">
        <f t="shared" si="226"/>
        <v/>
      </c>
      <c r="IL46" s="503" t="str">
        <f t="shared" si="227"/>
        <v/>
      </c>
      <c r="IM46" s="503" t="str">
        <f t="shared" si="228"/>
        <v/>
      </c>
      <c r="IN46" s="503" t="str">
        <f t="shared" si="229"/>
        <v/>
      </c>
      <c r="IO46" s="503" t="str">
        <f t="shared" si="230"/>
        <v/>
      </c>
      <c r="IP46" s="503" t="str">
        <f t="shared" si="231"/>
        <v/>
      </c>
      <c r="IQ46" s="503" t="str">
        <f t="shared" si="232"/>
        <v/>
      </c>
      <c r="IR46" s="503" t="str">
        <f t="shared" si="233"/>
        <v/>
      </c>
      <c r="IS46" s="503" t="str">
        <f t="shared" si="234"/>
        <v/>
      </c>
      <c r="IT46" s="503" t="str">
        <f t="shared" si="235"/>
        <v/>
      </c>
      <c r="IU46" s="503" t="str">
        <f t="shared" si="236"/>
        <v/>
      </c>
      <c r="IV46" s="503" t="str">
        <f t="shared" si="237"/>
        <v/>
      </c>
      <c r="IW46" s="503" t="str">
        <f t="shared" si="238"/>
        <v/>
      </c>
      <c r="IX46" s="503" t="str">
        <f t="shared" si="239"/>
        <v/>
      </c>
      <c r="IY46" s="503" t="str">
        <f t="shared" si="240"/>
        <v/>
      </c>
      <c r="IZ46" s="503" t="str">
        <f t="shared" si="241"/>
        <v/>
      </c>
      <c r="JA46" s="503" t="str">
        <f t="shared" si="242"/>
        <v/>
      </c>
      <c r="JB46" s="503" t="str">
        <f t="shared" si="243"/>
        <v/>
      </c>
      <c r="JC46" s="512">
        <f t="shared" si="244"/>
        <v>0</v>
      </c>
      <c r="JD46" s="512">
        <f t="shared" si="245"/>
        <v>0</v>
      </c>
      <c r="JE46" s="512">
        <f t="shared" si="246"/>
        <v>0</v>
      </c>
      <c r="JF46" s="512">
        <f t="shared" si="247"/>
        <v>0</v>
      </c>
      <c r="JG46" s="512">
        <f t="shared" si="248"/>
        <v>0</v>
      </c>
      <c r="JH46" s="512">
        <f t="shared" si="249"/>
        <v>0</v>
      </c>
      <c r="JI46" s="512">
        <f t="shared" si="250"/>
        <v>0</v>
      </c>
      <c r="JJ46" s="512">
        <f t="shared" si="251"/>
        <v>0</v>
      </c>
      <c r="JK46" s="512">
        <f t="shared" si="252"/>
        <v>0</v>
      </c>
      <c r="JL46" s="512">
        <f t="shared" si="253"/>
        <v>0</v>
      </c>
      <c r="JM46" s="512">
        <f t="shared" si="254"/>
        <v>0</v>
      </c>
      <c r="JN46" s="512">
        <f t="shared" si="255"/>
        <v>0</v>
      </c>
      <c r="JO46" s="512">
        <f t="shared" si="256"/>
        <v>0</v>
      </c>
      <c r="JP46" s="512">
        <f t="shared" si="257"/>
        <v>0</v>
      </c>
      <c r="JQ46" s="512">
        <f t="shared" si="258"/>
        <v>0</v>
      </c>
    </row>
    <row r="47" spans="1:296" ht="12" customHeight="1">
      <c r="A47" s="115" t="str">
        <f t="shared" si="0"/>
        <v/>
      </c>
      <c r="B47" s="3226" t="s">
        <v>1847</v>
      </c>
      <c r="C47" s="3227"/>
      <c r="D47" s="3228"/>
      <c r="E47" s="3229"/>
      <c r="F47" s="3229"/>
      <c r="G47" s="3229"/>
      <c r="H47" s="3229"/>
      <c r="I47" s="3229"/>
      <c r="J47" s="3230"/>
      <c r="K47" s="860">
        <f t="shared" si="1"/>
        <v>0</v>
      </c>
      <c r="L47" s="860">
        <f t="shared" si="2"/>
        <v>0</v>
      </c>
      <c r="M47" s="3231"/>
      <c r="N47" s="3231"/>
      <c r="O47" s="3231"/>
      <c r="P47" s="3232"/>
      <c r="Q47" s="1388" t="str">
        <f t="shared" si="3"/>
        <v/>
      </c>
      <c r="R47" s="1389" t="str">
        <f>IF(H47="","",IF(C47="Efficiency",Q47/($O$6*VLOOKUP(0,'DCA Underwriting Assumptions'!$J$132:$K$137,2,FALSE)),Q47/($O$6*VLOOKUP(C47,'DCA Underwriting Assumptions'!$J$132:$K$137,2,FALSE))))</f>
        <v/>
      </c>
      <c r="S47" s="1390"/>
      <c r="T47" s="1391"/>
      <c r="U47" s="3161"/>
      <c r="V47" s="3159"/>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461" t="str">
        <f t="shared" si="134"/>
        <v/>
      </c>
      <c r="EX47" s="513" t="str">
        <f t="shared" si="135"/>
        <v/>
      </c>
      <c r="EY47" s="513" t="str">
        <f t="shared" si="136"/>
        <v/>
      </c>
      <c r="EZ47" s="513" t="str">
        <f t="shared" si="137"/>
        <v/>
      </c>
      <c r="FA47" s="513" t="str">
        <f t="shared" si="138"/>
        <v/>
      </c>
      <c r="FB47" s="513" t="str">
        <f t="shared" si="139"/>
        <v/>
      </c>
      <c r="FC47" s="513" t="str">
        <f t="shared" si="140"/>
        <v/>
      </c>
      <c r="FD47" s="513" t="str">
        <f t="shared" si="141"/>
        <v/>
      </c>
      <c r="FE47" s="513" t="str">
        <f t="shared" si="142"/>
        <v/>
      </c>
      <c r="FF47" s="513" t="str">
        <f t="shared" si="143"/>
        <v/>
      </c>
      <c r="FG47" s="513" t="str">
        <f t="shared" si="144"/>
        <v/>
      </c>
      <c r="FH47" s="513" t="str">
        <f t="shared" si="145"/>
        <v/>
      </c>
      <c r="FI47" s="513" t="str">
        <f t="shared" si="146"/>
        <v/>
      </c>
      <c r="FJ47" s="513" t="str">
        <f t="shared" si="147"/>
        <v/>
      </c>
      <c r="FK47" s="513" t="str">
        <f t="shared" si="148"/>
        <v/>
      </c>
      <c r="FL47" s="513" t="str">
        <f t="shared" si="149"/>
        <v/>
      </c>
      <c r="FM47" s="513" t="str">
        <f t="shared" si="150"/>
        <v/>
      </c>
      <c r="FN47" s="513" t="str">
        <f t="shared" si="151"/>
        <v/>
      </c>
      <c r="FO47" s="513" t="str">
        <f t="shared" si="152"/>
        <v/>
      </c>
      <c r="FP47" s="513" t="str">
        <f t="shared" si="153"/>
        <v/>
      </c>
      <c r="FQ47" s="513" t="str">
        <f t="shared" si="154"/>
        <v/>
      </c>
      <c r="FR47" s="513" t="str">
        <f t="shared" si="155"/>
        <v/>
      </c>
      <c r="FS47" s="513" t="str">
        <f t="shared" si="156"/>
        <v/>
      </c>
      <c r="FT47" s="513" t="str">
        <f t="shared" si="157"/>
        <v/>
      </c>
      <c r="FU47" s="513" t="str">
        <f t="shared" si="158"/>
        <v/>
      </c>
      <c r="FV47" s="513" t="str">
        <f t="shared" si="159"/>
        <v/>
      </c>
      <c r="FW47" s="513" t="str">
        <f t="shared" si="160"/>
        <v/>
      </c>
      <c r="FX47" s="513" t="str">
        <f t="shared" si="161"/>
        <v/>
      </c>
      <c r="FY47" s="513" t="str">
        <f t="shared" si="162"/>
        <v/>
      </c>
      <c r="FZ47" s="513" t="str">
        <f t="shared" si="163"/>
        <v/>
      </c>
      <c r="GA47" s="513" t="str">
        <f t="shared" si="164"/>
        <v/>
      </c>
      <c r="GB47" s="513" t="str">
        <f t="shared" si="165"/>
        <v/>
      </c>
      <c r="GC47" s="513" t="str">
        <f t="shared" si="166"/>
        <v/>
      </c>
      <c r="GD47" s="513" t="str">
        <f t="shared" si="167"/>
        <v/>
      </c>
      <c r="GE47" s="513" t="str">
        <f t="shared" si="168"/>
        <v/>
      </c>
      <c r="GF47" s="513" t="str">
        <f t="shared" si="169"/>
        <v/>
      </c>
      <c r="GG47" s="513" t="str">
        <f t="shared" si="170"/>
        <v/>
      </c>
      <c r="GH47" s="513" t="str">
        <f t="shared" si="171"/>
        <v/>
      </c>
      <c r="GI47" s="513" t="str">
        <f t="shared" si="172"/>
        <v/>
      </c>
      <c r="GJ47" s="513" t="str">
        <f t="shared" si="173"/>
        <v/>
      </c>
      <c r="GK47" s="513" t="str">
        <f t="shared" si="174"/>
        <v/>
      </c>
      <c r="GL47" s="513" t="str">
        <f t="shared" si="175"/>
        <v/>
      </c>
      <c r="GM47" s="513" t="str">
        <f t="shared" si="176"/>
        <v/>
      </c>
      <c r="GN47" s="513" t="str">
        <f t="shared" si="177"/>
        <v/>
      </c>
      <c r="GO47" s="513" t="str">
        <f t="shared" si="178"/>
        <v/>
      </c>
      <c r="GP47" s="513" t="str">
        <f t="shared" si="179"/>
        <v/>
      </c>
      <c r="GQ47" s="513" t="str">
        <f t="shared" si="180"/>
        <v/>
      </c>
      <c r="GR47" s="513" t="str">
        <f t="shared" si="181"/>
        <v/>
      </c>
      <c r="GS47" s="513" t="str">
        <f t="shared" si="182"/>
        <v/>
      </c>
      <c r="GT47" s="513" t="str">
        <f t="shared" si="183"/>
        <v/>
      </c>
      <c r="GU47" s="513" t="str">
        <f t="shared" si="184"/>
        <v/>
      </c>
      <c r="GV47" s="513" t="str">
        <f t="shared" si="185"/>
        <v/>
      </c>
      <c r="GW47" s="513" t="str">
        <f t="shared" si="186"/>
        <v/>
      </c>
      <c r="GX47" s="513" t="str">
        <f t="shared" si="187"/>
        <v/>
      </c>
      <c r="GY47" s="513" t="str">
        <f t="shared" si="188"/>
        <v/>
      </c>
      <c r="GZ47" s="513" t="str">
        <f t="shared" si="189"/>
        <v/>
      </c>
      <c r="HA47" s="513" t="str">
        <f t="shared" si="190"/>
        <v/>
      </c>
      <c r="HB47" s="513" t="str">
        <f t="shared" si="191"/>
        <v/>
      </c>
      <c r="HC47" s="513" t="str">
        <f t="shared" si="192"/>
        <v/>
      </c>
      <c r="HD47" s="513" t="str">
        <f t="shared" si="193"/>
        <v/>
      </c>
      <c r="HE47" s="513" t="str">
        <f t="shared" si="194"/>
        <v/>
      </c>
      <c r="HF47" s="513" t="str">
        <f t="shared" si="195"/>
        <v/>
      </c>
      <c r="HG47" s="513" t="str">
        <f t="shared" si="196"/>
        <v/>
      </c>
      <c r="HH47" s="513" t="str">
        <f t="shared" si="197"/>
        <v/>
      </c>
      <c r="HI47" s="513" t="str">
        <f t="shared" si="198"/>
        <v/>
      </c>
      <c r="HJ47" s="513" t="str">
        <f t="shared" si="199"/>
        <v/>
      </c>
      <c r="HK47" s="513" t="str">
        <f t="shared" si="200"/>
        <v/>
      </c>
      <c r="HL47" s="513" t="str">
        <f t="shared" si="201"/>
        <v/>
      </c>
      <c r="HM47" s="513" t="str">
        <f t="shared" si="202"/>
        <v/>
      </c>
      <c r="HN47" s="513" t="str">
        <f t="shared" si="203"/>
        <v/>
      </c>
      <c r="HO47" s="513" t="str">
        <f t="shared" si="204"/>
        <v/>
      </c>
      <c r="HP47" s="513" t="str">
        <f t="shared" si="205"/>
        <v/>
      </c>
      <c r="HQ47" s="513" t="str">
        <f t="shared" si="206"/>
        <v/>
      </c>
      <c r="HR47" s="513" t="str">
        <f t="shared" si="207"/>
        <v/>
      </c>
      <c r="HS47" s="513" t="str">
        <f t="shared" si="208"/>
        <v/>
      </c>
      <c r="HT47" s="513" t="str">
        <f t="shared" si="209"/>
        <v/>
      </c>
      <c r="HU47" s="513" t="str">
        <f t="shared" si="210"/>
        <v/>
      </c>
      <c r="HV47" s="513" t="str">
        <f t="shared" si="211"/>
        <v/>
      </c>
      <c r="HW47" s="513" t="str">
        <f t="shared" si="212"/>
        <v/>
      </c>
      <c r="HX47" s="513" t="str">
        <f t="shared" si="213"/>
        <v/>
      </c>
      <c r="HY47" s="513" t="str">
        <f t="shared" si="214"/>
        <v/>
      </c>
      <c r="HZ47" s="513" t="str">
        <f t="shared" si="215"/>
        <v/>
      </c>
      <c r="IA47" s="513" t="str">
        <f t="shared" si="216"/>
        <v/>
      </c>
      <c r="IB47" s="513" t="str">
        <f t="shared" si="217"/>
        <v/>
      </c>
      <c r="IC47" s="513" t="str">
        <f t="shared" si="218"/>
        <v/>
      </c>
      <c r="ID47" s="514" t="str">
        <f t="shared" si="219"/>
        <v/>
      </c>
      <c r="IE47" s="514" t="str">
        <f t="shared" si="220"/>
        <v/>
      </c>
      <c r="IF47" s="514" t="str">
        <f t="shared" si="221"/>
        <v/>
      </c>
      <c r="IG47" s="514" t="str">
        <f t="shared" si="222"/>
        <v/>
      </c>
      <c r="IH47" s="514" t="str">
        <f t="shared" si="223"/>
        <v/>
      </c>
      <c r="II47" s="503" t="str">
        <f t="shared" si="224"/>
        <v/>
      </c>
      <c r="IJ47" s="503" t="str">
        <f t="shared" si="225"/>
        <v/>
      </c>
      <c r="IK47" s="503" t="str">
        <f t="shared" si="226"/>
        <v/>
      </c>
      <c r="IL47" s="503" t="str">
        <f t="shared" si="227"/>
        <v/>
      </c>
      <c r="IM47" s="503" t="str">
        <f t="shared" si="228"/>
        <v/>
      </c>
      <c r="IN47" s="503" t="str">
        <f t="shared" si="229"/>
        <v/>
      </c>
      <c r="IO47" s="503" t="str">
        <f t="shared" si="230"/>
        <v/>
      </c>
      <c r="IP47" s="503" t="str">
        <f t="shared" si="231"/>
        <v/>
      </c>
      <c r="IQ47" s="503" t="str">
        <f t="shared" si="232"/>
        <v/>
      </c>
      <c r="IR47" s="503" t="str">
        <f t="shared" si="233"/>
        <v/>
      </c>
      <c r="IS47" s="503" t="str">
        <f t="shared" si="234"/>
        <v/>
      </c>
      <c r="IT47" s="503" t="str">
        <f t="shared" si="235"/>
        <v/>
      </c>
      <c r="IU47" s="503" t="str">
        <f t="shared" si="236"/>
        <v/>
      </c>
      <c r="IV47" s="503" t="str">
        <f t="shared" si="237"/>
        <v/>
      </c>
      <c r="IW47" s="503" t="str">
        <f t="shared" si="238"/>
        <v/>
      </c>
      <c r="IX47" s="503" t="str">
        <f t="shared" si="239"/>
        <v/>
      </c>
      <c r="IY47" s="503" t="str">
        <f t="shared" si="240"/>
        <v/>
      </c>
      <c r="IZ47" s="503" t="str">
        <f t="shared" si="241"/>
        <v/>
      </c>
      <c r="JA47" s="503" t="str">
        <f t="shared" si="242"/>
        <v/>
      </c>
      <c r="JB47" s="503" t="str">
        <f t="shared" si="243"/>
        <v/>
      </c>
      <c r="JC47" s="512">
        <f t="shared" si="244"/>
        <v>0</v>
      </c>
      <c r="JD47" s="512">
        <f t="shared" si="245"/>
        <v>0</v>
      </c>
      <c r="JE47" s="512">
        <f t="shared" si="246"/>
        <v>0</v>
      </c>
      <c r="JF47" s="512">
        <f t="shared" si="247"/>
        <v>0</v>
      </c>
      <c r="JG47" s="512">
        <f t="shared" si="248"/>
        <v>0</v>
      </c>
      <c r="JH47" s="512">
        <f t="shared" si="249"/>
        <v>0</v>
      </c>
      <c r="JI47" s="512">
        <f t="shared" si="250"/>
        <v>0</v>
      </c>
      <c r="JJ47" s="512">
        <f t="shared" si="251"/>
        <v>0</v>
      </c>
      <c r="JK47" s="512">
        <f t="shared" si="252"/>
        <v>0</v>
      </c>
      <c r="JL47" s="512">
        <f t="shared" si="253"/>
        <v>0</v>
      </c>
      <c r="JM47" s="512">
        <f t="shared" si="254"/>
        <v>0</v>
      </c>
      <c r="JN47" s="512">
        <f t="shared" si="255"/>
        <v>0</v>
      </c>
      <c r="JO47" s="512">
        <f t="shared" si="256"/>
        <v>0</v>
      </c>
      <c r="JP47" s="512">
        <f t="shared" si="257"/>
        <v>0</v>
      </c>
      <c r="JQ47" s="512">
        <f t="shared" si="258"/>
        <v>0</v>
      </c>
    </row>
    <row r="48" spans="1:296" s="158" customFormat="1" ht="12" customHeight="1">
      <c r="A48" s="1308">
        <f>COUNT(A10,A11,A12,A13,A14,A15,A16,A17,A18,A19,A20,A21,A22,A23,A24,A25,A26,A27,A28,A29,A30,A31,A32,A33,A34,A35,A36,A37,A38,A39)</f>
        <v>0</v>
      </c>
      <c r="B48" s="819"/>
      <c r="C48" s="100"/>
      <c r="D48" s="149" t="s">
        <v>1062</v>
      </c>
      <c r="E48" s="134">
        <f>SUM(E10:E47)</f>
        <v>162</v>
      </c>
      <c r="F48" s="1457">
        <f>(E10*F10+E11*F11+E12*F12+E13*F13+E14*F14+E15*F15+E16*F16+E17*F17+E18*F18+E19*F19+E20*F20+E21*F21+E22*F22+E23*F23+E24*F24+E25*F25+E26*F26+E27*F27+E28*F28+E29*F29+E30*F30+E31*F31+E32*F32+E33*F33+E34*F34+E35*F35+E36*F36+E37*F37+E38*F38+E39*F39+E40*F40+E41*F41+E42*F42+E43*F43+E44*F44+E45*F45+E46*F46+E47*F47)</f>
        <v>134359</v>
      </c>
      <c r="G48" s="820"/>
      <c r="H48" s="821"/>
      <c r="I48" s="821"/>
      <c r="J48" s="821"/>
      <c r="K48" s="1460" t="s">
        <v>1358</v>
      </c>
      <c r="L48" s="133">
        <f>SUM(L10:L47)</f>
        <v>118449</v>
      </c>
      <c r="M48" s="100"/>
      <c r="N48" s="822"/>
      <c r="O48" s="100"/>
      <c r="P48" s="533"/>
      <c r="Q48" s="533"/>
      <c r="R48" s="533"/>
      <c r="S48" s="533"/>
      <c r="T48" s="533"/>
      <c r="U48" s="1343"/>
      <c r="V48" s="823"/>
      <c r="W48" s="824">
        <f t="shared" ref="W48:CH48" si="259">SUM(W10:W47)</f>
        <v>0</v>
      </c>
      <c r="X48" s="824">
        <f t="shared" si="259"/>
        <v>111</v>
      </c>
      <c r="Y48" s="824">
        <f t="shared" si="259"/>
        <v>18</v>
      </c>
      <c r="Z48" s="824">
        <f t="shared" si="259"/>
        <v>0</v>
      </c>
      <c r="AA48" s="824">
        <f t="shared" si="259"/>
        <v>0</v>
      </c>
      <c r="AB48" s="824">
        <f t="shared" si="259"/>
        <v>0</v>
      </c>
      <c r="AC48" s="824">
        <f t="shared" si="259"/>
        <v>28</v>
      </c>
      <c r="AD48" s="824">
        <f t="shared" si="259"/>
        <v>5</v>
      </c>
      <c r="AE48" s="824">
        <f t="shared" si="259"/>
        <v>0</v>
      </c>
      <c r="AF48" s="824">
        <f t="shared" si="259"/>
        <v>0</v>
      </c>
      <c r="AG48" s="824">
        <f t="shared" si="259"/>
        <v>0</v>
      </c>
      <c r="AH48" s="824">
        <f t="shared" si="259"/>
        <v>0</v>
      </c>
      <c r="AI48" s="824">
        <f t="shared" si="259"/>
        <v>0</v>
      </c>
      <c r="AJ48" s="824">
        <f t="shared" si="259"/>
        <v>0</v>
      </c>
      <c r="AK48" s="824">
        <f t="shared" si="259"/>
        <v>0</v>
      </c>
      <c r="AL48" s="824">
        <f t="shared" si="259"/>
        <v>0</v>
      </c>
      <c r="AM48" s="824">
        <f t="shared" si="259"/>
        <v>0</v>
      </c>
      <c r="AN48" s="824">
        <f t="shared" si="259"/>
        <v>0</v>
      </c>
      <c r="AO48" s="824">
        <f t="shared" si="259"/>
        <v>0</v>
      </c>
      <c r="AP48" s="824">
        <f t="shared" si="259"/>
        <v>0</v>
      </c>
      <c r="AQ48" s="824">
        <f t="shared" si="259"/>
        <v>0</v>
      </c>
      <c r="AR48" s="824">
        <f t="shared" si="259"/>
        <v>0</v>
      </c>
      <c r="AS48" s="824">
        <f t="shared" si="259"/>
        <v>0</v>
      </c>
      <c r="AT48" s="824">
        <f t="shared" si="259"/>
        <v>0</v>
      </c>
      <c r="AU48" s="824">
        <f t="shared" si="259"/>
        <v>0</v>
      </c>
      <c r="AV48" s="824">
        <f t="shared" si="259"/>
        <v>0</v>
      </c>
      <c r="AW48" s="824">
        <f t="shared" si="259"/>
        <v>28</v>
      </c>
      <c r="AX48" s="824">
        <f t="shared" si="259"/>
        <v>5</v>
      </c>
      <c r="AY48" s="824">
        <f t="shared" si="259"/>
        <v>0</v>
      </c>
      <c r="AZ48" s="824">
        <f t="shared" si="259"/>
        <v>0</v>
      </c>
      <c r="BA48" s="824">
        <f t="shared" si="259"/>
        <v>0</v>
      </c>
      <c r="BB48" s="824">
        <f t="shared" si="259"/>
        <v>111</v>
      </c>
      <c r="BC48" s="824">
        <f t="shared" si="259"/>
        <v>18</v>
      </c>
      <c r="BD48" s="824">
        <f t="shared" si="259"/>
        <v>0</v>
      </c>
      <c r="BE48" s="824">
        <f t="shared" si="259"/>
        <v>0</v>
      </c>
      <c r="BF48" s="824">
        <f t="shared" si="259"/>
        <v>0</v>
      </c>
      <c r="BG48" s="824">
        <f t="shared" si="259"/>
        <v>0</v>
      </c>
      <c r="BH48" s="824">
        <f t="shared" si="259"/>
        <v>0</v>
      </c>
      <c r="BI48" s="824">
        <f t="shared" si="259"/>
        <v>0</v>
      </c>
      <c r="BJ48" s="824">
        <f t="shared" si="259"/>
        <v>0</v>
      </c>
      <c r="BK48" s="824">
        <f t="shared" si="259"/>
        <v>0</v>
      </c>
      <c r="BL48" s="824">
        <f t="shared" si="259"/>
        <v>0</v>
      </c>
      <c r="BM48" s="824">
        <f t="shared" si="259"/>
        <v>0</v>
      </c>
      <c r="BN48" s="824">
        <f t="shared" si="259"/>
        <v>0</v>
      </c>
      <c r="BO48" s="824">
        <f t="shared" si="259"/>
        <v>0</v>
      </c>
      <c r="BP48" s="824">
        <f t="shared" si="259"/>
        <v>0</v>
      </c>
      <c r="BQ48" s="824">
        <f t="shared" si="259"/>
        <v>0</v>
      </c>
      <c r="BR48" s="824">
        <f t="shared" si="259"/>
        <v>0</v>
      </c>
      <c r="BS48" s="824">
        <f t="shared" si="259"/>
        <v>0</v>
      </c>
      <c r="BT48" s="824">
        <f t="shared" si="259"/>
        <v>0</v>
      </c>
      <c r="BU48" s="824">
        <f t="shared" si="259"/>
        <v>0</v>
      </c>
      <c r="BV48" s="824">
        <f t="shared" si="259"/>
        <v>0</v>
      </c>
      <c r="BW48" s="824">
        <f t="shared" si="259"/>
        <v>0</v>
      </c>
      <c r="BX48" s="824">
        <f t="shared" si="259"/>
        <v>0</v>
      </c>
      <c r="BY48" s="824">
        <f t="shared" si="259"/>
        <v>0</v>
      </c>
      <c r="BZ48" s="824">
        <f t="shared" si="259"/>
        <v>0</v>
      </c>
      <c r="CA48" s="824">
        <f t="shared" si="259"/>
        <v>86991</v>
      </c>
      <c r="CB48" s="824">
        <f t="shared" si="259"/>
        <v>18947</v>
      </c>
      <c r="CC48" s="824">
        <f t="shared" si="259"/>
        <v>0</v>
      </c>
      <c r="CD48" s="824">
        <f t="shared" si="259"/>
        <v>0</v>
      </c>
      <c r="CE48" s="824">
        <f t="shared" si="259"/>
        <v>0</v>
      </c>
      <c r="CF48" s="824">
        <f t="shared" si="259"/>
        <v>23128</v>
      </c>
      <c r="CG48" s="824">
        <f t="shared" si="259"/>
        <v>5293</v>
      </c>
      <c r="CH48" s="824">
        <f t="shared" si="259"/>
        <v>0</v>
      </c>
      <c r="CI48" s="824">
        <f t="shared" ref="CI48:ET48" si="260">SUM(CI10:CI47)</f>
        <v>0</v>
      </c>
      <c r="CJ48" s="824">
        <f t="shared" si="260"/>
        <v>0</v>
      </c>
      <c r="CK48" s="824">
        <f t="shared" si="260"/>
        <v>0</v>
      </c>
      <c r="CL48" s="824">
        <f t="shared" si="260"/>
        <v>0</v>
      </c>
      <c r="CM48" s="824">
        <f t="shared" si="260"/>
        <v>0</v>
      </c>
      <c r="CN48" s="824">
        <f t="shared" si="260"/>
        <v>0</v>
      </c>
      <c r="CO48" s="824">
        <f t="shared" si="260"/>
        <v>0</v>
      </c>
      <c r="CP48" s="824">
        <f t="shared" si="260"/>
        <v>0</v>
      </c>
      <c r="CQ48" s="824">
        <f t="shared" si="260"/>
        <v>0</v>
      </c>
      <c r="CR48" s="824">
        <f t="shared" si="260"/>
        <v>0</v>
      </c>
      <c r="CS48" s="824">
        <f t="shared" si="260"/>
        <v>0</v>
      </c>
      <c r="CT48" s="824">
        <f t="shared" si="260"/>
        <v>0</v>
      </c>
      <c r="CU48" s="824">
        <f t="shared" si="260"/>
        <v>110119</v>
      </c>
      <c r="CV48" s="824">
        <f t="shared" si="260"/>
        <v>24240</v>
      </c>
      <c r="CW48" s="824">
        <f t="shared" si="260"/>
        <v>0</v>
      </c>
      <c r="CX48" s="824">
        <f t="shared" si="260"/>
        <v>0</v>
      </c>
      <c r="CY48" s="824">
        <f t="shared" si="260"/>
        <v>0</v>
      </c>
      <c r="CZ48" s="824">
        <f t="shared" si="260"/>
        <v>0</v>
      </c>
      <c r="DA48" s="824">
        <f t="shared" si="260"/>
        <v>0</v>
      </c>
      <c r="DB48" s="824">
        <f t="shared" si="260"/>
        <v>0</v>
      </c>
      <c r="DC48" s="824">
        <f t="shared" si="260"/>
        <v>0</v>
      </c>
      <c r="DD48" s="824">
        <f t="shared" si="260"/>
        <v>0</v>
      </c>
      <c r="DE48" s="824">
        <f t="shared" si="260"/>
        <v>139</v>
      </c>
      <c r="DF48" s="824">
        <f t="shared" si="260"/>
        <v>23</v>
      </c>
      <c r="DG48" s="824">
        <f t="shared" si="260"/>
        <v>0</v>
      </c>
      <c r="DH48" s="824">
        <f t="shared" si="260"/>
        <v>0</v>
      </c>
      <c r="DI48" s="824">
        <f t="shared" si="260"/>
        <v>0</v>
      </c>
      <c r="DJ48" s="824">
        <f t="shared" si="260"/>
        <v>0</v>
      </c>
      <c r="DK48" s="824">
        <f t="shared" si="260"/>
        <v>0</v>
      </c>
      <c r="DL48" s="824">
        <f t="shared" si="260"/>
        <v>0</v>
      </c>
      <c r="DM48" s="824">
        <f t="shared" si="260"/>
        <v>0</v>
      </c>
      <c r="DN48" s="824">
        <f t="shared" si="260"/>
        <v>0</v>
      </c>
      <c r="DO48" s="824">
        <f t="shared" si="260"/>
        <v>0</v>
      </c>
      <c r="DP48" s="824">
        <f t="shared" si="260"/>
        <v>0</v>
      </c>
      <c r="DQ48" s="824">
        <f t="shared" si="260"/>
        <v>0</v>
      </c>
      <c r="DR48" s="824">
        <f t="shared" si="260"/>
        <v>0</v>
      </c>
      <c r="DS48" s="824">
        <f t="shared" si="260"/>
        <v>0</v>
      </c>
      <c r="DT48" s="824">
        <f t="shared" si="260"/>
        <v>0</v>
      </c>
      <c r="DU48" s="824">
        <f t="shared" si="260"/>
        <v>0</v>
      </c>
      <c r="DV48" s="824">
        <f t="shared" si="260"/>
        <v>0</v>
      </c>
      <c r="DW48" s="824">
        <f t="shared" si="260"/>
        <v>0</v>
      </c>
      <c r="DX48" s="824">
        <f t="shared" si="260"/>
        <v>0</v>
      </c>
      <c r="DY48" s="824">
        <f t="shared" si="260"/>
        <v>0</v>
      </c>
      <c r="DZ48" s="824">
        <f t="shared" si="260"/>
        <v>0</v>
      </c>
      <c r="EA48" s="824">
        <f t="shared" si="260"/>
        <v>0</v>
      </c>
      <c r="EB48" s="824">
        <f t="shared" si="260"/>
        <v>0</v>
      </c>
      <c r="EC48" s="824">
        <f t="shared" si="260"/>
        <v>0</v>
      </c>
      <c r="ED48" s="824">
        <f t="shared" si="260"/>
        <v>0</v>
      </c>
      <c r="EE48" s="824">
        <f t="shared" si="260"/>
        <v>0</v>
      </c>
      <c r="EF48" s="824">
        <f t="shared" si="260"/>
        <v>0</v>
      </c>
      <c r="EG48" s="824">
        <f t="shared" si="260"/>
        <v>0</v>
      </c>
      <c r="EH48" s="824">
        <f t="shared" si="260"/>
        <v>0</v>
      </c>
      <c r="EI48" s="824">
        <f t="shared" si="260"/>
        <v>0</v>
      </c>
      <c r="EJ48" s="824">
        <f t="shared" si="260"/>
        <v>0</v>
      </c>
      <c r="EK48" s="824">
        <f t="shared" si="260"/>
        <v>0</v>
      </c>
      <c r="EL48" s="824">
        <f t="shared" si="260"/>
        <v>0</v>
      </c>
      <c r="EM48" s="824">
        <f t="shared" si="260"/>
        <v>0</v>
      </c>
      <c r="EN48" s="824">
        <f t="shared" si="260"/>
        <v>0</v>
      </c>
      <c r="EO48" s="824">
        <f t="shared" si="260"/>
        <v>0</v>
      </c>
      <c r="EP48" s="824">
        <f t="shared" si="260"/>
        <v>0</v>
      </c>
      <c r="EQ48" s="824">
        <f t="shared" si="260"/>
        <v>0</v>
      </c>
      <c r="ER48" s="824">
        <f t="shared" si="260"/>
        <v>0</v>
      </c>
      <c r="ES48" s="824">
        <f t="shared" si="260"/>
        <v>0</v>
      </c>
      <c r="ET48" s="824">
        <f t="shared" si="260"/>
        <v>0</v>
      </c>
      <c r="EU48" s="824">
        <f t="shared" ref="EU48:HF48" si="261">SUM(EU10:EU47)</f>
        <v>0</v>
      </c>
      <c r="EV48" s="824">
        <f t="shared" si="261"/>
        <v>0</v>
      </c>
      <c r="EW48" s="824">
        <f t="shared" si="261"/>
        <v>0</v>
      </c>
      <c r="EX48" s="515">
        <f t="shared" si="261"/>
        <v>139</v>
      </c>
      <c r="EY48" s="515">
        <f t="shared" si="261"/>
        <v>23</v>
      </c>
      <c r="EZ48" s="515">
        <f t="shared" si="261"/>
        <v>0</v>
      </c>
      <c r="FA48" s="515">
        <f t="shared" si="261"/>
        <v>0</v>
      </c>
      <c r="FB48" s="515">
        <f t="shared" si="261"/>
        <v>0</v>
      </c>
      <c r="FC48" s="515">
        <f t="shared" si="261"/>
        <v>0</v>
      </c>
      <c r="FD48" s="515">
        <f t="shared" si="261"/>
        <v>0</v>
      </c>
      <c r="FE48" s="515">
        <f t="shared" si="261"/>
        <v>0</v>
      </c>
      <c r="FF48" s="515">
        <f t="shared" si="261"/>
        <v>0</v>
      </c>
      <c r="FG48" s="515">
        <f t="shared" si="261"/>
        <v>0</v>
      </c>
      <c r="FH48" s="515">
        <f t="shared" si="261"/>
        <v>0</v>
      </c>
      <c r="FI48" s="515">
        <f t="shared" si="261"/>
        <v>0</v>
      </c>
      <c r="FJ48" s="515">
        <f t="shared" si="261"/>
        <v>0</v>
      </c>
      <c r="FK48" s="515">
        <f t="shared" si="261"/>
        <v>0</v>
      </c>
      <c r="FL48" s="515">
        <f t="shared" si="261"/>
        <v>0</v>
      </c>
      <c r="FM48" s="515">
        <f t="shared" si="261"/>
        <v>0</v>
      </c>
      <c r="FN48" s="515">
        <f t="shared" si="261"/>
        <v>0</v>
      </c>
      <c r="FO48" s="515">
        <f t="shared" si="261"/>
        <v>0</v>
      </c>
      <c r="FP48" s="515">
        <f t="shared" si="261"/>
        <v>0</v>
      </c>
      <c r="FQ48" s="515">
        <f t="shared" si="261"/>
        <v>0</v>
      </c>
      <c r="FR48" s="515">
        <f t="shared" si="261"/>
        <v>0</v>
      </c>
      <c r="FS48" s="515">
        <f t="shared" si="261"/>
        <v>0</v>
      </c>
      <c r="FT48" s="515">
        <f t="shared" si="261"/>
        <v>0</v>
      </c>
      <c r="FU48" s="515">
        <f t="shared" si="261"/>
        <v>0</v>
      </c>
      <c r="FV48" s="515">
        <f t="shared" si="261"/>
        <v>0</v>
      </c>
      <c r="FW48" s="515">
        <f t="shared" si="261"/>
        <v>0</v>
      </c>
      <c r="FX48" s="515">
        <f t="shared" si="261"/>
        <v>0</v>
      </c>
      <c r="FY48" s="515">
        <f t="shared" si="261"/>
        <v>0</v>
      </c>
      <c r="FZ48" s="515">
        <f t="shared" si="261"/>
        <v>0</v>
      </c>
      <c r="GA48" s="515">
        <f t="shared" si="261"/>
        <v>0</v>
      </c>
      <c r="GB48" s="515">
        <f t="shared" si="261"/>
        <v>0</v>
      </c>
      <c r="GC48" s="515">
        <f t="shared" si="261"/>
        <v>0</v>
      </c>
      <c r="GD48" s="515">
        <f t="shared" si="261"/>
        <v>0</v>
      </c>
      <c r="GE48" s="515">
        <f t="shared" si="261"/>
        <v>0</v>
      </c>
      <c r="GF48" s="515">
        <f t="shared" si="261"/>
        <v>0</v>
      </c>
      <c r="GG48" s="515">
        <f t="shared" si="261"/>
        <v>0</v>
      </c>
      <c r="GH48" s="515">
        <f t="shared" si="261"/>
        <v>0</v>
      </c>
      <c r="GI48" s="515">
        <f t="shared" si="261"/>
        <v>0</v>
      </c>
      <c r="GJ48" s="515">
        <f t="shared" si="261"/>
        <v>0</v>
      </c>
      <c r="GK48" s="515">
        <f t="shared" si="261"/>
        <v>0</v>
      </c>
      <c r="GL48" s="515">
        <f t="shared" si="261"/>
        <v>0</v>
      </c>
      <c r="GM48" s="515">
        <f t="shared" si="261"/>
        <v>0</v>
      </c>
      <c r="GN48" s="515">
        <f t="shared" si="261"/>
        <v>0</v>
      </c>
      <c r="GO48" s="515">
        <f t="shared" si="261"/>
        <v>0</v>
      </c>
      <c r="GP48" s="515">
        <f t="shared" si="261"/>
        <v>0</v>
      </c>
      <c r="GQ48" s="515">
        <f t="shared" si="261"/>
        <v>0</v>
      </c>
      <c r="GR48" s="515">
        <f t="shared" si="261"/>
        <v>0</v>
      </c>
      <c r="GS48" s="515">
        <f t="shared" si="261"/>
        <v>0</v>
      </c>
      <c r="GT48" s="515">
        <f t="shared" si="261"/>
        <v>0</v>
      </c>
      <c r="GU48" s="515">
        <f t="shared" si="261"/>
        <v>0</v>
      </c>
      <c r="GV48" s="515">
        <f t="shared" si="261"/>
        <v>0</v>
      </c>
      <c r="GW48" s="515">
        <f t="shared" si="261"/>
        <v>0</v>
      </c>
      <c r="GX48" s="515">
        <f t="shared" si="261"/>
        <v>0</v>
      </c>
      <c r="GY48" s="515">
        <f t="shared" si="261"/>
        <v>0</v>
      </c>
      <c r="GZ48" s="515">
        <f t="shared" si="261"/>
        <v>0</v>
      </c>
      <c r="HA48" s="515">
        <f t="shared" si="261"/>
        <v>0</v>
      </c>
      <c r="HB48" s="515">
        <f t="shared" si="261"/>
        <v>0</v>
      </c>
      <c r="HC48" s="515">
        <f t="shared" si="261"/>
        <v>0</v>
      </c>
      <c r="HD48" s="515">
        <f t="shared" si="261"/>
        <v>0</v>
      </c>
      <c r="HE48" s="515">
        <f t="shared" si="261"/>
        <v>0</v>
      </c>
      <c r="HF48" s="515">
        <f t="shared" si="261"/>
        <v>0</v>
      </c>
      <c r="HG48" s="515">
        <f t="shared" ref="HG48:JR48" si="262">SUM(HG10:HG47)</f>
        <v>0</v>
      </c>
      <c r="HH48" s="515">
        <f t="shared" si="262"/>
        <v>0</v>
      </c>
      <c r="HI48" s="515">
        <f t="shared" si="262"/>
        <v>0</v>
      </c>
      <c r="HJ48" s="515">
        <f t="shared" si="262"/>
        <v>0</v>
      </c>
      <c r="HK48" s="515">
        <f t="shared" si="262"/>
        <v>0</v>
      </c>
      <c r="HL48" s="515">
        <f t="shared" si="262"/>
        <v>0</v>
      </c>
      <c r="HM48" s="515">
        <f t="shared" si="262"/>
        <v>0</v>
      </c>
      <c r="HN48" s="515">
        <f t="shared" si="262"/>
        <v>0</v>
      </c>
      <c r="HO48" s="515">
        <f t="shared" si="262"/>
        <v>0</v>
      </c>
      <c r="HP48" s="515">
        <f t="shared" si="262"/>
        <v>0</v>
      </c>
      <c r="HQ48" s="515">
        <f t="shared" si="262"/>
        <v>0</v>
      </c>
      <c r="HR48" s="515">
        <f t="shared" si="262"/>
        <v>0</v>
      </c>
      <c r="HS48" s="515">
        <f t="shared" si="262"/>
        <v>0</v>
      </c>
      <c r="HT48" s="515">
        <f t="shared" si="262"/>
        <v>0</v>
      </c>
      <c r="HU48" s="515">
        <f t="shared" si="262"/>
        <v>139</v>
      </c>
      <c r="HV48" s="515">
        <f t="shared" si="262"/>
        <v>23</v>
      </c>
      <c r="HW48" s="515">
        <f t="shared" si="262"/>
        <v>0</v>
      </c>
      <c r="HX48" s="515">
        <f t="shared" si="262"/>
        <v>0</v>
      </c>
      <c r="HY48" s="515">
        <f t="shared" si="262"/>
        <v>0</v>
      </c>
      <c r="HZ48" s="515">
        <f t="shared" si="262"/>
        <v>0</v>
      </c>
      <c r="IA48" s="515">
        <f t="shared" si="262"/>
        <v>0</v>
      </c>
      <c r="IB48" s="515">
        <f t="shared" si="262"/>
        <v>0</v>
      </c>
      <c r="IC48" s="515">
        <f t="shared" si="262"/>
        <v>0</v>
      </c>
      <c r="ID48" s="515">
        <f t="shared" si="262"/>
        <v>0</v>
      </c>
      <c r="IE48" s="515">
        <f t="shared" si="262"/>
        <v>0</v>
      </c>
      <c r="IF48" s="515">
        <f t="shared" si="262"/>
        <v>0</v>
      </c>
      <c r="IG48" s="515">
        <f t="shared" si="262"/>
        <v>0</v>
      </c>
      <c r="IH48" s="515">
        <f t="shared" si="262"/>
        <v>0</v>
      </c>
      <c r="II48" s="515">
        <f t="shared" si="262"/>
        <v>0</v>
      </c>
      <c r="IJ48" s="515">
        <f t="shared" si="262"/>
        <v>0</v>
      </c>
      <c r="IK48" s="515">
        <f t="shared" si="262"/>
        <v>0</v>
      </c>
      <c r="IL48" s="515">
        <f t="shared" si="262"/>
        <v>0</v>
      </c>
      <c r="IM48" s="515">
        <f t="shared" si="262"/>
        <v>0</v>
      </c>
      <c r="IN48" s="515">
        <f t="shared" si="262"/>
        <v>0</v>
      </c>
      <c r="IO48" s="515">
        <f t="shared" si="262"/>
        <v>0</v>
      </c>
      <c r="IP48" s="515">
        <f t="shared" si="262"/>
        <v>0</v>
      </c>
      <c r="IQ48" s="515">
        <f t="shared" si="262"/>
        <v>0</v>
      </c>
      <c r="IR48" s="515">
        <f t="shared" si="262"/>
        <v>0</v>
      </c>
      <c r="IS48" s="515">
        <f t="shared" si="262"/>
        <v>0</v>
      </c>
      <c r="IT48" s="515">
        <f t="shared" si="262"/>
        <v>0</v>
      </c>
      <c r="IU48" s="515">
        <f t="shared" si="262"/>
        <v>0</v>
      </c>
      <c r="IV48" s="515">
        <f t="shared" si="262"/>
        <v>0</v>
      </c>
      <c r="IW48" s="515">
        <f t="shared" si="262"/>
        <v>0</v>
      </c>
      <c r="IX48" s="515">
        <f t="shared" si="262"/>
        <v>0</v>
      </c>
      <c r="IY48" s="515">
        <f t="shared" si="262"/>
        <v>0</v>
      </c>
      <c r="IZ48" s="515">
        <f t="shared" si="262"/>
        <v>0</v>
      </c>
      <c r="JA48" s="515">
        <f t="shared" si="262"/>
        <v>0</v>
      </c>
      <c r="JB48" s="515">
        <f t="shared" si="262"/>
        <v>0</v>
      </c>
      <c r="JC48" s="515">
        <f t="shared" si="262"/>
        <v>0</v>
      </c>
      <c r="JD48" s="515">
        <f t="shared" si="262"/>
        <v>0</v>
      </c>
      <c r="JE48" s="515">
        <f t="shared" si="262"/>
        <v>0</v>
      </c>
      <c r="JF48" s="515">
        <f t="shared" si="262"/>
        <v>0</v>
      </c>
      <c r="JG48" s="515">
        <f t="shared" si="262"/>
        <v>0</v>
      </c>
      <c r="JH48" s="515">
        <f t="shared" si="262"/>
        <v>0</v>
      </c>
      <c r="JI48" s="515">
        <f t="shared" si="262"/>
        <v>139</v>
      </c>
      <c r="JJ48" s="515">
        <f t="shared" si="262"/>
        <v>23</v>
      </c>
      <c r="JK48" s="515">
        <f t="shared" si="262"/>
        <v>0</v>
      </c>
      <c r="JL48" s="515">
        <f t="shared" si="262"/>
        <v>0</v>
      </c>
      <c r="JM48" s="515">
        <f t="shared" si="262"/>
        <v>0</v>
      </c>
      <c r="JN48" s="515">
        <f t="shared" si="262"/>
        <v>0</v>
      </c>
      <c r="JO48" s="515">
        <f t="shared" si="262"/>
        <v>0</v>
      </c>
      <c r="JP48" s="515">
        <f t="shared" si="262"/>
        <v>0</v>
      </c>
      <c r="JQ48" s="515">
        <f t="shared" si="262"/>
        <v>0</v>
      </c>
      <c r="JR48" s="824">
        <f t="shared" si="262"/>
        <v>0</v>
      </c>
      <c r="JT48" s="503"/>
      <c r="JU48" s="503"/>
      <c r="JV48" s="503"/>
      <c r="JW48" s="503"/>
      <c r="JX48" s="503"/>
      <c r="JY48" s="503"/>
      <c r="JZ48" s="503"/>
      <c r="KA48" s="503"/>
      <c r="KB48" s="503"/>
      <c r="KC48" s="503"/>
      <c r="KD48" s="503"/>
      <c r="KE48" s="503"/>
      <c r="KF48" s="503"/>
      <c r="KG48" s="503"/>
      <c r="KH48" s="503"/>
      <c r="KI48" s="503"/>
      <c r="KJ48" s="503"/>
    </row>
    <row r="49" spans="1:296" s="158" customFormat="1" ht="12" customHeight="1">
      <c r="B49" s="533"/>
      <c r="D49" s="15"/>
      <c r="E49" s="175"/>
      <c r="F49" s="175"/>
      <c r="G49" s="821"/>
      <c r="H49" s="821"/>
      <c r="I49" s="821"/>
      <c r="J49" s="821"/>
      <c r="K49" s="149" t="s">
        <v>853</v>
      </c>
      <c r="L49" s="133">
        <f>L48*12</f>
        <v>1421388</v>
      </c>
      <c r="M49" s="100"/>
      <c r="N49" s="822"/>
      <c r="O49" s="100"/>
      <c r="P49" s="100"/>
      <c r="Q49" s="100"/>
      <c r="R49" s="100"/>
      <c r="S49" s="100"/>
      <c r="T49" s="100"/>
      <c r="U49" s="100"/>
      <c r="V49" s="824"/>
      <c r="W49" s="824"/>
      <c r="X49" s="824"/>
      <c r="Y49" s="824"/>
      <c r="Z49" s="824"/>
      <c r="AA49" s="824"/>
      <c r="AB49" s="824"/>
      <c r="AC49" s="824"/>
      <c r="AD49" s="824"/>
      <c r="AE49" s="824"/>
      <c r="AF49" s="824"/>
      <c r="AG49" s="824"/>
      <c r="AH49" s="824"/>
      <c r="AI49" s="824"/>
      <c r="AJ49" s="824"/>
      <c r="AK49" s="824"/>
      <c r="AL49" s="824"/>
      <c r="AM49" s="824"/>
      <c r="AN49" s="824"/>
      <c r="AO49" s="824"/>
      <c r="AP49" s="824"/>
      <c r="AQ49" s="824"/>
      <c r="AR49" s="824"/>
      <c r="AS49" s="824"/>
      <c r="AT49" s="824"/>
      <c r="AU49" s="824"/>
      <c r="AV49" s="824"/>
      <c r="AW49" s="824"/>
      <c r="AX49" s="824"/>
      <c r="AY49" s="824"/>
      <c r="AZ49" s="824"/>
      <c r="BA49" s="824"/>
      <c r="BB49" s="824"/>
      <c r="BC49" s="824"/>
      <c r="BD49" s="824"/>
      <c r="BE49" s="824"/>
      <c r="BF49" s="824"/>
      <c r="BG49" s="824"/>
      <c r="BH49" s="824"/>
      <c r="BI49" s="824"/>
      <c r="BJ49" s="824"/>
      <c r="BK49" s="824"/>
      <c r="BL49" s="824"/>
      <c r="BM49" s="824"/>
      <c r="BN49" s="824"/>
      <c r="BO49" s="824"/>
      <c r="BP49" s="824"/>
      <c r="BQ49" s="824"/>
      <c r="BR49" s="824"/>
      <c r="BS49" s="824"/>
      <c r="BT49" s="824"/>
      <c r="BU49" s="824"/>
      <c r="BV49" s="824"/>
      <c r="BW49" s="824"/>
      <c r="BX49" s="824"/>
      <c r="BY49" s="824"/>
      <c r="BZ49" s="824"/>
      <c r="CA49" s="824"/>
      <c r="CB49" s="824"/>
      <c r="CC49" s="824"/>
      <c r="CD49" s="824"/>
      <c r="CE49" s="824"/>
      <c r="CF49" s="824"/>
      <c r="CG49" s="824"/>
      <c r="CH49" s="824"/>
      <c r="CI49" s="824"/>
      <c r="CJ49" s="824"/>
      <c r="CK49" s="824"/>
      <c r="CL49" s="824"/>
      <c r="CM49" s="824"/>
      <c r="CN49" s="824"/>
      <c r="CO49" s="824"/>
      <c r="CP49" s="824"/>
      <c r="CQ49" s="824"/>
      <c r="CR49" s="824"/>
      <c r="CS49" s="824"/>
      <c r="CT49" s="824"/>
      <c r="CU49" s="824"/>
      <c r="CV49" s="824"/>
      <c r="CW49" s="824"/>
      <c r="CX49" s="824"/>
      <c r="CY49" s="824"/>
      <c r="CZ49" s="824"/>
      <c r="DA49" s="824"/>
      <c r="DB49" s="824"/>
      <c r="DC49" s="824"/>
      <c r="DD49" s="824"/>
      <c r="DE49" s="824"/>
      <c r="DF49" s="824"/>
      <c r="DG49" s="824"/>
      <c r="DH49" s="824"/>
      <c r="DI49" s="824"/>
      <c r="DJ49" s="824"/>
      <c r="DK49" s="824"/>
      <c r="DL49" s="824"/>
      <c r="DM49" s="824"/>
      <c r="DN49" s="824"/>
      <c r="DO49" s="824"/>
      <c r="DP49" s="824"/>
      <c r="DQ49" s="824"/>
      <c r="DR49" s="824"/>
      <c r="DS49" s="824"/>
      <c r="DT49" s="824"/>
      <c r="DU49" s="824"/>
      <c r="DV49" s="824"/>
      <c r="DW49" s="824"/>
      <c r="DX49" s="824"/>
      <c r="DY49" s="824"/>
      <c r="DZ49" s="824"/>
      <c r="EA49" s="824"/>
      <c r="EB49" s="824"/>
      <c r="EC49" s="824"/>
      <c r="ED49" s="824"/>
      <c r="EE49" s="824"/>
      <c r="EF49" s="824"/>
      <c r="EG49" s="824"/>
      <c r="EH49" s="824"/>
      <c r="EI49" s="824"/>
      <c r="EJ49" s="824"/>
      <c r="EK49" s="824"/>
      <c r="EL49" s="824"/>
      <c r="EM49" s="824"/>
      <c r="EN49" s="824"/>
      <c r="EO49" s="824"/>
      <c r="EP49" s="824"/>
      <c r="EQ49" s="824"/>
      <c r="ER49" s="824"/>
      <c r="ES49" s="824"/>
      <c r="ET49" s="824"/>
      <c r="EU49" s="824"/>
      <c r="EV49" s="824"/>
      <c r="EW49" s="824"/>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c r="II49" s="515"/>
      <c r="IJ49" s="515"/>
      <c r="IK49" s="515"/>
      <c r="IL49" s="515"/>
      <c r="IM49" s="515"/>
      <c r="IN49" s="515"/>
      <c r="IO49" s="515"/>
      <c r="IP49" s="515"/>
      <c r="IQ49" s="515"/>
      <c r="IR49" s="515"/>
      <c r="IS49" s="515"/>
      <c r="IT49" s="515"/>
      <c r="IU49" s="515"/>
      <c r="IV49" s="515"/>
      <c r="IW49" s="515"/>
      <c r="IX49" s="515"/>
      <c r="IY49" s="515"/>
      <c r="IZ49" s="515"/>
      <c r="JA49" s="515"/>
      <c r="JB49" s="515"/>
      <c r="JC49" s="503"/>
      <c r="JD49" s="503"/>
      <c r="JE49" s="503"/>
      <c r="JF49" s="503"/>
      <c r="JG49" s="503"/>
      <c r="JH49" s="503"/>
      <c r="JI49" s="503"/>
      <c r="JJ49" s="503"/>
      <c r="JK49" s="503"/>
      <c r="JL49" s="503"/>
      <c r="JM49" s="503"/>
      <c r="JN49" s="503"/>
      <c r="JO49" s="503"/>
      <c r="JP49" s="503"/>
      <c r="JQ49" s="503"/>
      <c r="JT49" s="503"/>
      <c r="JU49" s="503"/>
      <c r="JV49" s="503"/>
      <c r="JW49" s="503"/>
      <c r="JX49" s="503"/>
      <c r="JY49" s="503"/>
      <c r="JZ49" s="503"/>
      <c r="KA49" s="503"/>
      <c r="KB49" s="503"/>
      <c r="KC49" s="503"/>
      <c r="KD49" s="503"/>
      <c r="KE49" s="503"/>
      <c r="KF49" s="503"/>
      <c r="KG49" s="503"/>
      <c r="KH49" s="503"/>
      <c r="KI49" s="503"/>
      <c r="KJ49" s="503"/>
    </row>
    <row r="50" spans="1:296" ht="3" customHeight="1">
      <c r="A50" s="439"/>
      <c r="B50" s="5"/>
      <c r="D50" s="15"/>
      <c r="E50" s="175"/>
      <c r="F50" s="175"/>
      <c r="G50" s="128"/>
      <c r="H50" s="128"/>
      <c r="I50" s="128"/>
      <c r="J50" s="128"/>
      <c r="K50" s="15"/>
      <c r="L50" s="175"/>
      <c r="M50" s="1"/>
      <c r="N50" s="34"/>
      <c r="O50" s="96"/>
      <c r="P50" s="96"/>
      <c r="Q50" s="96"/>
      <c r="R50" s="96"/>
      <c r="S50" s="96"/>
      <c r="T50" s="96"/>
      <c r="U50" s="96"/>
      <c r="V50" s="321"/>
      <c r="W50" s="824"/>
      <c r="X50" s="824"/>
      <c r="Y50" s="824"/>
      <c r="Z50" s="824"/>
      <c r="AA50" s="824"/>
      <c r="AB50" s="824"/>
      <c r="AC50" s="824"/>
      <c r="AD50" s="824"/>
      <c r="AE50" s="824"/>
      <c r="AF50" s="824"/>
      <c r="AG50" s="824"/>
      <c r="AH50" s="824"/>
      <c r="AI50" s="824"/>
      <c r="AJ50" s="824"/>
      <c r="AK50" s="824"/>
      <c r="AL50" s="824"/>
      <c r="AM50" s="824"/>
      <c r="AN50" s="824"/>
      <c r="AO50" s="824"/>
      <c r="AP50" s="824"/>
      <c r="AQ50" s="824"/>
      <c r="AR50" s="824"/>
      <c r="AS50" s="824"/>
      <c r="AT50" s="824"/>
      <c r="AU50" s="824"/>
      <c r="AV50" s="824"/>
      <c r="AW50" s="824"/>
      <c r="AX50" s="824"/>
      <c r="AY50" s="824"/>
      <c r="AZ50" s="824"/>
      <c r="BA50" s="824"/>
      <c r="BB50" s="824"/>
      <c r="BC50" s="824"/>
      <c r="BD50" s="824"/>
      <c r="BE50" s="824"/>
      <c r="BF50" s="824"/>
      <c r="BG50" s="824"/>
      <c r="BH50" s="824"/>
      <c r="BI50" s="824"/>
      <c r="BJ50" s="824"/>
      <c r="BK50" s="824"/>
      <c r="BL50" s="824"/>
      <c r="BM50" s="824"/>
      <c r="BN50" s="824"/>
      <c r="BO50" s="824"/>
      <c r="BP50" s="824"/>
      <c r="BQ50" s="824"/>
      <c r="BR50" s="824"/>
      <c r="BS50" s="824"/>
      <c r="BT50" s="824"/>
      <c r="BU50" s="824"/>
      <c r="BV50" s="824"/>
      <c r="BW50" s="824"/>
      <c r="BX50" s="824"/>
      <c r="BY50" s="824"/>
      <c r="BZ50" s="824"/>
      <c r="CA50" s="824"/>
      <c r="CB50" s="824"/>
      <c r="CC50" s="824"/>
      <c r="CD50" s="824"/>
      <c r="CE50" s="824"/>
      <c r="CF50" s="824"/>
      <c r="CG50" s="824"/>
      <c r="CH50" s="824"/>
      <c r="CI50" s="824"/>
      <c r="CJ50" s="824"/>
      <c r="CK50" s="824"/>
      <c r="CL50" s="824"/>
      <c r="CM50" s="824"/>
      <c r="CN50" s="824"/>
      <c r="CO50" s="824"/>
      <c r="CP50" s="824"/>
      <c r="CQ50" s="824"/>
      <c r="CR50" s="824"/>
      <c r="CS50" s="824"/>
      <c r="CT50" s="824"/>
      <c r="CU50" s="824"/>
      <c r="CV50" s="824"/>
      <c r="CW50" s="824"/>
      <c r="CX50" s="824"/>
      <c r="CY50" s="824"/>
      <c r="CZ50" s="824"/>
      <c r="DA50" s="824"/>
      <c r="DB50" s="824"/>
      <c r="DC50" s="824"/>
      <c r="DD50" s="824"/>
      <c r="DE50" s="824"/>
      <c r="DF50" s="824"/>
      <c r="DG50" s="824"/>
      <c r="DH50" s="824"/>
      <c r="DI50" s="824"/>
      <c r="DJ50" s="824"/>
      <c r="DK50" s="824"/>
      <c r="DL50" s="824"/>
      <c r="DM50" s="824"/>
      <c r="DN50" s="824"/>
      <c r="DO50" s="824"/>
      <c r="DP50" s="824"/>
      <c r="DQ50" s="824"/>
      <c r="DR50" s="824"/>
      <c r="DS50" s="824"/>
      <c r="DT50" s="824"/>
      <c r="DU50" s="824"/>
      <c r="DV50" s="824"/>
      <c r="DW50" s="824"/>
      <c r="DX50" s="824"/>
      <c r="DY50" s="824"/>
      <c r="DZ50" s="824"/>
      <c r="EA50" s="824"/>
      <c r="EB50" s="824"/>
      <c r="EC50" s="824"/>
      <c r="ED50" s="824"/>
      <c r="EE50" s="824"/>
      <c r="EF50" s="824"/>
      <c r="EG50" s="824"/>
      <c r="EH50" s="824"/>
      <c r="EI50" s="824"/>
      <c r="EJ50" s="824"/>
      <c r="EK50" s="824"/>
      <c r="EL50" s="824"/>
      <c r="EM50" s="824"/>
      <c r="EN50" s="824"/>
      <c r="EO50" s="824"/>
      <c r="EP50" s="824"/>
      <c r="EQ50" s="824"/>
      <c r="ER50" s="824"/>
      <c r="ES50" s="824"/>
      <c r="ET50" s="824"/>
      <c r="EU50" s="824"/>
      <c r="EV50" s="824"/>
      <c r="EW50" s="824"/>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c r="II50" s="515"/>
      <c r="IJ50" s="515"/>
      <c r="IK50" s="515"/>
      <c r="IL50" s="515"/>
      <c r="IM50" s="515"/>
      <c r="IN50" s="515"/>
      <c r="IO50" s="515"/>
      <c r="IP50" s="515"/>
      <c r="IQ50" s="515"/>
      <c r="IR50" s="515"/>
      <c r="IS50" s="515"/>
      <c r="IT50" s="515"/>
      <c r="IU50" s="515"/>
      <c r="IV50" s="515"/>
      <c r="IW50" s="515"/>
      <c r="IX50" s="515"/>
      <c r="IY50" s="515"/>
      <c r="IZ50" s="515"/>
      <c r="JA50" s="515"/>
      <c r="JB50" s="515"/>
    </row>
    <row r="51" spans="1:296" ht="12" customHeight="1">
      <c r="A51" s="2413" t="s">
        <v>2721</v>
      </c>
      <c r="B51" s="3233"/>
      <c r="C51" s="3233"/>
      <c r="D51" s="3233"/>
      <c r="E51" s="3233"/>
      <c r="F51" s="3233"/>
      <c r="G51" s="3233"/>
      <c r="H51" s="3233"/>
      <c r="I51" s="3233"/>
      <c r="J51" s="3233"/>
      <c r="K51" s="3233"/>
      <c r="L51" s="3233"/>
      <c r="M51" s="3233"/>
      <c r="N51" s="3233"/>
      <c r="O51" s="3233"/>
      <c r="P51" s="3233"/>
      <c r="Q51" s="3234"/>
      <c r="R51" s="96"/>
      <c r="S51" s="96"/>
      <c r="T51" s="96"/>
      <c r="U51" s="96"/>
      <c r="V51" s="321"/>
      <c r="W51" s="824"/>
      <c r="X51" s="824"/>
      <c r="Y51" s="824"/>
      <c r="Z51" s="824"/>
      <c r="AA51" s="824"/>
      <c r="AB51" s="824"/>
      <c r="AC51" s="824"/>
      <c r="AD51" s="824"/>
      <c r="AE51" s="824"/>
      <c r="AF51" s="824"/>
      <c r="AG51" s="824"/>
      <c r="AH51" s="824"/>
      <c r="AI51" s="824"/>
      <c r="AJ51" s="824"/>
      <c r="AK51" s="824"/>
      <c r="AL51" s="824"/>
      <c r="AM51" s="824"/>
      <c r="AN51" s="824"/>
      <c r="AO51" s="824"/>
      <c r="AP51" s="824"/>
      <c r="AQ51" s="824"/>
      <c r="AR51" s="824"/>
      <c r="AS51" s="824"/>
      <c r="AT51" s="824"/>
      <c r="AU51" s="824"/>
      <c r="AV51" s="824"/>
      <c r="AW51" s="824"/>
      <c r="AX51" s="824"/>
      <c r="AY51" s="824"/>
      <c r="AZ51" s="824"/>
      <c r="BA51" s="824"/>
      <c r="BB51" s="824"/>
      <c r="BC51" s="824"/>
      <c r="BD51" s="824"/>
      <c r="BE51" s="824"/>
      <c r="BF51" s="824"/>
      <c r="BG51" s="824"/>
      <c r="BH51" s="824"/>
      <c r="BI51" s="824"/>
      <c r="BJ51" s="824"/>
      <c r="BK51" s="824"/>
      <c r="BL51" s="824"/>
      <c r="BM51" s="824"/>
      <c r="BN51" s="824"/>
      <c r="BO51" s="824"/>
      <c r="BP51" s="824"/>
      <c r="BQ51" s="824"/>
      <c r="BR51" s="824"/>
      <c r="BS51" s="824"/>
      <c r="BT51" s="824"/>
      <c r="BU51" s="824"/>
      <c r="BV51" s="824"/>
      <c r="BW51" s="824"/>
      <c r="BX51" s="824"/>
      <c r="BY51" s="824"/>
      <c r="BZ51" s="824"/>
      <c r="CA51" s="824"/>
      <c r="CB51" s="824"/>
      <c r="CC51" s="824"/>
      <c r="CD51" s="824"/>
      <c r="CE51" s="824"/>
      <c r="CF51" s="824"/>
      <c r="CG51" s="824"/>
      <c r="CH51" s="824"/>
      <c r="CI51" s="824"/>
      <c r="CJ51" s="824"/>
      <c r="CK51" s="824"/>
      <c r="CL51" s="824"/>
      <c r="CM51" s="824"/>
      <c r="CN51" s="824"/>
      <c r="CO51" s="824"/>
      <c r="CP51" s="824"/>
      <c r="CQ51" s="824"/>
      <c r="CR51" s="824"/>
      <c r="CS51" s="824"/>
      <c r="CT51" s="824"/>
      <c r="CU51" s="824"/>
      <c r="CV51" s="824"/>
      <c r="CW51" s="824"/>
      <c r="CX51" s="824"/>
      <c r="CY51" s="824"/>
      <c r="CZ51" s="824"/>
      <c r="DA51" s="824"/>
      <c r="DB51" s="824"/>
      <c r="DC51" s="824"/>
      <c r="DD51" s="824"/>
      <c r="DE51" s="824"/>
      <c r="DF51" s="824"/>
      <c r="DG51" s="824"/>
      <c r="DH51" s="824"/>
      <c r="DI51" s="824"/>
      <c r="DJ51" s="824"/>
      <c r="DK51" s="824"/>
      <c r="DL51" s="824"/>
      <c r="DM51" s="824"/>
      <c r="DN51" s="824"/>
      <c r="DO51" s="824"/>
      <c r="DP51" s="824"/>
      <c r="DQ51" s="824"/>
      <c r="DR51" s="824"/>
      <c r="DS51" s="824"/>
      <c r="DT51" s="824"/>
      <c r="DU51" s="824"/>
      <c r="DV51" s="824"/>
      <c r="DW51" s="824"/>
      <c r="DX51" s="824"/>
      <c r="DY51" s="824"/>
      <c r="DZ51" s="824"/>
      <c r="EA51" s="824"/>
      <c r="EB51" s="824"/>
      <c r="EC51" s="824"/>
      <c r="ED51" s="824"/>
      <c r="EE51" s="824"/>
      <c r="EF51" s="824"/>
      <c r="EG51" s="824"/>
      <c r="EH51" s="824"/>
      <c r="EI51" s="824"/>
      <c r="EJ51" s="824"/>
      <c r="EK51" s="824"/>
      <c r="EL51" s="824"/>
      <c r="EM51" s="824"/>
      <c r="EN51" s="824"/>
      <c r="EO51" s="824"/>
      <c r="EP51" s="824"/>
      <c r="EQ51" s="824"/>
      <c r="ER51" s="824"/>
      <c r="ES51" s="824"/>
      <c r="ET51" s="824"/>
      <c r="EU51" s="824"/>
      <c r="EV51" s="824"/>
      <c r="EW51" s="824"/>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c r="II51" s="515"/>
      <c r="IJ51" s="515"/>
      <c r="IK51" s="515"/>
      <c r="IL51" s="515"/>
      <c r="IM51" s="515"/>
      <c r="IN51" s="515"/>
      <c r="IO51" s="515"/>
      <c r="IP51" s="515"/>
      <c r="IQ51" s="515"/>
      <c r="IR51" s="515"/>
      <c r="IS51" s="515"/>
      <c r="IT51" s="515"/>
      <c r="IU51" s="515"/>
      <c r="IV51" s="515"/>
      <c r="IW51" s="515"/>
      <c r="IX51" s="515"/>
      <c r="IY51" s="515"/>
      <c r="IZ51" s="515"/>
      <c r="JA51" s="515"/>
      <c r="JB51" s="515"/>
    </row>
    <row r="52" spans="1:296" ht="12" customHeight="1">
      <c r="A52" s="3233"/>
      <c r="B52" s="3233"/>
      <c r="C52" s="3233"/>
      <c r="D52" s="3233"/>
      <c r="E52" s="3233"/>
      <c r="F52" s="3233"/>
      <c r="G52" s="3233"/>
      <c r="H52" s="3233"/>
      <c r="I52" s="3233"/>
      <c r="J52" s="3233"/>
      <c r="K52" s="3233"/>
      <c r="L52" s="3233"/>
      <c r="M52" s="3233"/>
      <c r="N52" s="3233"/>
      <c r="O52" s="3233"/>
      <c r="P52" s="3233"/>
      <c r="Q52" s="3234"/>
      <c r="R52" s="96"/>
      <c r="S52" s="96"/>
      <c r="T52" s="96"/>
      <c r="U52" s="96"/>
      <c r="V52" s="321"/>
      <c r="W52" s="824"/>
      <c r="X52" s="824"/>
      <c r="Y52" s="824"/>
      <c r="Z52" s="824"/>
      <c r="AA52" s="824"/>
      <c r="AB52" s="824"/>
      <c r="AC52" s="824"/>
      <c r="AD52" s="824"/>
      <c r="AE52" s="824"/>
      <c r="AF52" s="824"/>
      <c r="AG52" s="824"/>
      <c r="AH52" s="824"/>
      <c r="AI52" s="824"/>
      <c r="AJ52" s="824"/>
      <c r="AK52" s="824"/>
      <c r="AL52" s="824"/>
      <c r="AM52" s="824"/>
      <c r="AN52" s="824"/>
      <c r="AO52" s="824"/>
      <c r="AP52" s="824"/>
      <c r="AQ52" s="824"/>
      <c r="AR52" s="824"/>
      <c r="AS52" s="824"/>
      <c r="AT52" s="824"/>
      <c r="AU52" s="824"/>
      <c r="AV52" s="824"/>
      <c r="AW52" s="824"/>
      <c r="AX52" s="824"/>
      <c r="AY52" s="824"/>
      <c r="AZ52" s="824"/>
      <c r="BA52" s="824"/>
      <c r="BB52" s="824"/>
      <c r="BC52" s="824"/>
      <c r="BD52" s="824"/>
      <c r="BE52" s="824"/>
      <c r="BF52" s="824"/>
      <c r="BG52" s="824"/>
      <c r="BH52" s="824"/>
      <c r="BI52" s="824"/>
      <c r="BJ52" s="824"/>
      <c r="BK52" s="824"/>
      <c r="BL52" s="824"/>
      <c r="BM52" s="824"/>
      <c r="BN52" s="824"/>
      <c r="BO52" s="824"/>
      <c r="BP52" s="824"/>
      <c r="BQ52" s="824"/>
      <c r="BR52" s="824"/>
      <c r="BS52" s="824"/>
      <c r="BT52" s="824"/>
      <c r="BU52" s="824"/>
      <c r="BV52" s="824"/>
      <c r="BW52" s="824"/>
      <c r="BX52" s="824"/>
      <c r="BY52" s="824"/>
      <c r="BZ52" s="824"/>
      <c r="CA52" s="824"/>
      <c r="CB52" s="824"/>
      <c r="CC52" s="824"/>
      <c r="CD52" s="824"/>
      <c r="CE52" s="824"/>
      <c r="CF52" s="824"/>
      <c r="CG52" s="824"/>
      <c r="CH52" s="824"/>
      <c r="CI52" s="824"/>
      <c r="CJ52" s="824"/>
      <c r="CK52" s="824"/>
      <c r="CL52" s="824"/>
      <c r="CM52" s="824"/>
      <c r="CN52" s="824"/>
      <c r="CO52" s="824"/>
      <c r="CP52" s="824"/>
      <c r="CQ52" s="824"/>
      <c r="CR52" s="824"/>
      <c r="CS52" s="824"/>
      <c r="CT52" s="824"/>
      <c r="CU52" s="824"/>
      <c r="CV52" s="824"/>
      <c r="CW52" s="824"/>
      <c r="CX52" s="824"/>
      <c r="CY52" s="824"/>
      <c r="CZ52" s="824"/>
      <c r="DA52" s="824"/>
      <c r="DB52" s="824"/>
      <c r="DC52" s="824"/>
      <c r="DD52" s="824"/>
      <c r="DE52" s="824"/>
      <c r="DF52" s="824"/>
      <c r="DG52" s="824"/>
      <c r="DH52" s="824"/>
      <c r="DI52" s="824"/>
      <c r="DJ52" s="824"/>
      <c r="DK52" s="824"/>
      <c r="DL52" s="824"/>
      <c r="DM52" s="824"/>
      <c r="DN52" s="824"/>
      <c r="DO52" s="824"/>
      <c r="DP52" s="824"/>
      <c r="DQ52" s="824"/>
      <c r="DR52" s="824"/>
      <c r="DS52" s="824"/>
      <c r="DT52" s="824"/>
      <c r="DU52" s="824"/>
      <c r="DV52" s="824"/>
      <c r="DW52" s="824"/>
      <c r="DX52" s="824"/>
      <c r="DY52" s="824"/>
      <c r="DZ52" s="824"/>
      <c r="EA52" s="824"/>
      <c r="EB52" s="824"/>
      <c r="EC52" s="824"/>
      <c r="ED52" s="824"/>
      <c r="EE52" s="824"/>
      <c r="EF52" s="824"/>
      <c r="EG52" s="824"/>
      <c r="EH52" s="824"/>
      <c r="EI52" s="824"/>
      <c r="EJ52" s="824"/>
      <c r="EK52" s="824"/>
      <c r="EL52" s="824"/>
      <c r="EM52" s="824"/>
      <c r="EN52" s="824"/>
      <c r="EO52" s="824"/>
      <c r="EP52" s="824"/>
      <c r="EQ52" s="824"/>
      <c r="ER52" s="824"/>
      <c r="ES52" s="824"/>
      <c r="ET52" s="824"/>
      <c r="EU52" s="824"/>
      <c r="EV52" s="824"/>
      <c r="EW52" s="824"/>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c r="IW52" s="515"/>
      <c r="IX52" s="515"/>
      <c r="IY52" s="515"/>
      <c r="IZ52" s="515"/>
      <c r="JA52" s="515"/>
      <c r="JB52" s="515"/>
    </row>
    <row r="53" spans="1:296" ht="14.45" customHeight="1">
      <c r="A53" s="14" t="s">
        <v>777</v>
      </c>
      <c r="B53" s="14" t="s">
        <v>559</v>
      </c>
      <c r="O53" s="87"/>
      <c r="R53" s="2414"/>
      <c r="S53" s="536"/>
      <c r="T53" s="536"/>
      <c r="U53" s="4" t="str">
        <f>B53</f>
        <v>UNIT SUMMARY</v>
      </c>
      <c r="V53" s="453" t="s">
        <v>559</v>
      </c>
      <c r="W53" s="531"/>
      <c r="X53" s="531"/>
      <c r="Y53" s="531"/>
      <c r="Z53" s="531"/>
      <c r="AA53" s="531"/>
      <c r="AB53" s="531"/>
      <c r="AC53" s="531"/>
      <c r="AD53" s="531"/>
      <c r="AE53" s="531"/>
      <c r="AF53" s="531"/>
      <c r="AG53" s="531"/>
      <c r="AH53" s="531"/>
      <c r="AI53" s="100"/>
      <c r="IL53" s="516"/>
      <c r="JA53" s="503"/>
    </row>
    <row r="54" spans="1:296" ht="3" customHeight="1">
      <c r="A54" s="14"/>
      <c r="B54" s="14"/>
      <c r="O54" s="87"/>
      <c r="R54" s="2415"/>
      <c r="S54" s="537"/>
      <c r="T54" s="537"/>
      <c r="U54" s="135"/>
      <c r="V54" s="453"/>
      <c r="W54" s="531"/>
      <c r="X54" s="531"/>
      <c r="Y54" s="531"/>
      <c r="Z54" s="531"/>
      <c r="AA54" s="531"/>
      <c r="AB54" s="531"/>
      <c r="AC54" s="531"/>
      <c r="AD54" s="531"/>
      <c r="AE54" s="531"/>
      <c r="AF54" s="531"/>
      <c r="AG54" s="531"/>
      <c r="AH54" s="531"/>
      <c r="AI54" s="100"/>
      <c r="IL54" s="516"/>
      <c r="JA54" s="503"/>
    </row>
    <row r="55" spans="1:296" ht="14.45" customHeight="1">
      <c r="A55" s="14"/>
      <c r="B55" s="14" t="s">
        <v>1184</v>
      </c>
      <c r="H55" s="87"/>
      <c r="I55" s="87"/>
      <c r="J55" s="129" t="s">
        <v>593</v>
      </c>
      <c r="K55" s="129" t="s">
        <v>560</v>
      </c>
      <c r="L55" s="129" t="s">
        <v>561</v>
      </c>
      <c r="M55" s="129" t="s">
        <v>562</v>
      </c>
      <c r="N55" s="129" t="s">
        <v>563</v>
      </c>
      <c r="O55" s="129" t="s">
        <v>564</v>
      </c>
      <c r="R55" s="2415"/>
      <c r="S55" s="537"/>
      <c r="T55" s="537"/>
      <c r="U55" s="2293" t="s">
        <v>1925</v>
      </c>
      <c r="V55" s="2293"/>
      <c r="W55" s="531"/>
      <c r="X55" s="531"/>
      <c r="Y55" s="531"/>
      <c r="Z55" s="531"/>
      <c r="AA55" s="531"/>
      <c r="AB55" s="1462"/>
      <c r="AC55" s="1462"/>
      <c r="AD55" s="1462"/>
      <c r="AE55" s="1462"/>
      <c r="AF55" s="1462"/>
      <c r="AG55" s="1462"/>
      <c r="AH55" s="531"/>
      <c r="AI55" s="100"/>
      <c r="IL55" s="516"/>
      <c r="JA55" s="503"/>
    </row>
    <row r="56" spans="1:296" ht="12" customHeight="1">
      <c r="C56" s="100" t="s">
        <v>1186</v>
      </c>
      <c r="D56" s="1"/>
      <c r="E56" s="1"/>
      <c r="F56" s="1"/>
      <c r="G56" s="87"/>
      <c r="H56" s="37" t="s">
        <v>1198</v>
      </c>
      <c r="I56" s="87"/>
      <c r="J56" s="861">
        <f>W48</f>
        <v>0</v>
      </c>
      <c r="K56" s="861">
        <f>X48</f>
        <v>111</v>
      </c>
      <c r="L56" s="861">
        <f>Y48</f>
        <v>18</v>
      </c>
      <c r="M56" s="861">
        <f>Z48</f>
        <v>0</v>
      </c>
      <c r="N56" s="861">
        <f>AA48</f>
        <v>0</v>
      </c>
      <c r="O56" s="861">
        <f t="shared" ref="O56:O62" si="263">SUM(J56:N56)</f>
        <v>129</v>
      </c>
      <c r="P56" s="2418" t="s">
        <v>4460</v>
      </c>
      <c r="Q56" s="2034"/>
      <c r="R56" s="454"/>
      <c r="S56" s="454"/>
      <c r="T56" s="454"/>
      <c r="U56" s="3153"/>
      <c r="V56" s="3154"/>
      <c r="W56" s="533"/>
      <c r="X56" s="533"/>
      <c r="Y56" s="533"/>
      <c r="Z56" s="533"/>
      <c r="AA56" s="54"/>
      <c r="AB56" s="821"/>
      <c r="AC56" s="821"/>
      <c r="AD56" s="821"/>
      <c r="AE56" s="821"/>
      <c r="AF56" s="821"/>
      <c r="AG56" s="821"/>
      <c r="AH56" s="54"/>
      <c r="AI56" s="100"/>
      <c r="IL56" s="516"/>
      <c r="JA56" s="503"/>
    </row>
    <row r="57" spans="1:296" ht="12" customHeight="1">
      <c r="A57" s="2425" t="s">
        <v>460</v>
      </c>
      <c r="B57" s="2425"/>
      <c r="C57" s="4"/>
      <c r="D57" s="1"/>
      <c r="E57" s="1"/>
      <c r="F57" s="1"/>
      <c r="G57" s="87"/>
      <c r="H57" s="37" t="s">
        <v>120</v>
      </c>
      <c r="I57" s="87"/>
      <c r="J57" s="862">
        <f>AB48</f>
        <v>0</v>
      </c>
      <c r="K57" s="862">
        <f>AC48</f>
        <v>28</v>
      </c>
      <c r="L57" s="862">
        <f>AD48</f>
        <v>5</v>
      </c>
      <c r="M57" s="862">
        <f>AE48</f>
        <v>0</v>
      </c>
      <c r="N57" s="862">
        <f>AF48</f>
        <v>0</v>
      </c>
      <c r="O57" s="862">
        <f t="shared" si="263"/>
        <v>33</v>
      </c>
      <c r="P57" s="2418"/>
      <c r="Q57" s="2034"/>
      <c r="R57" s="454"/>
      <c r="S57" s="454"/>
      <c r="T57" s="454"/>
      <c r="U57" s="3155"/>
      <c r="V57" s="3156"/>
      <c r="W57" s="10"/>
      <c r="X57" s="533"/>
      <c r="Y57" s="533"/>
      <c r="Z57" s="533"/>
      <c r="AA57" s="54"/>
      <c r="AB57" s="821"/>
      <c r="AC57" s="821"/>
      <c r="AD57" s="821"/>
      <c r="AE57" s="821"/>
      <c r="AF57" s="821"/>
      <c r="AG57" s="821"/>
      <c r="AH57" s="54"/>
      <c r="AI57" s="100"/>
      <c r="IL57" s="516"/>
      <c r="JA57" s="503"/>
    </row>
    <row r="58" spans="1:296" ht="12" customHeight="1">
      <c r="A58" s="2425"/>
      <c r="B58" s="2425"/>
      <c r="C58" s="4"/>
      <c r="D58" s="1"/>
      <c r="E58" s="1"/>
      <c r="F58" s="1"/>
      <c r="G58" s="87"/>
      <c r="H58" s="37" t="s">
        <v>564</v>
      </c>
      <c r="I58" s="87"/>
      <c r="J58" s="861">
        <f>SUM(J56:J57)</f>
        <v>0</v>
      </c>
      <c r="K58" s="861">
        <f>SUM(K56:K57)</f>
        <v>139</v>
      </c>
      <c r="L58" s="861">
        <f>SUM(L56:L57)</f>
        <v>23</v>
      </c>
      <c r="M58" s="861">
        <f>SUM(M56:M57)</f>
        <v>0</v>
      </c>
      <c r="N58" s="861">
        <f>SUM(N56:N57)</f>
        <v>0</v>
      </c>
      <c r="O58" s="861">
        <f t="shared" si="263"/>
        <v>162</v>
      </c>
      <c r="P58" s="2418"/>
      <c r="R58" s="454"/>
      <c r="S58" s="454"/>
      <c r="T58" s="454"/>
      <c r="U58" s="3155"/>
      <c r="V58" s="3156"/>
      <c r="W58" s="10"/>
      <c r="X58" s="533"/>
      <c r="Y58" s="533"/>
      <c r="Z58" s="533"/>
      <c r="AA58" s="54"/>
      <c r="AB58" s="821"/>
      <c r="AC58" s="821"/>
      <c r="AD58" s="821"/>
      <c r="AE58" s="821"/>
      <c r="AF58" s="821"/>
      <c r="AG58" s="821"/>
      <c r="AH58" s="54"/>
      <c r="AI58" s="100"/>
      <c r="IL58" s="516"/>
      <c r="JA58" s="503"/>
    </row>
    <row r="59" spans="1:296" ht="12" customHeight="1">
      <c r="A59" s="2425"/>
      <c r="B59" s="2425"/>
      <c r="C59" s="100" t="s">
        <v>317</v>
      </c>
      <c r="D59" s="1"/>
      <c r="E59" s="1"/>
      <c r="F59" s="1"/>
      <c r="G59" s="87"/>
      <c r="H59" s="37"/>
      <c r="I59" s="87"/>
      <c r="J59" s="863">
        <f>AL48</f>
        <v>0</v>
      </c>
      <c r="K59" s="863">
        <f>AM48</f>
        <v>0</v>
      </c>
      <c r="L59" s="863">
        <f>AN48</f>
        <v>0</v>
      </c>
      <c r="M59" s="863">
        <f>AO48</f>
        <v>0</v>
      </c>
      <c r="N59" s="863">
        <f>AP48</f>
        <v>0</v>
      </c>
      <c r="O59" s="863">
        <f t="shared" si="263"/>
        <v>0</v>
      </c>
      <c r="R59" s="454"/>
      <c r="S59" s="454"/>
      <c r="T59" s="454"/>
      <c r="U59" s="3155"/>
      <c r="V59" s="3156"/>
      <c r="W59" s="100"/>
      <c r="X59" s="533"/>
      <c r="Y59" s="533"/>
      <c r="Z59" s="533"/>
      <c r="AA59" s="54"/>
      <c r="AB59" s="821"/>
      <c r="AC59" s="821"/>
      <c r="AD59" s="821"/>
      <c r="AE59" s="821"/>
      <c r="AF59" s="821"/>
      <c r="AG59" s="821"/>
      <c r="AH59" s="463"/>
      <c r="AI59" s="100"/>
      <c r="IL59" s="516"/>
      <c r="JA59" s="503"/>
    </row>
    <row r="60" spans="1:296" ht="12" customHeight="1">
      <c r="A60" s="2425"/>
      <c r="B60" s="2425"/>
      <c r="C60" s="100" t="s">
        <v>1187</v>
      </c>
      <c r="D60" s="1"/>
      <c r="E60" s="1"/>
      <c r="F60" s="1"/>
      <c r="G60" s="87"/>
      <c r="H60" s="37"/>
      <c r="I60" s="87"/>
      <c r="J60" s="861">
        <f>SUM(J58:J59)</f>
        <v>0</v>
      </c>
      <c r="K60" s="861">
        <f>SUM(K58:K59)</f>
        <v>139</v>
      </c>
      <c r="L60" s="861">
        <f>SUM(L58:L59)</f>
        <v>23</v>
      </c>
      <c r="M60" s="861">
        <f>SUM(M58:M59)</f>
        <v>0</v>
      </c>
      <c r="N60" s="861">
        <f>SUM(N58:N59)</f>
        <v>0</v>
      </c>
      <c r="O60" s="861">
        <f t="shared" si="263"/>
        <v>162</v>
      </c>
      <c r="R60" s="454"/>
      <c r="S60" s="454"/>
      <c r="T60" s="454"/>
      <c r="U60" s="3155"/>
      <c r="V60" s="3156"/>
      <c r="W60" s="533"/>
      <c r="X60" s="533"/>
      <c r="Y60" s="533"/>
      <c r="Z60" s="533"/>
      <c r="AA60" s="54"/>
      <c r="AB60" s="821"/>
      <c r="AC60" s="821"/>
      <c r="AD60" s="821"/>
      <c r="AE60" s="821"/>
      <c r="AF60" s="821"/>
      <c r="AG60" s="821"/>
      <c r="AH60" s="463"/>
      <c r="AI60" s="100"/>
      <c r="IL60" s="516"/>
      <c r="JA60" s="503"/>
    </row>
    <row r="61" spans="1:296" ht="12" customHeight="1">
      <c r="A61" s="2425"/>
      <c r="B61" s="2425"/>
      <c r="C61" s="100" t="s">
        <v>2610</v>
      </c>
      <c r="D61" s="1"/>
      <c r="E61" s="1"/>
      <c r="F61" s="1"/>
      <c r="G61" s="87"/>
      <c r="H61" s="37"/>
      <c r="I61" s="87"/>
      <c r="J61" s="863">
        <f>BU48</f>
        <v>0</v>
      </c>
      <c r="K61" s="863">
        <f>BV48</f>
        <v>0</v>
      </c>
      <c r="L61" s="863">
        <f>BW48</f>
        <v>0</v>
      </c>
      <c r="M61" s="863">
        <f>BX48</f>
        <v>0</v>
      </c>
      <c r="N61" s="863">
        <f>BY48</f>
        <v>0</v>
      </c>
      <c r="O61" s="863">
        <f t="shared" si="263"/>
        <v>0</v>
      </c>
      <c r="P61" s="608" t="s">
        <v>4461</v>
      </c>
      <c r="R61" s="454"/>
      <c r="S61" s="454"/>
      <c r="T61" s="454"/>
      <c r="U61" s="3155"/>
      <c r="V61" s="3156"/>
      <c r="W61" s="533"/>
      <c r="X61" s="533"/>
      <c r="Y61" s="533"/>
      <c r="Z61" s="533"/>
      <c r="AA61" s="54"/>
      <c r="AB61" s="821"/>
      <c r="AC61" s="821"/>
      <c r="AD61" s="821"/>
      <c r="AE61" s="821"/>
      <c r="AF61" s="821"/>
      <c r="AG61" s="821"/>
      <c r="AH61" s="54"/>
      <c r="AI61" s="100"/>
      <c r="IL61" s="516"/>
      <c r="JA61" s="503"/>
    </row>
    <row r="62" spans="1:296" ht="12" customHeight="1">
      <c r="A62" s="2425"/>
      <c r="B62" s="2425"/>
      <c r="C62" s="100" t="s">
        <v>564</v>
      </c>
      <c r="D62" s="1"/>
      <c r="E62" s="1"/>
      <c r="F62" s="1"/>
      <c r="G62" s="87"/>
      <c r="H62" s="37"/>
      <c r="I62" s="87"/>
      <c r="J62" s="864">
        <f>SUM(J60:J61)</f>
        <v>0</v>
      </c>
      <c r="K62" s="864">
        <f>SUM(K60:K61)</f>
        <v>139</v>
      </c>
      <c r="L62" s="864">
        <f>SUM(L60:L61)</f>
        <v>23</v>
      </c>
      <c r="M62" s="864">
        <f>SUM(M60:M61)</f>
        <v>0</v>
      </c>
      <c r="N62" s="864">
        <f>SUM(N60:N61)</f>
        <v>0</v>
      </c>
      <c r="O62" s="864">
        <f t="shared" si="263"/>
        <v>162</v>
      </c>
      <c r="R62" s="454"/>
      <c r="S62" s="454"/>
      <c r="T62" s="454"/>
      <c r="U62" s="3158"/>
      <c r="V62" s="3159"/>
      <c r="W62" s="533"/>
      <c r="X62" s="533"/>
      <c r="Y62" s="533"/>
      <c r="Z62" s="533"/>
      <c r="AA62" s="54"/>
      <c r="AB62" s="821"/>
      <c r="AC62" s="821"/>
      <c r="AD62" s="821"/>
      <c r="AE62" s="821"/>
      <c r="AF62" s="821"/>
      <c r="AG62" s="821"/>
      <c r="AH62" s="531"/>
      <c r="AI62" s="100"/>
      <c r="IL62" s="516"/>
      <c r="JA62" s="503"/>
    </row>
    <row r="63" spans="1:296" ht="9" customHeight="1">
      <c r="A63" s="2425"/>
      <c r="B63" s="2425"/>
      <c r="C63" s="100"/>
      <c r="D63" s="1"/>
      <c r="E63" s="1"/>
      <c r="F63" s="1"/>
      <c r="G63" s="87"/>
      <c r="H63" s="37"/>
      <c r="I63" s="87"/>
      <c r="J63" s="865"/>
      <c r="K63" s="865"/>
      <c r="L63" s="865"/>
      <c r="M63" s="865"/>
      <c r="N63" s="865"/>
      <c r="O63" s="865"/>
      <c r="R63" s="454"/>
      <c r="S63" s="454"/>
      <c r="T63" s="454"/>
      <c r="U63" s="345" t="str">
        <f>C64</f>
        <v>PBRA-Assisted</v>
      </c>
      <c r="V63" s="164"/>
      <c r="W63" s="533"/>
      <c r="X63" s="533"/>
      <c r="Y63" s="533"/>
      <c r="Z63" s="533"/>
      <c r="AA63" s="54"/>
      <c r="AB63" s="533"/>
      <c r="AC63" s="533"/>
      <c r="AD63" s="533"/>
      <c r="AE63" s="533"/>
      <c r="AF63" s="533"/>
      <c r="AG63" s="533"/>
      <c r="AH63" s="531"/>
      <c r="AI63" s="100"/>
      <c r="IL63" s="516"/>
      <c r="JA63" s="503"/>
    </row>
    <row r="64" spans="1:296" ht="12" customHeight="1">
      <c r="A64" s="2425"/>
      <c r="B64" s="2425"/>
      <c r="C64" s="100" t="s">
        <v>974</v>
      </c>
      <c r="D64" s="1"/>
      <c r="E64" s="116"/>
      <c r="F64" s="1"/>
      <c r="G64" s="87"/>
      <c r="H64" s="37" t="s">
        <v>1198</v>
      </c>
      <c r="I64" s="87"/>
      <c r="J64" s="861">
        <f>BA48</f>
        <v>0</v>
      </c>
      <c r="K64" s="861">
        <f>BB48</f>
        <v>111</v>
      </c>
      <c r="L64" s="861">
        <f>BC48</f>
        <v>18</v>
      </c>
      <c r="M64" s="861">
        <f>BD48</f>
        <v>0</v>
      </c>
      <c r="N64" s="861">
        <f>BE48</f>
        <v>0</v>
      </c>
      <c r="O64" s="861">
        <f>SUM(J64:N64)</f>
        <v>129</v>
      </c>
      <c r="R64" s="454"/>
      <c r="S64" s="454"/>
      <c r="T64" s="454"/>
      <c r="U64" s="3153"/>
      <c r="V64" s="3154"/>
      <c r="W64" s="533"/>
      <c r="X64" s="533"/>
      <c r="Y64" s="109"/>
      <c r="Z64" s="533"/>
      <c r="AA64" s="54"/>
      <c r="AB64" s="821"/>
      <c r="AC64" s="821"/>
      <c r="AD64" s="821"/>
      <c r="AE64" s="821"/>
      <c r="AF64" s="821"/>
      <c r="AG64" s="821"/>
      <c r="AH64" s="54"/>
      <c r="AI64" s="100"/>
      <c r="IL64" s="516"/>
      <c r="JA64" s="503"/>
    </row>
    <row r="65" spans="1:261" ht="12" customHeight="1">
      <c r="A65" s="2425"/>
      <c r="B65" s="2425"/>
      <c r="C65" s="37" t="s">
        <v>2611</v>
      </c>
      <c r="D65" s="1"/>
      <c r="E65" s="116"/>
      <c r="F65" s="1"/>
      <c r="G65" s="87"/>
      <c r="H65" s="37" t="s">
        <v>120</v>
      </c>
      <c r="I65" s="87"/>
      <c r="J65" s="862">
        <f>AV48</f>
        <v>0</v>
      </c>
      <c r="K65" s="862">
        <f>AW48</f>
        <v>28</v>
      </c>
      <c r="L65" s="862">
        <f>AX48</f>
        <v>5</v>
      </c>
      <c r="M65" s="862">
        <f>AY48</f>
        <v>0</v>
      </c>
      <c r="N65" s="862">
        <f>AZ48</f>
        <v>0</v>
      </c>
      <c r="O65" s="866">
        <f>SUM(J65:N65)</f>
        <v>33</v>
      </c>
      <c r="R65" s="454"/>
      <c r="S65" s="454"/>
      <c r="T65" s="454"/>
      <c r="U65" s="3155"/>
      <c r="V65" s="3156"/>
      <c r="W65" s="54"/>
      <c r="X65" s="533"/>
      <c r="Y65" s="109"/>
      <c r="Z65" s="533"/>
      <c r="AA65" s="54"/>
      <c r="AB65" s="821"/>
      <c r="AC65" s="821"/>
      <c r="AD65" s="821"/>
      <c r="AE65" s="821"/>
      <c r="AF65" s="821"/>
      <c r="AG65" s="821"/>
      <c r="AH65" s="54"/>
      <c r="AI65" s="100"/>
      <c r="IL65" s="516"/>
      <c r="JA65" s="503"/>
    </row>
    <row r="66" spans="1:261" ht="12" customHeight="1">
      <c r="A66" s="2425"/>
      <c r="B66" s="2425"/>
      <c r="C66" s="4"/>
      <c r="D66" s="1"/>
      <c r="E66" s="116"/>
      <c r="F66" s="1"/>
      <c r="G66" s="87"/>
      <c r="H66" s="37" t="s">
        <v>564</v>
      </c>
      <c r="I66" s="87"/>
      <c r="J66" s="864">
        <f>SUM(J64:J65)</f>
        <v>0</v>
      </c>
      <c r="K66" s="864">
        <f>SUM(K64:K65)</f>
        <v>139</v>
      </c>
      <c r="L66" s="864">
        <f>SUM(L64:L65)</f>
        <v>23</v>
      </c>
      <c r="M66" s="864">
        <f>SUM(M64:M65)</f>
        <v>0</v>
      </c>
      <c r="N66" s="864">
        <f>SUM(N64:N65)</f>
        <v>0</v>
      </c>
      <c r="O66" s="864">
        <f>SUM(J66:N66)</f>
        <v>162</v>
      </c>
      <c r="R66" s="454"/>
      <c r="S66" s="454"/>
      <c r="T66" s="454"/>
      <c r="U66" s="3158"/>
      <c r="V66" s="3159"/>
      <c r="W66" s="10"/>
      <c r="X66" s="533"/>
      <c r="Y66" s="109"/>
      <c r="Z66" s="533"/>
      <c r="AA66" s="54"/>
      <c r="AB66" s="821"/>
      <c r="AC66" s="821"/>
      <c r="AD66" s="821"/>
      <c r="AE66" s="821"/>
      <c r="AF66" s="821"/>
      <c r="AG66" s="821"/>
      <c r="AH66" s="54"/>
      <c r="AI66" s="100"/>
      <c r="IL66" s="516"/>
      <c r="JA66" s="503"/>
    </row>
    <row r="67" spans="1:261" ht="9" customHeight="1">
      <c r="A67" s="2425"/>
      <c r="B67" s="2425"/>
      <c r="C67" s="1"/>
      <c r="D67" s="1"/>
      <c r="E67" s="1"/>
      <c r="F67" s="1"/>
      <c r="G67" s="87"/>
      <c r="H67" s="37"/>
      <c r="I67" s="87"/>
      <c r="J67" s="865"/>
      <c r="K67" s="865"/>
      <c r="L67" s="865"/>
      <c r="M67" s="865"/>
      <c r="N67" s="865"/>
      <c r="O67" s="865"/>
      <c r="R67" s="454"/>
      <c r="S67" s="454"/>
      <c r="T67" s="454"/>
      <c r="U67" s="345" t="str">
        <f>C68</f>
        <v>PHA Operating Subsidy-Assisted</v>
      </c>
      <c r="V67" s="164"/>
      <c r="W67" s="533"/>
      <c r="X67" s="533"/>
      <c r="Y67" s="533"/>
      <c r="Z67" s="533"/>
      <c r="AA67" s="54"/>
      <c r="AB67" s="533"/>
      <c r="AC67" s="533"/>
      <c r="AD67" s="533"/>
      <c r="AE67" s="533"/>
      <c r="AF67" s="533"/>
      <c r="AG67" s="533"/>
      <c r="AH67" s="531"/>
      <c r="AI67" s="100"/>
      <c r="IL67" s="516"/>
      <c r="JA67" s="503"/>
    </row>
    <row r="68" spans="1:261" ht="12" customHeight="1">
      <c r="A68" s="2425"/>
      <c r="B68" s="2425"/>
      <c r="C68" s="2426" t="s">
        <v>930</v>
      </c>
      <c r="D68" s="2426"/>
      <c r="E68" s="2426"/>
      <c r="F68" s="1"/>
      <c r="G68" s="87"/>
      <c r="H68" s="37" t="s">
        <v>1198</v>
      </c>
      <c r="I68" s="87"/>
      <c r="J68" s="861">
        <f>BP48</f>
        <v>0</v>
      </c>
      <c r="K68" s="861">
        <f>BQ48</f>
        <v>0</v>
      </c>
      <c r="L68" s="861">
        <f>BR48</f>
        <v>0</v>
      </c>
      <c r="M68" s="861">
        <f>BS48</f>
        <v>0</v>
      </c>
      <c r="N68" s="861">
        <f>BT48</f>
        <v>0</v>
      </c>
      <c r="O68" s="861">
        <f>SUM(J68:N68)</f>
        <v>0</v>
      </c>
      <c r="R68" s="454"/>
      <c r="S68" s="454"/>
      <c r="T68" s="454"/>
      <c r="U68" s="3153"/>
      <c r="V68" s="3154"/>
      <c r="W68" s="100"/>
      <c r="X68" s="533"/>
      <c r="Y68" s="109"/>
      <c r="Z68" s="533"/>
      <c r="AA68" s="54"/>
      <c r="AB68" s="821"/>
      <c r="AC68" s="821"/>
      <c r="AD68" s="821"/>
      <c r="AE68" s="821"/>
      <c r="AF68" s="821"/>
      <c r="AG68" s="821"/>
      <c r="AH68" s="54"/>
      <c r="AI68" s="100"/>
      <c r="IL68" s="516"/>
      <c r="JA68" s="503"/>
    </row>
    <row r="69" spans="1:261" ht="12" customHeight="1">
      <c r="A69" s="2425"/>
      <c r="B69" s="2425"/>
      <c r="C69" s="2426"/>
      <c r="D69" s="2426"/>
      <c r="E69" s="2426"/>
      <c r="F69" s="1"/>
      <c r="G69" s="87"/>
      <c r="H69" s="37" t="s">
        <v>120</v>
      </c>
      <c r="I69" s="87"/>
      <c r="J69" s="862">
        <f>BK48</f>
        <v>0</v>
      </c>
      <c r="K69" s="862">
        <f>BL48</f>
        <v>0</v>
      </c>
      <c r="L69" s="862">
        <f>BM48</f>
        <v>0</v>
      </c>
      <c r="M69" s="862">
        <f>BN48</f>
        <v>0</v>
      </c>
      <c r="N69" s="862">
        <f>BO48</f>
        <v>0</v>
      </c>
      <c r="O69" s="866">
        <f>SUM(J69:N69)</f>
        <v>0</v>
      </c>
      <c r="R69" s="454"/>
      <c r="S69" s="454"/>
      <c r="T69" s="454"/>
      <c r="U69" s="3155"/>
      <c r="V69" s="3156"/>
      <c r="W69" s="37"/>
      <c r="X69" s="533"/>
      <c r="Y69" s="109"/>
      <c r="Z69" s="533"/>
      <c r="AA69" s="54"/>
      <c r="AB69" s="821"/>
      <c r="AC69" s="821"/>
      <c r="AD69" s="821"/>
      <c r="AE69" s="821"/>
      <c r="AF69" s="821"/>
      <c r="AG69" s="821"/>
      <c r="AH69" s="54"/>
      <c r="AI69" s="100"/>
      <c r="IL69" s="516"/>
      <c r="JA69" s="503"/>
    </row>
    <row r="70" spans="1:261" ht="12" customHeight="1">
      <c r="A70" s="2425"/>
      <c r="B70" s="2425"/>
      <c r="C70" s="37" t="s">
        <v>2611</v>
      </c>
      <c r="D70" s="1"/>
      <c r="E70" s="116"/>
      <c r="F70" s="1"/>
      <c r="G70" s="87"/>
      <c r="H70" s="37" t="s">
        <v>564</v>
      </c>
      <c r="I70" s="87"/>
      <c r="J70" s="864">
        <f>SUM(J68:J69)</f>
        <v>0</v>
      </c>
      <c r="K70" s="864">
        <f>SUM(K68:K69)</f>
        <v>0</v>
      </c>
      <c r="L70" s="864">
        <f>SUM(L68:L69)</f>
        <v>0</v>
      </c>
      <c r="M70" s="864">
        <f>SUM(M68:M69)</f>
        <v>0</v>
      </c>
      <c r="N70" s="864">
        <f>SUM(N68:N69)</f>
        <v>0</v>
      </c>
      <c r="O70" s="864">
        <f>SUM(J70:N70)</f>
        <v>0</v>
      </c>
      <c r="R70" s="454"/>
      <c r="S70" s="454"/>
      <c r="T70" s="454"/>
      <c r="U70" s="3158"/>
      <c r="V70" s="3159"/>
      <c r="W70" s="10"/>
      <c r="X70" s="533"/>
      <c r="Y70" s="109"/>
      <c r="Z70" s="533"/>
      <c r="AA70" s="54"/>
      <c r="AB70" s="821"/>
      <c r="AC70" s="821"/>
      <c r="AD70" s="821"/>
      <c r="AE70" s="821"/>
      <c r="AF70" s="821"/>
      <c r="AG70" s="821"/>
      <c r="AH70" s="54"/>
      <c r="AI70" s="100"/>
      <c r="IL70" s="516"/>
      <c r="JA70" s="503"/>
    </row>
    <row r="71" spans="1:261" ht="9" customHeight="1">
      <c r="A71" s="2425"/>
      <c r="B71" s="2425"/>
      <c r="D71" s="878"/>
      <c r="E71" s="116"/>
      <c r="F71" s="1"/>
      <c r="G71" s="87"/>
      <c r="H71" s="37"/>
      <c r="I71" s="87"/>
      <c r="J71" s="865"/>
      <c r="K71" s="865"/>
      <c r="L71" s="865"/>
      <c r="M71" s="865"/>
      <c r="N71" s="865"/>
      <c r="O71" s="865"/>
      <c r="R71" s="454"/>
      <c r="S71" s="454"/>
      <c r="T71" s="454"/>
      <c r="U71" s="345" t="str">
        <f>C72</f>
        <v>Type of Construction Activity</v>
      </c>
      <c r="V71" s="164"/>
      <c r="W71" s="533"/>
      <c r="X71" s="533"/>
      <c r="Y71" s="109"/>
      <c r="Z71" s="533"/>
      <c r="AA71" s="54"/>
      <c r="AB71" s="533"/>
      <c r="AC71" s="533"/>
      <c r="AD71" s="533"/>
      <c r="AE71" s="533"/>
      <c r="AF71" s="533"/>
      <c r="AG71" s="533"/>
      <c r="AH71" s="531"/>
      <c r="AI71" s="100"/>
      <c r="IL71" s="516"/>
      <c r="JA71" s="503"/>
    </row>
    <row r="72" spans="1:261" ht="12" customHeight="1">
      <c r="A72" s="2425"/>
      <c r="B72" s="2425"/>
      <c r="C72" s="2400" t="s">
        <v>40</v>
      </c>
      <c r="D72" s="2400"/>
      <c r="E72" s="109" t="s">
        <v>2386</v>
      </c>
      <c r="F72" s="1"/>
      <c r="G72" s="87"/>
      <c r="H72" s="37" t="s">
        <v>1494</v>
      </c>
      <c r="I72" s="87"/>
      <c r="J72" s="861">
        <f>DD48</f>
        <v>0</v>
      </c>
      <c r="K72" s="861">
        <f>DE48</f>
        <v>139</v>
      </c>
      <c r="L72" s="861">
        <f>DF48</f>
        <v>23</v>
      </c>
      <c r="M72" s="861">
        <f>DG48</f>
        <v>0</v>
      </c>
      <c r="N72" s="861">
        <f>DH48</f>
        <v>0</v>
      </c>
      <c r="O72" s="861">
        <f t="shared" ref="O72:O82" si="264">SUM(J72:N72)</f>
        <v>162</v>
      </c>
      <c r="R72" s="454"/>
      <c r="S72" s="454"/>
      <c r="T72" s="454"/>
      <c r="U72" s="3235"/>
      <c r="V72" s="3236"/>
      <c r="W72" s="533"/>
      <c r="X72" s="533"/>
      <c r="Y72" s="109"/>
      <c r="Z72" s="533"/>
      <c r="AA72" s="54"/>
      <c r="AB72" s="821"/>
      <c r="AC72" s="821"/>
      <c r="AD72" s="821"/>
      <c r="AE72" s="821"/>
      <c r="AF72" s="821"/>
      <c r="AG72" s="821"/>
      <c r="AH72" s="531"/>
      <c r="GT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c r="IA72" s="503"/>
      <c r="IB72" s="503"/>
      <c r="IC72" s="503"/>
      <c r="ID72" s="503"/>
      <c r="IL72" s="516"/>
      <c r="JA72" s="503"/>
    </row>
    <row r="73" spans="1:261" ht="12" customHeight="1">
      <c r="A73" s="2425"/>
      <c r="B73" s="2425"/>
      <c r="C73" s="2400"/>
      <c r="D73" s="2400"/>
      <c r="E73" s="116"/>
      <c r="F73" s="1"/>
      <c r="G73" s="87"/>
      <c r="H73" s="37" t="s">
        <v>317</v>
      </c>
      <c r="I73" s="87"/>
      <c r="J73" s="863">
        <f>DI48</f>
        <v>0</v>
      </c>
      <c r="K73" s="863">
        <f>DJ48</f>
        <v>0</v>
      </c>
      <c r="L73" s="863">
        <f>DK48</f>
        <v>0</v>
      </c>
      <c r="M73" s="863">
        <f>DL48</f>
        <v>0</v>
      </c>
      <c r="N73" s="863">
        <f>DM48</f>
        <v>0</v>
      </c>
      <c r="O73" s="863">
        <f t="shared" si="264"/>
        <v>0</v>
      </c>
      <c r="R73" s="454"/>
      <c r="S73" s="454"/>
      <c r="T73" s="454"/>
      <c r="U73" s="3237"/>
      <c r="V73" s="3238"/>
      <c r="W73" s="533"/>
      <c r="X73" s="533"/>
      <c r="Y73" s="109"/>
      <c r="Z73" s="533"/>
      <c r="AA73" s="54"/>
      <c r="AB73" s="821"/>
      <c r="AC73" s="821"/>
      <c r="AD73" s="821"/>
      <c r="AE73" s="821"/>
      <c r="AF73" s="821"/>
      <c r="AG73" s="821"/>
      <c r="AH73" s="463"/>
      <c r="AI73" s="100"/>
      <c r="IL73" s="516"/>
      <c r="JA73" s="503"/>
    </row>
    <row r="74" spans="1:261" ht="12" customHeight="1">
      <c r="A74" s="2425"/>
      <c r="B74" s="2425"/>
      <c r="C74" s="2400"/>
      <c r="D74" s="2400"/>
      <c r="E74" s="116"/>
      <c r="F74" s="1"/>
      <c r="G74" s="87"/>
      <c r="H74" s="37" t="s">
        <v>33</v>
      </c>
      <c r="I74" s="87"/>
      <c r="J74" s="864">
        <f>SUM(J72:J73)+DN48</f>
        <v>0</v>
      </c>
      <c r="K74" s="864">
        <f>SUM(K72:K73)+DO48</f>
        <v>139</v>
      </c>
      <c r="L74" s="864">
        <f>SUM(L72:L73)+DP48</f>
        <v>23</v>
      </c>
      <c r="M74" s="864">
        <f>SUM(M72:M73)+DQ48</f>
        <v>0</v>
      </c>
      <c r="N74" s="864">
        <f>SUM(N72:N73)+DR48</f>
        <v>0</v>
      </c>
      <c r="O74" s="864">
        <f t="shared" si="264"/>
        <v>162</v>
      </c>
      <c r="R74" s="454"/>
      <c r="S74" s="454"/>
      <c r="T74" s="454"/>
      <c r="U74" s="3237"/>
      <c r="V74" s="3238"/>
      <c r="W74" s="10"/>
      <c r="X74" s="533"/>
      <c r="Y74" s="109"/>
      <c r="Z74" s="533"/>
      <c r="AA74" s="37"/>
      <c r="AB74" s="821"/>
      <c r="AC74" s="821"/>
      <c r="AD74" s="821"/>
      <c r="AE74" s="821"/>
      <c r="AF74" s="821"/>
      <c r="AG74" s="821"/>
      <c r="AH74" s="54"/>
      <c r="AI74" s="100"/>
      <c r="IL74" s="516"/>
      <c r="JA74" s="503"/>
    </row>
    <row r="75" spans="1:261" ht="12" customHeight="1">
      <c r="A75" s="2425"/>
      <c r="B75" s="2425"/>
      <c r="C75" s="2400"/>
      <c r="D75" s="2400"/>
      <c r="E75" s="109" t="s">
        <v>2225</v>
      </c>
      <c r="F75" s="1"/>
      <c r="G75" s="87"/>
      <c r="H75" s="37" t="s">
        <v>1494</v>
      </c>
      <c r="I75" s="87"/>
      <c r="J75" s="861">
        <f>DS48</f>
        <v>0</v>
      </c>
      <c r="K75" s="861">
        <f>DT48</f>
        <v>0</v>
      </c>
      <c r="L75" s="861">
        <f>DU48</f>
        <v>0</v>
      </c>
      <c r="M75" s="861">
        <f>DV48</f>
        <v>0</v>
      </c>
      <c r="N75" s="861">
        <f>DW48</f>
        <v>0</v>
      </c>
      <c r="O75" s="861">
        <f t="shared" si="264"/>
        <v>0</v>
      </c>
      <c r="R75" s="454"/>
      <c r="S75" s="454"/>
      <c r="T75" s="454"/>
      <c r="U75" s="3237"/>
      <c r="V75" s="3238"/>
      <c r="W75" s="533"/>
      <c r="X75" s="533"/>
      <c r="Y75" s="109"/>
      <c r="Z75" s="533"/>
      <c r="AA75" s="54"/>
      <c r="AB75" s="821"/>
      <c r="AC75" s="821"/>
      <c r="AD75" s="821"/>
      <c r="AE75" s="821"/>
      <c r="AF75" s="821"/>
      <c r="AG75" s="821"/>
      <c r="AH75" s="531"/>
      <c r="GT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c r="IA75" s="503"/>
      <c r="IB75" s="503"/>
      <c r="IC75" s="503"/>
      <c r="ID75" s="503"/>
      <c r="IL75" s="516"/>
      <c r="JA75" s="503"/>
    </row>
    <row r="76" spans="1:261" ht="12" customHeight="1">
      <c r="A76" s="2425"/>
      <c r="B76" s="2425"/>
      <c r="C76" s="2400"/>
      <c r="D76" s="2400"/>
      <c r="E76" s="116"/>
      <c r="F76" s="1"/>
      <c r="G76" s="87"/>
      <c r="H76" s="37" t="s">
        <v>317</v>
      </c>
      <c r="I76" s="87"/>
      <c r="J76" s="863">
        <f>DX48</f>
        <v>0</v>
      </c>
      <c r="K76" s="863">
        <f>DY48</f>
        <v>0</v>
      </c>
      <c r="L76" s="863">
        <f>DZ48</f>
        <v>0</v>
      </c>
      <c r="M76" s="863">
        <f>EA48</f>
        <v>0</v>
      </c>
      <c r="N76" s="863">
        <f>EB48</f>
        <v>0</v>
      </c>
      <c r="O76" s="863">
        <f t="shared" si="264"/>
        <v>0</v>
      </c>
      <c r="R76" s="454"/>
      <c r="S76" s="454"/>
      <c r="T76" s="454"/>
      <c r="U76" s="3237"/>
      <c r="V76" s="3238"/>
      <c r="W76" s="533"/>
      <c r="X76" s="533"/>
      <c r="Y76" s="109"/>
      <c r="Z76" s="533"/>
      <c r="AA76" s="54"/>
      <c r="AB76" s="821"/>
      <c r="AC76" s="821"/>
      <c r="AD76" s="821"/>
      <c r="AE76" s="821"/>
      <c r="AF76" s="821"/>
      <c r="AG76" s="821"/>
      <c r="AH76" s="463"/>
      <c r="AI76" s="100"/>
      <c r="IL76" s="516"/>
      <c r="JA76" s="503"/>
    </row>
    <row r="77" spans="1:261" ht="12" customHeight="1">
      <c r="A77" s="2425"/>
      <c r="B77" s="2425"/>
      <c r="C77" s="2400"/>
      <c r="D77" s="2400"/>
      <c r="E77" s="116"/>
      <c r="F77" s="1"/>
      <c r="G77" s="87"/>
      <c r="H77" s="37" t="s">
        <v>33</v>
      </c>
      <c r="I77" s="87"/>
      <c r="J77" s="864">
        <f>SUM(J75:J76)+EC48</f>
        <v>0</v>
      </c>
      <c r="K77" s="864">
        <f>SUM(K75:K76)+ED48</f>
        <v>0</v>
      </c>
      <c r="L77" s="864">
        <f>SUM(L75:L76)+EE48</f>
        <v>0</v>
      </c>
      <c r="M77" s="864">
        <f>SUM(M75:M76)+EF48</f>
        <v>0</v>
      </c>
      <c r="N77" s="864">
        <f>SUM(N75:N76)+EG48</f>
        <v>0</v>
      </c>
      <c r="O77" s="864">
        <f t="shared" si="264"/>
        <v>0</v>
      </c>
      <c r="R77" s="454"/>
      <c r="S77" s="454"/>
      <c r="T77" s="454"/>
      <c r="U77" s="3237"/>
      <c r="V77" s="3238"/>
      <c r="W77" s="10"/>
      <c r="X77" s="533"/>
      <c r="Y77" s="109"/>
      <c r="Z77" s="533"/>
      <c r="AA77" s="37"/>
      <c r="AB77" s="821"/>
      <c r="AC77" s="821"/>
      <c r="AD77" s="821"/>
      <c r="AE77" s="821"/>
      <c r="AF77" s="821"/>
      <c r="AG77" s="821"/>
      <c r="AH77" s="54"/>
      <c r="AI77" s="100"/>
      <c r="IL77" s="516"/>
      <c r="JA77" s="503"/>
    </row>
    <row r="78" spans="1:261" ht="12" customHeight="1">
      <c r="A78" s="2425"/>
      <c r="B78" s="2425"/>
      <c r="C78" s="1458"/>
      <c r="D78" s="1"/>
      <c r="E78" s="2416" t="s">
        <v>1480</v>
      </c>
      <c r="F78" s="2416"/>
      <c r="G78" s="87"/>
      <c r="H78" s="37" t="s">
        <v>1494</v>
      </c>
      <c r="I78" s="87"/>
      <c r="J78" s="861">
        <f>EH48</f>
        <v>0</v>
      </c>
      <c r="K78" s="861">
        <f>EI48</f>
        <v>0</v>
      </c>
      <c r="L78" s="861">
        <f>EJ48</f>
        <v>0</v>
      </c>
      <c r="M78" s="861">
        <f>EK48</f>
        <v>0</v>
      </c>
      <c r="N78" s="861">
        <f>EL48</f>
        <v>0</v>
      </c>
      <c r="O78" s="861">
        <f t="shared" si="264"/>
        <v>0</v>
      </c>
      <c r="R78" s="454"/>
      <c r="S78" s="454"/>
      <c r="T78" s="454"/>
      <c r="U78" s="3237"/>
      <c r="V78" s="3238"/>
      <c r="W78" s="533"/>
      <c r="X78" s="533"/>
      <c r="Y78" s="109"/>
      <c r="Z78" s="533"/>
      <c r="AA78" s="54"/>
      <c r="AB78" s="821"/>
      <c r="AC78" s="821"/>
      <c r="AD78" s="821"/>
      <c r="AE78" s="821"/>
      <c r="AF78" s="821"/>
      <c r="AG78" s="821"/>
      <c r="AH78" s="531"/>
      <c r="GT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c r="HY78" s="503"/>
      <c r="HZ78" s="503"/>
      <c r="IA78" s="503"/>
      <c r="IB78" s="503"/>
      <c r="IC78" s="503"/>
      <c r="ID78" s="503"/>
      <c r="IL78" s="516"/>
      <c r="JA78" s="503"/>
    </row>
    <row r="79" spans="1:261" ht="12" customHeight="1">
      <c r="A79" s="2425"/>
      <c r="B79" s="2425"/>
      <c r="C79" s="1458"/>
      <c r="D79" s="1"/>
      <c r="E79" s="2416"/>
      <c r="F79" s="2416"/>
      <c r="G79" s="87"/>
      <c r="H79" s="37" t="s">
        <v>317</v>
      </c>
      <c r="I79" s="87"/>
      <c r="J79" s="863">
        <f>EM48</f>
        <v>0</v>
      </c>
      <c r="K79" s="863">
        <f>EN48</f>
        <v>0</v>
      </c>
      <c r="L79" s="863">
        <f>EO48</f>
        <v>0</v>
      </c>
      <c r="M79" s="863">
        <f>EP48</f>
        <v>0</v>
      </c>
      <c r="N79" s="863">
        <f>EQ48</f>
        <v>0</v>
      </c>
      <c r="O79" s="863">
        <f t="shared" si="264"/>
        <v>0</v>
      </c>
      <c r="R79" s="454"/>
      <c r="S79" s="454"/>
      <c r="T79" s="454"/>
      <c r="U79" s="3237"/>
      <c r="V79" s="3238"/>
      <c r="W79" s="533"/>
      <c r="X79" s="533"/>
      <c r="Y79" s="533"/>
      <c r="Z79" s="533"/>
      <c r="AA79" s="54"/>
      <c r="AB79" s="821"/>
      <c r="AC79" s="821"/>
      <c r="AD79" s="821"/>
      <c r="AE79" s="821"/>
      <c r="AF79" s="821"/>
      <c r="AG79" s="821"/>
      <c r="AH79" s="463"/>
      <c r="AI79" s="100"/>
      <c r="IL79" s="516"/>
      <c r="JA79" s="503"/>
    </row>
    <row r="80" spans="1:261" ht="12" customHeight="1">
      <c r="A80" s="2425"/>
      <c r="B80" s="2425"/>
      <c r="C80" s="1458"/>
      <c r="D80" s="1"/>
      <c r="E80" s="116"/>
      <c r="F80" s="1"/>
      <c r="G80" s="87"/>
      <c r="H80" s="37" t="s">
        <v>33</v>
      </c>
      <c r="I80" s="87"/>
      <c r="J80" s="864">
        <f>SUM(J78:J79)+ER48</f>
        <v>0</v>
      </c>
      <c r="K80" s="864">
        <f>SUM(K78:K79)+ES48</f>
        <v>0</v>
      </c>
      <c r="L80" s="864">
        <f>SUM(L78:L79)+ET48</f>
        <v>0</v>
      </c>
      <c r="M80" s="864">
        <f>SUM(M78:M79)+EU48</f>
        <v>0</v>
      </c>
      <c r="N80" s="864">
        <f>SUM(N78:N79)+EV48</f>
        <v>0</v>
      </c>
      <c r="O80" s="864">
        <f t="shared" si="264"/>
        <v>0</v>
      </c>
      <c r="R80" s="454"/>
      <c r="S80" s="454"/>
      <c r="T80" s="454"/>
      <c r="U80" s="3237"/>
      <c r="V80" s="3238"/>
      <c r="W80" s="10"/>
      <c r="X80" s="533"/>
      <c r="Y80" s="109"/>
      <c r="Z80" s="533"/>
      <c r="AA80" s="37"/>
      <c r="AB80" s="821"/>
      <c r="AC80" s="821"/>
      <c r="AD80" s="821"/>
      <c r="AE80" s="821"/>
      <c r="AF80" s="821"/>
      <c r="AG80" s="821"/>
      <c r="AH80" s="54"/>
      <c r="AI80" s="100"/>
      <c r="IL80" s="516"/>
      <c r="JA80" s="503"/>
    </row>
    <row r="81" spans="1:261" ht="12" customHeight="1">
      <c r="A81" s="2425"/>
      <c r="B81" s="2425"/>
      <c r="C81" s="1458"/>
      <c r="D81" s="1"/>
      <c r="E81" s="116" t="s">
        <v>380</v>
      </c>
      <c r="F81" s="1"/>
      <c r="G81" s="188"/>
      <c r="H81" s="87"/>
      <c r="I81" s="87"/>
      <c r="J81" s="3239"/>
      <c r="K81" s="3239"/>
      <c r="L81" s="3239"/>
      <c r="M81" s="3239"/>
      <c r="N81" s="3239"/>
      <c r="O81" s="861">
        <f t="shared" si="264"/>
        <v>0</v>
      </c>
      <c r="U81" s="3237"/>
      <c r="V81" s="3238"/>
      <c r="W81" s="533"/>
      <c r="X81" s="533"/>
      <c r="Y81" s="533"/>
      <c r="Z81" s="533"/>
      <c r="AA81" s="54"/>
      <c r="AB81" s="821"/>
      <c r="AC81" s="821"/>
      <c r="AD81" s="821"/>
      <c r="AE81" s="821"/>
      <c r="AF81" s="821"/>
      <c r="AG81" s="821"/>
      <c r="AH81" s="463"/>
      <c r="AI81" s="100"/>
      <c r="IL81" s="516"/>
      <c r="JA81" s="503"/>
    </row>
    <row r="82" spans="1:261" ht="12" customHeight="1">
      <c r="A82" s="2417" t="str">
        <f>IF(AND('Part IV-Uses of Funds'!$T$164="Yes",'Part IX A-Scoring Criteria'!$O$310&gt;0,O82&lt;1),"SHOW HISTORIC UNITS HERE &gt;&gt;&gt;&gt;","")</f>
        <v/>
      </c>
      <c r="B82" s="2417"/>
      <c r="C82" s="2417"/>
      <c r="D82" s="2417"/>
      <c r="E82" s="603" t="s">
        <v>3758</v>
      </c>
      <c r="F82" s="1"/>
      <c r="G82" s="188"/>
      <c r="H82" s="87"/>
      <c r="I82" s="87"/>
      <c r="J82" s="3240"/>
      <c r="K82" s="3240"/>
      <c r="L82" s="3240"/>
      <c r="M82" s="3240"/>
      <c r="N82" s="3240"/>
      <c r="O82" s="863">
        <f t="shared" si="264"/>
        <v>0</v>
      </c>
      <c r="U82" s="3237"/>
      <c r="V82" s="3238"/>
      <c r="W82" s="533"/>
      <c r="X82" s="533"/>
      <c r="Y82" s="533"/>
      <c r="Z82" s="533"/>
      <c r="AA82" s="54"/>
      <c r="AB82" s="821"/>
      <c r="AC82" s="821"/>
      <c r="AD82" s="821"/>
      <c r="AE82" s="821"/>
      <c r="AF82" s="821"/>
      <c r="AG82" s="821"/>
      <c r="AH82" s="463"/>
      <c r="AI82" s="100"/>
      <c r="IL82" s="516"/>
      <c r="JA82" s="503"/>
    </row>
    <row r="83" spans="1:261" ht="9" customHeight="1">
      <c r="A83" s="2027"/>
      <c r="B83" s="2027"/>
      <c r="C83" s="2027"/>
      <c r="D83" s="2027"/>
      <c r="E83" s="603"/>
      <c r="F83" s="1"/>
      <c r="G83" s="188"/>
      <c r="H83" s="87"/>
      <c r="I83" s="87"/>
      <c r="J83" s="37"/>
      <c r="K83" s="37"/>
      <c r="L83" s="37"/>
      <c r="M83" s="37"/>
      <c r="N83" s="37"/>
      <c r="O83" s="37"/>
      <c r="U83" s="3237"/>
      <c r="V83" s="3238"/>
      <c r="W83" s="533"/>
      <c r="X83" s="533"/>
      <c r="Y83" s="533"/>
      <c r="Z83" s="533"/>
      <c r="AA83" s="54"/>
      <c r="AB83" s="821"/>
      <c r="AC83" s="821"/>
      <c r="AD83" s="821"/>
      <c r="AE83" s="821"/>
      <c r="AF83" s="821"/>
      <c r="AG83" s="821"/>
      <c r="AH83" s="463"/>
      <c r="AI83" s="100"/>
      <c r="IL83" s="516"/>
      <c r="JA83" s="503"/>
    </row>
    <row r="84" spans="1:261" ht="12" customHeight="1">
      <c r="A84" s="2027"/>
      <c r="B84" s="2027"/>
      <c r="C84" s="2027"/>
      <c r="D84" s="2027"/>
      <c r="E84" s="116" t="s">
        <v>3688</v>
      </c>
      <c r="F84" s="1"/>
      <c r="G84" s="188"/>
      <c r="H84" s="87"/>
      <c r="I84" s="87"/>
      <c r="J84" s="879">
        <f>J88+J90+J92+J94+J96+J98+J100+J102</f>
        <v>0</v>
      </c>
      <c r="K84" s="879">
        <f>K88+K90+K92+K94+K96+K98+K100+K102</f>
        <v>0</v>
      </c>
      <c r="L84" s="879">
        <f>L88+L90+L92+L94+L96+L98+L100+L102</f>
        <v>0</v>
      </c>
      <c r="M84" s="879">
        <f>M88+M90+M92+M94+M96+M98+M100+M102</f>
        <v>0</v>
      </c>
      <c r="N84" s="879">
        <f>N88+N90+N92+N94+N96+N98+N100+N102</f>
        <v>0</v>
      </c>
      <c r="O84" s="879">
        <f>SUM(J84:N84)</f>
        <v>0</v>
      </c>
      <c r="U84" s="3241"/>
      <c r="V84" s="3242"/>
      <c r="W84" s="533"/>
      <c r="X84" s="533"/>
      <c r="Y84" s="533"/>
      <c r="Z84" s="533"/>
      <c r="AA84" s="54"/>
      <c r="AB84" s="821"/>
      <c r="AC84" s="821"/>
      <c r="AD84" s="821"/>
      <c r="AE84" s="821"/>
      <c r="AF84" s="821"/>
      <c r="AG84" s="821"/>
      <c r="AH84" s="463"/>
      <c r="AI84" s="100"/>
      <c r="IL84" s="516"/>
      <c r="JA84" s="503"/>
    </row>
    <row r="85" spans="1:261" ht="9.75" customHeight="1">
      <c r="D85" s="1"/>
      <c r="E85" s="116"/>
      <c r="F85" s="1"/>
      <c r="G85" s="188"/>
      <c r="H85" s="87"/>
      <c r="I85" s="87"/>
      <c r="J85" s="865"/>
      <c r="K85" s="865"/>
      <c r="L85" s="865"/>
      <c r="M85" s="865"/>
      <c r="N85" s="865"/>
      <c r="O85" s="865"/>
      <c r="R85" s="454"/>
      <c r="S85" s="454"/>
      <c r="T85" s="454"/>
      <c r="U85" s="949" t="str">
        <f>C86</f>
        <v>Building Type: (for Utility Allowance and other purposes)</v>
      </c>
      <c r="V85" s="164"/>
      <c r="W85" s="100"/>
      <c r="X85" s="100"/>
      <c r="Y85" s="116"/>
      <c r="Z85" s="100"/>
      <c r="AA85" s="54"/>
      <c r="AB85" s="533"/>
      <c r="AC85" s="533"/>
      <c r="AD85" s="533"/>
      <c r="AE85" s="533"/>
      <c r="AF85" s="533"/>
      <c r="AG85" s="533"/>
      <c r="AH85" s="531"/>
      <c r="AI85" s="100"/>
      <c r="IL85" s="516"/>
      <c r="JA85" s="503"/>
    </row>
    <row r="86" spans="1:261" ht="12" customHeight="1">
      <c r="C86" s="2400" t="s">
        <v>4079</v>
      </c>
      <c r="D86" s="2400"/>
      <c r="E86" s="109" t="s">
        <v>41</v>
      </c>
      <c r="F86" s="1"/>
      <c r="G86" s="188"/>
      <c r="H86" s="87"/>
      <c r="I86" s="87"/>
      <c r="J86" s="879">
        <f t="shared" ref="J86:O86" si="265">SUM(J87:J94)</f>
        <v>0</v>
      </c>
      <c r="K86" s="879">
        <f t="shared" si="265"/>
        <v>139</v>
      </c>
      <c r="L86" s="879">
        <f t="shared" si="265"/>
        <v>23</v>
      </c>
      <c r="M86" s="879">
        <f t="shared" si="265"/>
        <v>0</v>
      </c>
      <c r="N86" s="879">
        <f t="shared" si="265"/>
        <v>0</v>
      </c>
      <c r="O86" s="879">
        <f t="shared" si="265"/>
        <v>162</v>
      </c>
      <c r="R86" s="454"/>
      <c r="S86" s="454"/>
      <c r="T86" s="454"/>
      <c r="U86" s="3235"/>
      <c r="V86" s="3236"/>
      <c r="W86" s="100"/>
      <c r="X86" s="100"/>
      <c r="Y86" s="109"/>
      <c r="Z86" s="100"/>
      <c r="AA86" s="54"/>
      <c r="AB86" s="821"/>
      <c r="AC86" s="821"/>
      <c r="AD86" s="821"/>
      <c r="AE86" s="821"/>
      <c r="AF86" s="821"/>
      <c r="AG86" s="821"/>
      <c r="AH86" s="531"/>
      <c r="GT86" s="503"/>
      <c r="GY86" s="503"/>
      <c r="GZ86" s="503"/>
      <c r="HA86" s="503"/>
      <c r="HB86" s="503"/>
      <c r="HC86" s="503"/>
      <c r="HD86" s="503"/>
      <c r="HE86" s="503"/>
      <c r="HF86" s="503"/>
      <c r="HG86" s="503"/>
      <c r="HH86" s="503"/>
      <c r="HI86" s="503"/>
      <c r="HJ86" s="503"/>
      <c r="HK86" s="503"/>
      <c r="HL86" s="503"/>
      <c r="HM86" s="503"/>
      <c r="HN86" s="503"/>
      <c r="HO86" s="503"/>
      <c r="HP86" s="503"/>
      <c r="HQ86" s="503"/>
      <c r="HR86" s="503"/>
      <c r="HS86" s="503"/>
      <c r="HT86" s="503"/>
      <c r="HU86" s="503"/>
      <c r="HV86" s="503"/>
      <c r="HW86" s="503"/>
      <c r="HX86" s="503"/>
      <c r="HY86" s="503"/>
      <c r="HZ86" s="503"/>
      <c r="IA86" s="503"/>
      <c r="IB86" s="503"/>
      <c r="IC86" s="503"/>
      <c r="ID86" s="503"/>
      <c r="IL86" s="516"/>
      <c r="JA86" s="503"/>
    </row>
    <row r="87" spans="1:261" ht="12" customHeight="1">
      <c r="C87" s="2400"/>
      <c r="D87" s="2400"/>
      <c r="E87" s="109"/>
      <c r="F87" s="1"/>
      <c r="G87" s="87"/>
      <c r="H87" s="41" t="s">
        <v>2704</v>
      </c>
      <c r="I87" s="87"/>
      <c r="J87" s="866">
        <f>GP48</f>
        <v>0</v>
      </c>
      <c r="K87" s="866">
        <f>GQ48</f>
        <v>0</v>
      </c>
      <c r="L87" s="866">
        <f>GR48</f>
        <v>0</v>
      </c>
      <c r="M87" s="866">
        <f>GS48</f>
        <v>0</v>
      </c>
      <c r="N87" s="866">
        <f>GT48</f>
        <v>0</v>
      </c>
      <c r="O87" s="866">
        <f t="shared" ref="O87:O102" si="266">SUM(J87:N87)</f>
        <v>0</v>
      </c>
      <c r="R87" s="454"/>
      <c r="S87" s="454"/>
      <c r="T87" s="454"/>
      <c r="U87" s="3237"/>
      <c r="V87" s="3238"/>
      <c r="W87" s="100"/>
      <c r="X87" s="100"/>
      <c r="Y87" s="109"/>
      <c r="Z87" s="100"/>
      <c r="AA87" s="54"/>
      <c r="AB87" s="821"/>
      <c r="AC87" s="821"/>
      <c r="AD87" s="821"/>
      <c r="AE87" s="821"/>
      <c r="AF87" s="821"/>
      <c r="AG87" s="821"/>
      <c r="AH87" s="531"/>
      <c r="GT87" s="503"/>
      <c r="GY87" s="503"/>
      <c r="GZ87" s="503"/>
      <c r="HA87" s="503"/>
      <c r="HB87" s="503"/>
      <c r="HC87" s="503"/>
      <c r="HD87" s="503"/>
      <c r="HE87" s="503"/>
      <c r="HF87" s="503"/>
      <c r="HG87" s="503"/>
      <c r="HH87" s="503"/>
      <c r="HI87" s="503"/>
      <c r="HJ87" s="503"/>
      <c r="HK87" s="503"/>
      <c r="HL87" s="503"/>
      <c r="HM87" s="503"/>
      <c r="HN87" s="503"/>
      <c r="HO87" s="503"/>
      <c r="HP87" s="503"/>
      <c r="HQ87" s="503"/>
      <c r="HR87" s="503"/>
      <c r="HS87" s="503"/>
      <c r="HT87" s="503"/>
      <c r="HU87" s="503"/>
      <c r="HV87" s="503"/>
      <c r="HW87" s="503"/>
      <c r="HX87" s="503"/>
      <c r="HY87" s="503"/>
      <c r="HZ87" s="503"/>
      <c r="IA87" s="503"/>
      <c r="IB87" s="503"/>
      <c r="IC87" s="503"/>
      <c r="ID87" s="503"/>
      <c r="IL87" s="516"/>
      <c r="JA87" s="503"/>
    </row>
    <row r="88" spans="1:261" ht="12" customHeight="1">
      <c r="C88" s="2400"/>
      <c r="D88" s="2400"/>
      <c r="E88" s="109"/>
      <c r="F88" s="1"/>
      <c r="G88" s="87"/>
      <c r="H88" s="1324" t="s">
        <v>3688</v>
      </c>
      <c r="I88" s="87"/>
      <c r="J88" s="866">
        <f>GU48</f>
        <v>0</v>
      </c>
      <c r="K88" s="866">
        <f>GV48</f>
        <v>0</v>
      </c>
      <c r="L88" s="866">
        <f>GW48</f>
        <v>0</v>
      </c>
      <c r="M88" s="866">
        <f>GX48</f>
        <v>0</v>
      </c>
      <c r="N88" s="866">
        <f>GY48</f>
        <v>0</v>
      </c>
      <c r="O88" s="862">
        <f t="shared" si="266"/>
        <v>0</v>
      </c>
      <c r="R88" s="454"/>
      <c r="S88" s="454"/>
      <c r="T88" s="454"/>
      <c r="U88" s="3237"/>
      <c r="V88" s="3238"/>
      <c r="W88" s="100"/>
      <c r="X88" s="100"/>
      <c r="Y88" s="109"/>
      <c r="Z88" s="100"/>
      <c r="AA88" s="54"/>
      <c r="AB88" s="821"/>
      <c r="AC88" s="821"/>
      <c r="AD88" s="821"/>
      <c r="AE88" s="821"/>
      <c r="AF88" s="821"/>
      <c r="AG88" s="821"/>
      <c r="AH88" s="531"/>
      <c r="GT88" s="503"/>
      <c r="GY88" s="503"/>
      <c r="GZ88" s="503"/>
      <c r="HA88" s="503"/>
      <c r="HB88" s="503"/>
      <c r="HC88" s="503"/>
      <c r="HD88" s="503"/>
      <c r="HE88" s="503"/>
      <c r="HF88" s="503"/>
      <c r="HG88" s="503"/>
      <c r="HH88" s="503"/>
      <c r="HI88" s="503"/>
      <c r="HJ88" s="503"/>
      <c r="HK88" s="503"/>
      <c r="HL88" s="503"/>
      <c r="HM88" s="503"/>
      <c r="HN88" s="503"/>
      <c r="HO88" s="503"/>
      <c r="HP88" s="503"/>
      <c r="HQ88" s="503"/>
      <c r="HR88" s="503"/>
      <c r="HS88" s="503"/>
      <c r="HT88" s="503"/>
      <c r="HU88" s="503"/>
      <c r="HV88" s="503"/>
      <c r="HW88" s="503"/>
      <c r="HX88" s="503"/>
      <c r="HY88" s="503"/>
      <c r="HZ88" s="503"/>
      <c r="IA88" s="503"/>
      <c r="IB88" s="503"/>
      <c r="IC88" s="503"/>
      <c r="ID88" s="503"/>
      <c r="IL88" s="516"/>
      <c r="JA88" s="503"/>
    </row>
    <row r="89" spans="1:261" ht="12" customHeight="1">
      <c r="C89" s="2400"/>
      <c r="D89" s="2400"/>
      <c r="E89" s="109"/>
      <c r="F89" s="1"/>
      <c r="G89" s="87"/>
      <c r="H89" s="41" t="s">
        <v>2705</v>
      </c>
      <c r="I89" s="87"/>
      <c r="J89" s="866">
        <f>GZ48</f>
        <v>0</v>
      </c>
      <c r="K89" s="866">
        <f>HA48</f>
        <v>0</v>
      </c>
      <c r="L89" s="866">
        <f>HB48</f>
        <v>0</v>
      </c>
      <c r="M89" s="866">
        <f>HC48</f>
        <v>0</v>
      </c>
      <c r="N89" s="866">
        <f>HD48</f>
        <v>0</v>
      </c>
      <c r="O89" s="862">
        <f t="shared" si="266"/>
        <v>0</v>
      </c>
      <c r="R89" s="454"/>
      <c r="S89" s="454"/>
      <c r="T89" s="454"/>
      <c r="U89" s="3237"/>
      <c r="V89" s="3238"/>
      <c r="W89" s="100"/>
      <c r="X89" s="100"/>
      <c r="Y89" s="109"/>
      <c r="Z89" s="100"/>
      <c r="AA89" s="54"/>
      <c r="AB89" s="821"/>
      <c r="AC89" s="821"/>
      <c r="AD89" s="821"/>
      <c r="AE89" s="821"/>
      <c r="AF89" s="821"/>
      <c r="AG89" s="821"/>
      <c r="AH89" s="531"/>
      <c r="GT89" s="503"/>
      <c r="GY89" s="503"/>
      <c r="GZ89" s="503"/>
      <c r="HA89" s="503"/>
      <c r="HB89" s="503"/>
      <c r="HC89" s="503"/>
      <c r="HD89" s="503"/>
      <c r="HE89" s="503"/>
      <c r="HF89" s="503"/>
      <c r="HG89" s="503"/>
      <c r="HH89" s="503"/>
      <c r="HI89" s="503"/>
      <c r="HJ89" s="503"/>
      <c r="HK89" s="503"/>
      <c r="HL89" s="503"/>
      <c r="HM89" s="503"/>
      <c r="HN89" s="503"/>
      <c r="HO89" s="503"/>
      <c r="HP89" s="503"/>
      <c r="HQ89" s="503"/>
      <c r="HR89" s="503"/>
      <c r="HS89" s="503"/>
      <c r="HT89" s="503"/>
      <c r="HU89" s="503"/>
      <c r="HV89" s="503"/>
      <c r="HW89" s="503"/>
      <c r="HX89" s="503"/>
      <c r="HY89" s="503"/>
      <c r="HZ89" s="503"/>
      <c r="IA89" s="503"/>
      <c r="IB89" s="503"/>
      <c r="IC89" s="503"/>
      <c r="ID89" s="503"/>
      <c r="IL89" s="516"/>
      <c r="JA89" s="503"/>
    </row>
    <row r="90" spans="1:261" ht="12" customHeight="1">
      <c r="C90" s="2400"/>
      <c r="D90" s="2400"/>
      <c r="E90" s="109"/>
      <c r="F90" s="1"/>
      <c r="G90" s="87"/>
      <c r="H90" s="1324" t="s">
        <v>3688</v>
      </c>
      <c r="I90" s="87"/>
      <c r="J90" s="866">
        <f>HE48</f>
        <v>0</v>
      </c>
      <c r="K90" s="866">
        <f>HF48</f>
        <v>0</v>
      </c>
      <c r="L90" s="866">
        <f>HG48</f>
        <v>0</v>
      </c>
      <c r="M90" s="866">
        <f>HH48</f>
        <v>0</v>
      </c>
      <c r="N90" s="866">
        <f>HI48</f>
        <v>0</v>
      </c>
      <c r="O90" s="862">
        <f t="shared" si="266"/>
        <v>0</v>
      </c>
      <c r="R90" s="454"/>
      <c r="S90" s="454"/>
      <c r="T90" s="454"/>
      <c r="U90" s="3237"/>
      <c r="V90" s="3238"/>
      <c r="W90" s="100"/>
      <c r="X90" s="100"/>
      <c r="Y90" s="109"/>
      <c r="Z90" s="100"/>
      <c r="AA90" s="54"/>
      <c r="AB90" s="821"/>
      <c r="AC90" s="821"/>
      <c r="AD90" s="821"/>
      <c r="AE90" s="821"/>
      <c r="AF90" s="821"/>
      <c r="AG90" s="821"/>
      <c r="AH90" s="531"/>
      <c r="GT90" s="503"/>
      <c r="GY90" s="503"/>
      <c r="GZ90" s="503"/>
      <c r="HA90" s="503"/>
      <c r="HB90" s="503"/>
      <c r="HC90" s="503"/>
      <c r="HD90" s="503"/>
      <c r="HE90" s="503"/>
      <c r="HF90" s="503"/>
      <c r="HG90" s="503"/>
      <c r="HH90" s="503"/>
      <c r="HI90" s="503"/>
      <c r="HJ90" s="503"/>
      <c r="HK90" s="503"/>
      <c r="HL90" s="503"/>
      <c r="HM90" s="503"/>
      <c r="HN90" s="503"/>
      <c r="HO90" s="503"/>
      <c r="HP90" s="503"/>
      <c r="HQ90" s="503"/>
      <c r="HR90" s="503"/>
      <c r="HS90" s="503"/>
      <c r="HT90" s="503"/>
      <c r="HU90" s="503"/>
      <c r="HV90" s="503"/>
      <c r="HW90" s="503"/>
      <c r="HX90" s="503"/>
      <c r="HY90" s="503"/>
      <c r="HZ90" s="503"/>
      <c r="IA90" s="503"/>
      <c r="IB90" s="503"/>
      <c r="IC90" s="503"/>
      <c r="ID90" s="503"/>
      <c r="IL90" s="516"/>
      <c r="JA90" s="503"/>
    </row>
    <row r="91" spans="1:261" ht="12" customHeight="1">
      <c r="C91" s="2400"/>
      <c r="D91" s="2400"/>
      <c r="E91" s="109"/>
      <c r="F91" s="1"/>
      <c r="G91" s="87"/>
      <c r="H91" s="41" t="s">
        <v>2707</v>
      </c>
      <c r="I91" s="87"/>
      <c r="J91" s="866">
        <f>HJ48</f>
        <v>0</v>
      </c>
      <c r="K91" s="866">
        <f>HK48</f>
        <v>0</v>
      </c>
      <c r="L91" s="866">
        <f>HL48</f>
        <v>0</v>
      </c>
      <c r="M91" s="866">
        <f>HM48</f>
        <v>0</v>
      </c>
      <c r="N91" s="866">
        <f>HN48</f>
        <v>0</v>
      </c>
      <c r="O91" s="862">
        <f t="shared" si="266"/>
        <v>0</v>
      </c>
      <c r="R91" s="454"/>
      <c r="S91" s="454"/>
      <c r="T91" s="454"/>
      <c r="U91" s="3237"/>
      <c r="V91" s="3238"/>
      <c r="W91" s="100"/>
      <c r="X91" s="100"/>
      <c r="Y91" s="109"/>
      <c r="Z91" s="100"/>
      <c r="AA91" s="54"/>
      <c r="AB91" s="821"/>
      <c r="AC91" s="821"/>
      <c r="AD91" s="821"/>
      <c r="AE91" s="821"/>
      <c r="AF91" s="821"/>
      <c r="AG91" s="821"/>
      <c r="AH91" s="531"/>
      <c r="GT91" s="503"/>
      <c r="GY91" s="503"/>
      <c r="GZ91" s="503"/>
      <c r="HA91" s="503"/>
      <c r="HB91" s="503"/>
      <c r="HC91" s="503"/>
      <c r="HD91" s="503"/>
      <c r="HE91" s="503"/>
      <c r="HF91" s="503"/>
      <c r="HG91" s="503"/>
      <c r="HH91" s="503"/>
      <c r="HI91" s="503"/>
      <c r="HJ91" s="503"/>
      <c r="HK91" s="503"/>
      <c r="HL91" s="503"/>
      <c r="HM91" s="503"/>
      <c r="HN91" s="503"/>
      <c r="HO91" s="503"/>
      <c r="HP91" s="503"/>
      <c r="HQ91" s="503"/>
      <c r="HR91" s="503"/>
      <c r="HS91" s="503"/>
      <c r="HT91" s="503"/>
      <c r="HU91" s="503"/>
      <c r="HV91" s="503"/>
      <c r="HW91" s="503"/>
      <c r="HX91" s="503"/>
      <c r="HY91" s="503"/>
      <c r="HZ91" s="503"/>
      <c r="IA91" s="503"/>
      <c r="IB91" s="503"/>
      <c r="IC91" s="503"/>
      <c r="ID91" s="503"/>
      <c r="IL91" s="516"/>
      <c r="JA91" s="503"/>
    </row>
    <row r="92" spans="1:261" ht="12" customHeight="1">
      <c r="C92" s="2400"/>
      <c r="D92" s="2400"/>
      <c r="E92" s="109"/>
      <c r="F92" s="1"/>
      <c r="G92" s="87"/>
      <c r="H92" s="1324" t="s">
        <v>3688</v>
      </c>
      <c r="I92" s="87"/>
      <c r="J92" s="866">
        <f>HO48</f>
        <v>0</v>
      </c>
      <c r="K92" s="866">
        <f>HP48</f>
        <v>0</v>
      </c>
      <c r="L92" s="866">
        <f>HQ48</f>
        <v>0</v>
      </c>
      <c r="M92" s="866">
        <f>HR48</f>
        <v>0</v>
      </c>
      <c r="N92" s="866">
        <f>HS48</f>
        <v>0</v>
      </c>
      <c r="O92" s="862">
        <f t="shared" si="266"/>
        <v>0</v>
      </c>
      <c r="R92" s="454"/>
      <c r="S92" s="454"/>
      <c r="T92" s="454"/>
      <c r="U92" s="3237"/>
      <c r="V92" s="3238"/>
      <c r="W92" s="100"/>
      <c r="X92" s="100"/>
      <c r="Y92" s="109"/>
      <c r="Z92" s="100"/>
      <c r="AA92" s="54"/>
      <c r="AB92" s="821"/>
      <c r="AC92" s="821"/>
      <c r="AD92" s="821"/>
      <c r="AE92" s="821"/>
      <c r="AF92" s="821"/>
      <c r="AG92" s="821"/>
      <c r="AH92" s="531"/>
      <c r="GT92" s="503"/>
      <c r="GY92" s="503"/>
      <c r="GZ92" s="503"/>
      <c r="HA92" s="503"/>
      <c r="HB92" s="503"/>
      <c r="HC92" s="503"/>
      <c r="HD92" s="503"/>
      <c r="HE92" s="503"/>
      <c r="HF92" s="503"/>
      <c r="HG92" s="503"/>
      <c r="HH92" s="503"/>
      <c r="HI92" s="503"/>
      <c r="HJ92" s="503"/>
      <c r="HK92" s="503"/>
      <c r="HL92" s="503"/>
      <c r="HM92" s="503"/>
      <c r="HN92" s="503"/>
      <c r="HO92" s="503"/>
      <c r="HP92" s="503"/>
      <c r="HQ92" s="503"/>
      <c r="HR92" s="503"/>
      <c r="HS92" s="503"/>
      <c r="HT92" s="503"/>
      <c r="HU92" s="503"/>
      <c r="HV92" s="503"/>
      <c r="HW92" s="503"/>
      <c r="HX92" s="503"/>
      <c r="HY92" s="503"/>
      <c r="HZ92" s="503"/>
      <c r="IA92" s="503"/>
      <c r="IB92" s="503"/>
      <c r="IC92" s="503"/>
      <c r="ID92" s="503"/>
      <c r="IL92" s="516"/>
      <c r="JA92" s="503"/>
    </row>
    <row r="93" spans="1:261" ht="12" customHeight="1">
      <c r="C93" s="158"/>
      <c r="D93" s="158"/>
      <c r="E93" s="109"/>
      <c r="F93" s="1"/>
      <c r="G93" s="87"/>
      <c r="H93" s="41" t="s">
        <v>2706</v>
      </c>
      <c r="I93" s="87"/>
      <c r="J93" s="866">
        <f>HT48</f>
        <v>0</v>
      </c>
      <c r="K93" s="866">
        <f>HU48</f>
        <v>139</v>
      </c>
      <c r="L93" s="866">
        <f>HV48</f>
        <v>23</v>
      </c>
      <c r="M93" s="866">
        <f>HW48</f>
        <v>0</v>
      </c>
      <c r="N93" s="866">
        <f>HX48</f>
        <v>0</v>
      </c>
      <c r="O93" s="862">
        <f t="shared" si="266"/>
        <v>162</v>
      </c>
      <c r="R93" s="454"/>
      <c r="S93" s="454"/>
      <c r="T93" s="454"/>
      <c r="U93" s="3237"/>
      <c r="V93" s="3238"/>
      <c r="W93" s="100"/>
      <c r="X93" s="100"/>
      <c r="Y93" s="109"/>
      <c r="Z93" s="100"/>
      <c r="AA93" s="54"/>
      <c r="AB93" s="821"/>
      <c r="AC93" s="821"/>
      <c r="AD93" s="821"/>
      <c r="AE93" s="821"/>
      <c r="AF93" s="821"/>
      <c r="AG93" s="821"/>
      <c r="AH93" s="531"/>
      <c r="GT93" s="503"/>
      <c r="GY93" s="503"/>
      <c r="GZ93" s="503"/>
      <c r="HA93" s="503"/>
      <c r="HB93" s="503"/>
      <c r="HC93" s="503"/>
      <c r="HD93" s="503"/>
      <c r="HE93" s="503"/>
      <c r="HF93" s="503"/>
      <c r="HG93" s="503"/>
      <c r="HH93" s="503"/>
      <c r="HI93" s="503"/>
      <c r="HJ93" s="503"/>
      <c r="HK93" s="503"/>
      <c r="HL93" s="503"/>
      <c r="HM93" s="503"/>
      <c r="HN93" s="503"/>
      <c r="HO93" s="503"/>
      <c r="HP93" s="503"/>
      <c r="HQ93" s="503"/>
      <c r="HR93" s="503"/>
      <c r="HS93" s="503"/>
      <c r="HT93" s="503"/>
      <c r="HU93" s="503"/>
      <c r="HV93" s="503"/>
      <c r="HW93" s="503"/>
      <c r="HX93" s="503"/>
      <c r="HY93" s="503"/>
      <c r="HZ93" s="503"/>
      <c r="IA93" s="503"/>
      <c r="IB93" s="503"/>
      <c r="IC93" s="503"/>
      <c r="ID93" s="503"/>
      <c r="IL93" s="516"/>
      <c r="JA93" s="503"/>
    </row>
    <row r="94" spans="1:261" ht="12" customHeight="1">
      <c r="C94" s="158"/>
      <c r="D94" s="158"/>
      <c r="E94" s="109"/>
      <c r="F94" s="1"/>
      <c r="G94" s="87"/>
      <c r="H94" s="1324" t="s">
        <v>3688</v>
      </c>
      <c r="I94" s="87"/>
      <c r="J94" s="866">
        <f>HY48</f>
        <v>0</v>
      </c>
      <c r="K94" s="866">
        <f>HZ48</f>
        <v>0</v>
      </c>
      <c r="L94" s="866">
        <f>IA48</f>
        <v>0</v>
      </c>
      <c r="M94" s="866">
        <f>IB48</f>
        <v>0</v>
      </c>
      <c r="N94" s="866">
        <f>IC48</f>
        <v>0</v>
      </c>
      <c r="O94" s="862">
        <f t="shared" si="266"/>
        <v>0</v>
      </c>
      <c r="R94" s="454"/>
      <c r="S94" s="454"/>
      <c r="T94" s="454"/>
      <c r="U94" s="3237"/>
      <c r="V94" s="3238"/>
      <c r="W94" s="100"/>
      <c r="X94" s="100"/>
      <c r="Y94" s="109"/>
      <c r="Z94" s="100"/>
      <c r="AA94" s="54"/>
      <c r="AB94" s="821"/>
      <c r="AC94" s="821"/>
      <c r="AD94" s="821"/>
      <c r="AE94" s="821"/>
      <c r="AF94" s="821"/>
      <c r="AG94" s="821"/>
      <c r="AH94" s="531"/>
      <c r="GT94" s="503"/>
      <c r="GY94" s="503"/>
      <c r="GZ94" s="503"/>
      <c r="HA94" s="503"/>
      <c r="HB94" s="503"/>
      <c r="HC94" s="503"/>
      <c r="HD94" s="503"/>
      <c r="HE94" s="503"/>
      <c r="HF94" s="503"/>
      <c r="HG94" s="503"/>
      <c r="HH94" s="503"/>
      <c r="HI94" s="503"/>
      <c r="HJ94" s="503"/>
      <c r="HK94" s="503"/>
      <c r="HL94" s="503"/>
      <c r="HM94" s="503"/>
      <c r="HN94" s="503"/>
      <c r="HO94" s="503"/>
      <c r="HP94" s="503"/>
      <c r="HQ94" s="503"/>
      <c r="HR94" s="503"/>
      <c r="HS94" s="503"/>
      <c r="HT94" s="503"/>
      <c r="HU94" s="503"/>
      <c r="HV94" s="503"/>
      <c r="HW94" s="503"/>
      <c r="HX94" s="503"/>
      <c r="HY94" s="503"/>
      <c r="HZ94" s="503"/>
      <c r="IA94" s="503"/>
      <c r="IB94" s="503"/>
      <c r="IC94" s="503"/>
      <c r="ID94" s="503"/>
      <c r="IL94" s="516"/>
      <c r="JA94" s="503"/>
    </row>
    <row r="95" spans="1:261" ht="12" customHeight="1">
      <c r="C95" s="158"/>
      <c r="D95" s="158"/>
      <c r="E95" s="109" t="s">
        <v>42</v>
      </c>
      <c r="F95" s="1"/>
      <c r="G95" s="87"/>
      <c r="H95" s="41"/>
      <c r="I95" s="87"/>
      <c r="J95" s="862">
        <f>FB48</f>
        <v>0</v>
      </c>
      <c r="K95" s="862">
        <f>FC48</f>
        <v>0</v>
      </c>
      <c r="L95" s="862">
        <f>FD48</f>
        <v>0</v>
      </c>
      <c r="M95" s="862">
        <f>FE48</f>
        <v>0</v>
      </c>
      <c r="N95" s="862">
        <f>FF48</f>
        <v>0</v>
      </c>
      <c r="O95" s="862">
        <f t="shared" si="266"/>
        <v>0</v>
      </c>
      <c r="R95" s="454"/>
      <c r="S95" s="454"/>
      <c r="T95" s="454"/>
      <c r="U95" s="3237"/>
      <c r="V95" s="3238"/>
      <c r="W95" s="100"/>
      <c r="X95" s="100"/>
      <c r="Y95" s="109"/>
      <c r="Z95" s="100"/>
      <c r="AA95" s="54"/>
      <c r="AB95" s="821"/>
      <c r="AC95" s="821"/>
      <c r="AD95" s="821"/>
      <c r="AE95" s="821"/>
      <c r="AF95" s="821"/>
      <c r="AG95" s="821"/>
      <c r="AH95" s="463"/>
      <c r="AI95" s="100"/>
      <c r="IL95" s="516"/>
      <c r="JA95" s="503"/>
    </row>
    <row r="96" spans="1:261" ht="12" customHeight="1">
      <c r="C96" s="158"/>
      <c r="D96" s="158"/>
      <c r="E96" s="109"/>
      <c r="F96" s="1"/>
      <c r="G96" s="87"/>
      <c r="H96" s="1324" t="s">
        <v>3688</v>
      </c>
      <c r="I96" s="87"/>
      <c r="J96" s="862">
        <f>FG48</f>
        <v>0</v>
      </c>
      <c r="K96" s="862">
        <f>FH48</f>
        <v>0</v>
      </c>
      <c r="L96" s="862">
        <f>FI48</f>
        <v>0</v>
      </c>
      <c r="M96" s="862">
        <f>FJ48</f>
        <v>0</v>
      </c>
      <c r="N96" s="862">
        <f>FK48</f>
        <v>0</v>
      </c>
      <c r="O96" s="862">
        <f t="shared" si="266"/>
        <v>0</v>
      </c>
      <c r="R96" s="454"/>
      <c r="S96" s="454"/>
      <c r="T96" s="454"/>
      <c r="U96" s="3237"/>
      <c r="V96" s="3238"/>
      <c r="W96" s="100"/>
      <c r="X96" s="100"/>
      <c r="Y96" s="109"/>
      <c r="Z96" s="100"/>
      <c r="AA96" s="54"/>
      <c r="AB96" s="821"/>
      <c r="AC96" s="821"/>
      <c r="AD96" s="821"/>
      <c r="AE96" s="821"/>
      <c r="AF96" s="821"/>
      <c r="AG96" s="821"/>
      <c r="AH96" s="463"/>
      <c r="AI96" s="100"/>
      <c r="IL96" s="516"/>
      <c r="JA96" s="503"/>
    </row>
    <row r="97" spans="1:261" ht="12" customHeight="1">
      <c r="C97" s="100"/>
      <c r="D97" s="100"/>
      <c r="E97" s="109" t="s">
        <v>43</v>
      </c>
      <c r="F97" s="1"/>
      <c r="G97" s="87"/>
      <c r="H97" s="41"/>
      <c r="I97" s="87"/>
      <c r="J97" s="862">
        <f>GF48</f>
        <v>0</v>
      </c>
      <c r="K97" s="862">
        <f>GG48</f>
        <v>0</v>
      </c>
      <c r="L97" s="862">
        <f>GH48</f>
        <v>0</v>
      </c>
      <c r="M97" s="862">
        <f>GI48</f>
        <v>0</v>
      </c>
      <c r="N97" s="862">
        <f>GJ48</f>
        <v>0</v>
      </c>
      <c r="O97" s="862">
        <f t="shared" si="266"/>
        <v>0</v>
      </c>
      <c r="R97" s="454"/>
      <c r="S97" s="454"/>
      <c r="T97" s="454"/>
      <c r="U97" s="3237"/>
      <c r="V97" s="3238"/>
      <c r="W97" s="100"/>
      <c r="X97" s="100"/>
      <c r="Y97" s="109"/>
      <c r="Z97" s="100"/>
      <c r="AA97" s="54"/>
      <c r="AB97" s="821"/>
      <c r="AC97" s="821"/>
      <c r="AD97" s="821"/>
      <c r="AE97" s="821"/>
      <c r="AF97" s="821"/>
      <c r="AG97" s="821"/>
      <c r="AH97" s="531"/>
      <c r="GT97" s="503"/>
      <c r="GY97" s="503"/>
      <c r="GZ97" s="503"/>
      <c r="HA97" s="503"/>
      <c r="HB97" s="503"/>
      <c r="HC97" s="503"/>
      <c r="HD97" s="503"/>
      <c r="HE97" s="503"/>
      <c r="HF97" s="503"/>
      <c r="HG97" s="503"/>
      <c r="HH97" s="503"/>
      <c r="HI97" s="503"/>
      <c r="HJ97" s="503"/>
      <c r="HK97" s="503"/>
      <c r="HL97" s="503"/>
      <c r="HM97" s="503"/>
      <c r="HN97" s="503"/>
      <c r="HO97" s="503"/>
      <c r="HP97" s="503"/>
      <c r="HQ97" s="503"/>
      <c r="HR97" s="503"/>
      <c r="HS97" s="503"/>
      <c r="HT97" s="503"/>
      <c r="HU97" s="503"/>
      <c r="HV97" s="503"/>
      <c r="HW97" s="503"/>
      <c r="HX97" s="503"/>
      <c r="HY97" s="503"/>
      <c r="HZ97" s="503"/>
      <c r="IA97" s="503"/>
      <c r="IB97" s="503"/>
      <c r="IC97" s="503"/>
      <c r="ID97" s="503"/>
      <c r="IL97" s="516"/>
      <c r="JA97" s="503"/>
    </row>
    <row r="98" spans="1:261" ht="12" customHeight="1">
      <c r="C98" s="100"/>
      <c r="D98" s="100"/>
      <c r="E98" s="109"/>
      <c r="F98" s="1"/>
      <c r="G98" s="87"/>
      <c r="H98" s="1324" t="s">
        <v>3688</v>
      </c>
      <c r="I98" s="87"/>
      <c r="J98" s="862">
        <f>GK48</f>
        <v>0</v>
      </c>
      <c r="K98" s="862">
        <f>GL48</f>
        <v>0</v>
      </c>
      <c r="L98" s="862">
        <f>GM48</f>
        <v>0</v>
      </c>
      <c r="M98" s="862">
        <f>GN48</f>
        <v>0</v>
      </c>
      <c r="N98" s="862">
        <f>GO48</f>
        <v>0</v>
      </c>
      <c r="O98" s="862">
        <f t="shared" si="266"/>
        <v>0</v>
      </c>
      <c r="R98" s="454"/>
      <c r="S98" s="454"/>
      <c r="T98" s="454"/>
      <c r="U98" s="3237"/>
      <c r="V98" s="3238"/>
      <c r="W98" s="100"/>
      <c r="X98" s="100"/>
      <c r="Y98" s="109"/>
      <c r="Z98" s="100"/>
      <c r="AA98" s="54"/>
      <c r="AB98" s="821"/>
      <c r="AC98" s="821"/>
      <c r="AD98" s="821"/>
      <c r="AE98" s="821"/>
      <c r="AF98" s="821"/>
      <c r="AG98" s="821"/>
      <c r="AH98" s="531"/>
      <c r="GT98" s="503"/>
      <c r="GY98" s="503"/>
      <c r="GZ98" s="503"/>
      <c r="HA98" s="503"/>
      <c r="HB98" s="503"/>
      <c r="HC98" s="503"/>
      <c r="HD98" s="503"/>
      <c r="HE98" s="503"/>
      <c r="HF98" s="503"/>
      <c r="HG98" s="503"/>
      <c r="HH98" s="503"/>
      <c r="HI98" s="503"/>
      <c r="HJ98" s="503"/>
      <c r="HK98" s="503"/>
      <c r="HL98" s="503"/>
      <c r="HM98" s="503"/>
      <c r="HN98" s="503"/>
      <c r="HO98" s="503"/>
      <c r="HP98" s="503"/>
      <c r="HQ98" s="503"/>
      <c r="HR98" s="503"/>
      <c r="HS98" s="503"/>
      <c r="HT98" s="503"/>
      <c r="HU98" s="503"/>
      <c r="HV98" s="503"/>
      <c r="HW98" s="503"/>
      <c r="HX98" s="503"/>
      <c r="HY98" s="503"/>
      <c r="HZ98" s="503"/>
      <c r="IA98" s="503"/>
      <c r="IB98" s="503"/>
      <c r="IC98" s="503"/>
      <c r="ID98" s="503"/>
      <c r="IL98" s="516"/>
      <c r="JA98" s="503"/>
    </row>
    <row r="99" spans="1:261" ht="12" customHeight="1">
      <c r="C99" s="100"/>
      <c r="D99" s="100"/>
      <c r="E99" s="116" t="s">
        <v>590</v>
      </c>
      <c r="F99" s="1"/>
      <c r="G99" s="87"/>
      <c r="H99" s="41"/>
      <c r="I99" s="87"/>
      <c r="J99" s="862">
        <f>FV48</f>
        <v>0</v>
      </c>
      <c r="K99" s="862">
        <f>FW48</f>
        <v>0</v>
      </c>
      <c r="L99" s="862">
        <f>FX48</f>
        <v>0</v>
      </c>
      <c r="M99" s="862">
        <f>FY48</f>
        <v>0</v>
      </c>
      <c r="N99" s="862">
        <f>FZ48</f>
        <v>0</v>
      </c>
      <c r="O99" s="862">
        <f t="shared" si="266"/>
        <v>0</v>
      </c>
      <c r="R99" s="454"/>
      <c r="S99" s="454"/>
      <c r="T99" s="454"/>
      <c r="U99" s="3237"/>
      <c r="V99" s="3238"/>
      <c r="W99" s="100"/>
      <c r="X99" s="100"/>
      <c r="Y99" s="116"/>
      <c r="Z99" s="100"/>
      <c r="AA99" s="54"/>
      <c r="AB99" s="821"/>
      <c r="AC99" s="821"/>
      <c r="AD99" s="821"/>
      <c r="AE99" s="821"/>
      <c r="AF99" s="821"/>
      <c r="AG99" s="821"/>
      <c r="AH99" s="463"/>
      <c r="AI99" s="100"/>
      <c r="IL99" s="516"/>
      <c r="JA99" s="503"/>
    </row>
    <row r="100" spans="1:261" ht="12" customHeight="1">
      <c r="C100" s="100"/>
      <c r="D100" s="100"/>
      <c r="E100" s="116"/>
      <c r="F100" s="1"/>
      <c r="G100" s="87"/>
      <c r="H100" s="1324" t="s">
        <v>3688</v>
      </c>
      <c r="I100" s="87"/>
      <c r="J100" s="867">
        <f>GA48</f>
        <v>0</v>
      </c>
      <c r="K100" s="867">
        <f>GB48</f>
        <v>0</v>
      </c>
      <c r="L100" s="867">
        <f>GC48</f>
        <v>0</v>
      </c>
      <c r="M100" s="867">
        <f>GD48</f>
        <v>0</v>
      </c>
      <c r="N100" s="867">
        <f>GE48</f>
        <v>0</v>
      </c>
      <c r="O100" s="862">
        <f t="shared" si="266"/>
        <v>0</v>
      </c>
      <c r="R100" s="454"/>
      <c r="S100" s="454"/>
      <c r="T100" s="454"/>
      <c r="U100" s="3237"/>
      <c r="V100" s="3238"/>
      <c r="W100" s="100"/>
      <c r="X100" s="100"/>
      <c r="Y100" s="116"/>
      <c r="Z100" s="100"/>
      <c r="AA100" s="54"/>
      <c r="AB100" s="821"/>
      <c r="AC100" s="821"/>
      <c r="AD100" s="821"/>
      <c r="AE100" s="821"/>
      <c r="AF100" s="821"/>
      <c r="AG100" s="821"/>
      <c r="AH100" s="463"/>
      <c r="AI100" s="100"/>
      <c r="IL100" s="516"/>
      <c r="JA100" s="503"/>
    </row>
    <row r="101" spans="1:261" ht="12" customHeight="1">
      <c r="C101" s="100"/>
      <c r="D101" s="100"/>
      <c r="E101" s="95" t="s">
        <v>591</v>
      </c>
      <c r="F101" s="1"/>
      <c r="G101" s="87"/>
      <c r="H101" s="41"/>
      <c r="I101" s="87"/>
      <c r="J101" s="862">
        <f>FL48</f>
        <v>0</v>
      </c>
      <c r="K101" s="862">
        <f>FM48</f>
        <v>0</v>
      </c>
      <c r="L101" s="862">
        <f>FN48</f>
        <v>0</v>
      </c>
      <c r="M101" s="862">
        <f>FO48</f>
        <v>0</v>
      </c>
      <c r="N101" s="862">
        <f>FP48</f>
        <v>0</v>
      </c>
      <c r="O101" s="862">
        <f t="shared" si="266"/>
        <v>0</v>
      </c>
      <c r="R101" s="454"/>
      <c r="S101" s="454"/>
      <c r="T101" s="454"/>
      <c r="U101" s="3237"/>
      <c r="V101" s="3238"/>
      <c r="W101" s="100"/>
      <c r="X101" s="100"/>
      <c r="Y101" s="95"/>
      <c r="Z101" s="100"/>
      <c r="AA101" s="54"/>
      <c r="AB101" s="821"/>
      <c r="AC101" s="821"/>
      <c r="AD101" s="821"/>
      <c r="AE101" s="821"/>
      <c r="AF101" s="821"/>
      <c r="AG101" s="821"/>
      <c r="AH101" s="531"/>
      <c r="GT101" s="503"/>
      <c r="GY101" s="503"/>
      <c r="GZ101" s="503"/>
      <c r="HA101" s="503"/>
      <c r="HB101" s="503"/>
      <c r="HC101" s="503"/>
      <c r="HD101" s="503"/>
      <c r="HE101" s="503"/>
      <c r="HF101" s="503"/>
      <c r="HG101" s="503"/>
      <c r="HH101" s="503"/>
      <c r="HI101" s="503"/>
      <c r="HJ101" s="503"/>
      <c r="HK101" s="503"/>
      <c r="HL101" s="503"/>
      <c r="HM101" s="503"/>
      <c r="HN101" s="503"/>
      <c r="HO101" s="503"/>
      <c r="HP101" s="503"/>
      <c r="HQ101" s="503"/>
      <c r="HR101" s="503"/>
      <c r="HS101" s="503"/>
      <c r="HT101" s="503"/>
      <c r="HU101" s="503"/>
      <c r="HV101" s="503"/>
      <c r="HW101" s="503"/>
      <c r="HX101" s="503"/>
      <c r="HY101" s="503"/>
      <c r="HZ101" s="503"/>
      <c r="IA101" s="503"/>
      <c r="IB101" s="503"/>
      <c r="IC101" s="503"/>
      <c r="ID101" s="503"/>
      <c r="IL101" s="516"/>
      <c r="JA101" s="503"/>
    </row>
    <row r="102" spans="1:261" ht="12" customHeight="1">
      <c r="C102" s="100"/>
      <c r="D102" s="100"/>
      <c r="E102" s="95"/>
      <c r="F102" s="1"/>
      <c r="G102" s="87"/>
      <c r="H102" s="1324" t="s">
        <v>3688</v>
      </c>
      <c r="I102" s="87"/>
      <c r="J102" s="863">
        <f>FQ48</f>
        <v>0</v>
      </c>
      <c r="K102" s="863">
        <f>FR48</f>
        <v>0</v>
      </c>
      <c r="L102" s="863">
        <f>FS48</f>
        <v>0</v>
      </c>
      <c r="M102" s="863">
        <f>FT48</f>
        <v>0</v>
      </c>
      <c r="N102" s="863">
        <f>FU48</f>
        <v>0</v>
      </c>
      <c r="O102" s="863">
        <f t="shared" si="266"/>
        <v>0</v>
      </c>
      <c r="R102" s="454"/>
      <c r="S102" s="454"/>
      <c r="T102" s="454"/>
      <c r="U102" s="3241"/>
      <c r="V102" s="3242"/>
      <c r="W102" s="100"/>
      <c r="X102" s="100"/>
      <c r="Y102" s="95"/>
      <c r="Z102" s="100"/>
      <c r="AA102" s="54"/>
      <c r="AB102" s="821"/>
      <c r="AC102" s="821"/>
      <c r="AD102" s="821"/>
      <c r="AE102" s="821"/>
      <c r="AF102" s="821"/>
      <c r="AG102" s="821"/>
      <c r="AH102" s="531"/>
      <c r="GT102" s="503"/>
      <c r="GY102" s="503"/>
      <c r="GZ102" s="503"/>
      <c r="HA102" s="503"/>
      <c r="HB102" s="503"/>
      <c r="HC102" s="503"/>
      <c r="HD102" s="503"/>
      <c r="HE102" s="503"/>
      <c r="HF102" s="503"/>
      <c r="HG102" s="503"/>
      <c r="HH102" s="503"/>
      <c r="HI102" s="503"/>
      <c r="HJ102" s="503"/>
      <c r="HK102" s="503"/>
      <c r="HL102" s="503"/>
      <c r="HM102" s="503"/>
      <c r="HN102" s="503"/>
      <c r="HO102" s="503"/>
      <c r="HP102" s="503"/>
      <c r="HQ102" s="503"/>
      <c r="HR102" s="503"/>
      <c r="HS102" s="503"/>
      <c r="HT102" s="503"/>
      <c r="HU102" s="503"/>
      <c r="HV102" s="503"/>
      <c r="HW102" s="503"/>
      <c r="HX102" s="503"/>
      <c r="HY102" s="503"/>
      <c r="HZ102" s="503"/>
      <c r="IA102" s="503"/>
      <c r="IB102" s="503"/>
      <c r="IC102" s="503"/>
      <c r="ID102" s="503"/>
      <c r="IL102" s="516"/>
      <c r="JA102" s="503"/>
    </row>
    <row r="103" spans="1:261" ht="4.5" customHeight="1">
      <c r="C103" s="100"/>
      <c r="D103" s="158"/>
      <c r="G103" s="87"/>
      <c r="H103" s="1459"/>
      <c r="I103" s="87"/>
      <c r="J103" s="868"/>
      <c r="K103" s="868"/>
      <c r="L103" s="868"/>
      <c r="M103" s="868"/>
      <c r="N103" s="868"/>
      <c r="O103" s="868"/>
      <c r="U103" s="345" t="str">
        <f>C104</f>
        <v>Building Type:
(for Cost Limit purposes)</v>
      </c>
    </row>
    <row r="104" spans="1:261" ht="12" customHeight="1">
      <c r="C104" s="2400" t="s">
        <v>4457</v>
      </c>
      <c r="D104" s="2400"/>
      <c r="E104" s="116" t="s">
        <v>3683</v>
      </c>
      <c r="F104" s="188"/>
      <c r="G104" s="87"/>
      <c r="H104" s="41"/>
      <c r="I104" s="87"/>
      <c r="J104" s="869">
        <f t="shared" ref="J104:N105" si="267">J95+J99+J101</f>
        <v>0</v>
      </c>
      <c r="K104" s="869">
        <f t="shared" si="267"/>
        <v>0</v>
      </c>
      <c r="L104" s="869">
        <f t="shared" si="267"/>
        <v>0</v>
      </c>
      <c r="M104" s="869">
        <f t="shared" si="267"/>
        <v>0</v>
      </c>
      <c r="N104" s="869">
        <f t="shared" si="267"/>
        <v>0</v>
      </c>
      <c r="O104" s="869">
        <f t="shared" ref="O104:O111" si="268">SUM(J104:N104)</f>
        <v>0</v>
      </c>
      <c r="R104" s="454"/>
      <c r="S104" s="454"/>
      <c r="T104" s="454"/>
      <c r="U104" s="3235"/>
      <c r="V104" s="3236"/>
      <c r="W104" s="100"/>
      <c r="X104" s="100"/>
      <c r="Y104" s="95"/>
      <c r="Z104" s="100"/>
      <c r="AA104" s="54"/>
      <c r="AB104" s="821"/>
      <c r="AC104" s="821"/>
      <c r="AD104" s="821"/>
      <c r="AE104" s="821"/>
      <c r="AF104" s="821"/>
      <c r="AG104" s="821"/>
      <c r="AH104" s="531"/>
      <c r="GT104" s="503"/>
      <c r="GY104" s="503"/>
      <c r="GZ104" s="503"/>
      <c r="HA104" s="503"/>
      <c r="HB104" s="503"/>
      <c r="HC104" s="503"/>
      <c r="HD104" s="503"/>
      <c r="HE104" s="503"/>
      <c r="HF104" s="503"/>
      <c r="HG104" s="503"/>
      <c r="HH104" s="503"/>
      <c r="HI104" s="503"/>
      <c r="HJ104" s="503"/>
      <c r="HK104" s="503"/>
      <c r="HL104" s="503"/>
      <c r="HM104" s="503"/>
      <c r="HN104" s="503"/>
      <c r="HO104" s="503"/>
      <c r="HP104" s="503"/>
      <c r="HQ104" s="503"/>
      <c r="HR104" s="503"/>
      <c r="HS104" s="503"/>
      <c r="HT104" s="503"/>
      <c r="HU104" s="503"/>
      <c r="HV104" s="503"/>
      <c r="HW104" s="503"/>
      <c r="HX104" s="503"/>
      <c r="HY104" s="503"/>
      <c r="HZ104" s="503"/>
      <c r="IA104" s="503"/>
      <c r="IB104" s="503"/>
      <c r="IC104" s="503"/>
      <c r="ID104" s="503"/>
      <c r="IL104" s="516"/>
      <c r="JA104" s="503"/>
    </row>
    <row r="105" spans="1:261" ht="12" customHeight="1">
      <c r="C105" s="2400"/>
      <c r="D105" s="2400"/>
      <c r="E105" s="116"/>
      <c r="F105" s="188"/>
      <c r="G105" s="87"/>
      <c r="H105" s="1324" t="s">
        <v>3688</v>
      </c>
      <c r="I105" s="87"/>
      <c r="J105" s="870">
        <f t="shared" si="267"/>
        <v>0</v>
      </c>
      <c r="K105" s="871">
        <f t="shared" si="267"/>
        <v>0</v>
      </c>
      <c r="L105" s="871">
        <f t="shared" si="267"/>
        <v>0</v>
      </c>
      <c r="M105" s="871">
        <f t="shared" si="267"/>
        <v>0</v>
      </c>
      <c r="N105" s="871">
        <f t="shared" si="267"/>
        <v>0</v>
      </c>
      <c r="O105" s="871">
        <f t="shared" si="268"/>
        <v>0</v>
      </c>
      <c r="R105" s="454"/>
      <c r="S105" s="454"/>
      <c r="T105" s="454"/>
      <c r="U105" s="3237"/>
      <c r="V105" s="3238"/>
      <c r="W105" s="100"/>
      <c r="X105" s="100"/>
      <c r="Y105" s="95"/>
      <c r="Z105" s="100"/>
      <c r="AA105" s="54"/>
      <c r="AB105" s="821"/>
      <c r="AC105" s="821"/>
      <c r="AD105" s="821"/>
      <c r="AE105" s="821"/>
      <c r="AF105" s="821"/>
      <c r="AG105" s="821"/>
      <c r="AH105" s="531"/>
      <c r="GT105" s="503"/>
      <c r="GY105" s="503"/>
      <c r="GZ105" s="503"/>
      <c r="HA105" s="503"/>
      <c r="HB105" s="503"/>
      <c r="HC105" s="503"/>
      <c r="HD105" s="503"/>
      <c r="HE105" s="503"/>
      <c r="HF105" s="503"/>
      <c r="HG105" s="503"/>
      <c r="HH105" s="503"/>
      <c r="HI105" s="503"/>
      <c r="HJ105" s="503"/>
      <c r="HK105" s="503"/>
      <c r="HL105" s="503"/>
      <c r="HM105" s="503"/>
      <c r="HN105" s="503"/>
      <c r="HO105" s="503"/>
      <c r="HP105" s="503"/>
      <c r="HQ105" s="503"/>
      <c r="HR105" s="503"/>
      <c r="HS105" s="503"/>
      <c r="HT105" s="503"/>
      <c r="HU105" s="503"/>
      <c r="HV105" s="503"/>
      <c r="HW105" s="503"/>
      <c r="HX105" s="503"/>
      <c r="HY105" s="503"/>
      <c r="HZ105" s="503"/>
      <c r="IA105" s="503"/>
      <c r="IB105" s="503"/>
      <c r="IC105" s="503"/>
      <c r="ID105" s="503"/>
      <c r="IL105" s="516"/>
      <c r="JA105" s="503"/>
    </row>
    <row r="106" spans="1:261" ht="12" customHeight="1">
      <c r="C106" s="2400"/>
      <c r="D106" s="2400"/>
      <c r="E106" s="116" t="s">
        <v>3684</v>
      </c>
      <c r="F106" s="188"/>
      <c r="G106" s="87"/>
      <c r="H106" s="188"/>
      <c r="I106" s="87"/>
      <c r="J106" s="871">
        <f>J87+J97</f>
        <v>0</v>
      </c>
      <c r="K106" s="871">
        <f t="shared" ref="K106:N107" si="269">K87+K97</f>
        <v>0</v>
      </c>
      <c r="L106" s="871">
        <f t="shared" si="269"/>
        <v>0</v>
      </c>
      <c r="M106" s="871">
        <f t="shared" si="269"/>
        <v>0</v>
      </c>
      <c r="N106" s="871">
        <f t="shared" si="269"/>
        <v>0</v>
      </c>
      <c r="O106" s="871">
        <f t="shared" si="268"/>
        <v>0</v>
      </c>
      <c r="R106" s="454"/>
      <c r="S106" s="454"/>
      <c r="T106" s="454"/>
      <c r="U106" s="3237"/>
      <c r="V106" s="3238"/>
      <c r="W106" s="100"/>
      <c r="X106" s="100"/>
      <c r="Y106" s="95"/>
      <c r="Z106" s="100"/>
      <c r="AA106" s="54"/>
      <c r="AB106" s="821"/>
      <c r="AC106" s="821"/>
      <c r="AD106" s="821"/>
      <c r="AE106" s="821"/>
      <c r="AF106" s="821"/>
      <c r="AG106" s="821"/>
      <c r="AH106" s="531"/>
      <c r="GT106" s="503"/>
      <c r="GY106" s="503"/>
      <c r="GZ106" s="503"/>
      <c r="HA106" s="503"/>
      <c r="HB106" s="503"/>
      <c r="HC106" s="503"/>
      <c r="HD106" s="503"/>
      <c r="HE106" s="503"/>
      <c r="HF106" s="503"/>
      <c r="HG106" s="503"/>
      <c r="HH106" s="503"/>
      <c r="HI106" s="503"/>
      <c r="HJ106" s="503"/>
      <c r="HK106" s="503"/>
      <c r="HL106" s="503"/>
      <c r="HM106" s="503"/>
      <c r="HN106" s="503"/>
      <c r="HO106" s="503"/>
      <c r="HP106" s="503"/>
      <c r="HQ106" s="503"/>
      <c r="HR106" s="503"/>
      <c r="HS106" s="503"/>
      <c r="HT106" s="503"/>
      <c r="HU106" s="503"/>
      <c r="HV106" s="503"/>
      <c r="HW106" s="503"/>
      <c r="HX106" s="503"/>
      <c r="HY106" s="503"/>
      <c r="HZ106" s="503"/>
      <c r="IA106" s="503"/>
      <c r="IB106" s="503"/>
      <c r="IC106" s="503"/>
      <c r="ID106" s="503"/>
      <c r="IL106" s="516"/>
      <c r="JA106" s="503"/>
    </row>
    <row r="107" spans="1:261" ht="12" customHeight="1">
      <c r="C107" s="2400"/>
      <c r="D107" s="2400"/>
      <c r="E107" s="116"/>
      <c r="F107" s="188"/>
      <c r="G107" s="87"/>
      <c r="H107" s="1324" t="s">
        <v>3688</v>
      </c>
      <c r="I107" s="87"/>
      <c r="J107" s="871">
        <f>J88+J98</f>
        <v>0</v>
      </c>
      <c r="K107" s="871">
        <f t="shared" si="269"/>
        <v>0</v>
      </c>
      <c r="L107" s="871">
        <f t="shared" si="269"/>
        <v>0</v>
      </c>
      <c r="M107" s="871">
        <f t="shared" si="269"/>
        <v>0</v>
      </c>
      <c r="N107" s="871">
        <f t="shared" si="269"/>
        <v>0</v>
      </c>
      <c r="O107" s="871">
        <f t="shared" si="268"/>
        <v>0</v>
      </c>
      <c r="R107" s="454"/>
      <c r="S107" s="454"/>
      <c r="T107" s="454"/>
      <c r="U107" s="3237"/>
      <c r="V107" s="3238"/>
      <c r="W107" s="100"/>
      <c r="X107" s="100"/>
      <c r="Y107" s="95"/>
      <c r="Z107" s="100"/>
      <c r="AA107" s="54"/>
      <c r="AB107" s="821"/>
      <c r="AC107" s="821"/>
      <c r="AD107" s="821"/>
      <c r="AE107" s="821"/>
      <c r="AF107" s="821"/>
      <c r="AG107" s="821"/>
      <c r="AH107" s="531"/>
      <c r="GT107" s="503"/>
      <c r="GY107" s="503"/>
      <c r="GZ107" s="503"/>
      <c r="HA107" s="503"/>
      <c r="HB107" s="503"/>
      <c r="HC107" s="503"/>
      <c r="HD107" s="503"/>
      <c r="HE107" s="503"/>
      <c r="HF107" s="503"/>
      <c r="HG107" s="503"/>
      <c r="HH107" s="503"/>
      <c r="HI107" s="503"/>
      <c r="HJ107" s="503"/>
      <c r="HK107" s="503"/>
      <c r="HL107" s="503"/>
      <c r="HM107" s="503"/>
      <c r="HN107" s="503"/>
      <c r="HO107" s="503"/>
      <c r="HP107" s="503"/>
      <c r="HQ107" s="503"/>
      <c r="HR107" s="503"/>
      <c r="HS107" s="503"/>
      <c r="HT107" s="503"/>
      <c r="HU107" s="503"/>
      <c r="HV107" s="503"/>
      <c r="HW107" s="503"/>
      <c r="HX107" s="503"/>
      <c r="HY107" s="503"/>
      <c r="HZ107" s="503"/>
      <c r="IA107" s="503"/>
      <c r="IB107" s="503"/>
      <c r="IC107" s="503"/>
      <c r="ID107" s="503"/>
      <c r="IL107" s="516"/>
      <c r="JA107" s="503"/>
    </row>
    <row r="108" spans="1:261" ht="12" customHeight="1">
      <c r="C108" s="2400"/>
      <c r="D108" s="2400"/>
      <c r="E108" s="116" t="s">
        <v>3685</v>
      </c>
      <c r="F108" s="188"/>
      <c r="G108" s="87"/>
      <c r="H108" s="41"/>
      <c r="I108" s="87"/>
      <c r="J108" s="871">
        <f>J91</f>
        <v>0</v>
      </c>
      <c r="K108" s="871">
        <f t="shared" ref="K108:N109" si="270">K91</f>
        <v>0</v>
      </c>
      <c r="L108" s="871">
        <f t="shared" si="270"/>
        <v>0</v>
      </c>
      <c r="M108" s="871">
        <f t="shared" si="270"/>
        <v>0</v>
      </c>
      <c r="N108" s="871">
        <f t="shared" si="270"/>
        <v>0</v>
      </c>
      <c r="O108" s="871">
        <f t="shared" si="268"/>
        <v>0</v>
      </c>
      <c r="R108" s="454"/>
      <c r="S108" s="454"/>
      <c r="T108" s="454"/>
      <c r="U108" s="3237"/>
      <c r="V108" s="3238"/>
      <c r="W108" s="100"/>
      <c r="X108" s="100"/>
      <c r="Y108" s="95"/>
      <c r="Z108" s="100"/>
      <c r="AA108" s="54"/>
      <c r="AB108" s="821"/>
      <c r="AC108" s="821"/>
      <c r="AD108" s="821"/>
      <c r="AE108" s="821"/>
      <c r="AF108" s="821"/>
      <c r="AG108" s="821"/>
      <c r="AH108" s="531"/>
      <c r="GT108" s="503"/>
      <c r="GY108" s="503"/>
      <c r="GZ108" s="503"/>
      <c r="HA108" s="503"/>
      <c r="HB108" s="503"/>
      <c r="HC108" s="503"/>
      <c r="HD108" s="503"/>
      <c r="HE108" s="503"/>
      <c r="HF108" s="503"/>
      <c r="HG108" s="503"/>
      <c r="HH108" s="503"/>
      <c r="HI108" s="503"/>
      <c r="HJ108" s="503"/>
      <c r="HK108" s="503"/>
      <c r="HL108" s="503"/>
      <c r="HM108" s="503"/>
      <c r="HN108" s="503"/>
      <c r="HO108" s="503"/>
      <c r="HP108" s="503"/>
      <c r="HQ108" s="503"/>
      <c r="HR108" s="503"/>
      <c r="HS108" s="503"/>
      <c r="HT108" s="503"/>
      <c r="HU108" s="503"/>
      <c r="HV108" s="503"/>
      <c r="HW108" s="503"/>
      <c r="HX108" s="503"/>
      <c r="HY108" s="503"/>
      <c r="HZ108" s="503"/>
      <c r="IA108" s="503"/>
      <c r="IB108" s="503"/>
      <c r="IC108" s="503"/>
      <c r="ID108" s="503"/>
      <c r="IL108" s="516"/>
      <c r="JA108" s="503"/>
    </row>
    <row r="109" spans="1:261" ht="12" customHeight="1">
      <c r="C109" s="2400"/>
      <c r="D109" s="2400"/>
      <c r="E109" s="116"/>
      <c r="F109" s="188"/>
      <c r="G109" s="87"/>
      <c r="H109" s="1324" t="s">
        <v>3688</v>
      </c>
      <c r="I109" s="87"/>
      <c r="J109" s="871">
        <f>J92</f>
        <v>0</v>
      </c>
      <c r="K109" s="871">
        <f t="shared" si="270"/>
        <v>0</v>
      </c>
      <c r="L109" s="871">
        <f t="shared" si="270"/>
        <v>0</v>
      </c>
      <c r="M109" s="871">
        <f t="shared" si="270"/>
        <v>0</v>
      </c>
      <c r="N109" s="871">
        <f t="shared" si="270"/>
        <v>0</v>
      </c>
      <c r="O109" s="871">
        <f t="shared" si="268"/>
        <v>0</v>
      </c>
      <c r="R109" s="454"/>
      <c r="S109" s="454"/>
      <c r="T109" s="454"/>
      <c r="U109" s="3237"/>
      <c r="V109" s="3238"/>
      <c r="W109" s="100"/>
      <c r="X109" s="100"/>
      <c r="Y109" s="95"/>
      <c r="Z109" s="100"/>
      <c r="AA109" s="54"/>
      <c r="AB109" s="821"/>
      <c r="AC109" s="821"/>
      <c r="AD109" s="821"/>
      <c r="AE109" s="821"/>
      <c r="AF109" s="821"/>
      <c r="AG109" s="821"/>
      <c r="AH109" s="531"/>
      <c r="GT109" s="503"/>
      <c r="GY109" s="503"/>
      <c r="GZ109" s="503"/>
      <c r="HA109" s="503"/>
      <c r="HB109" s="503"/>
      <c r="HC109" s="503"/>
      <c r="HD109" s="503"/>
      <c r="HE109" s="503"/>
      <c r="HF109" s="503"/>
      <c r="HG109" s="503"/>
      <c r="HH109" s="503"/>
      <c r="HI109" s="503"/>
      <c r="HJ109" s="503"/>
      <c r="HK109" s="503"/>
      <c r="HL109" s="503"/>
      <c r="HM109" s="503"/>
      <c r="HN109" s="503"/>
      <c r="HO109" s="503"/>
      <c r="HP109" s="503"/>
      <c r="HQ109" s="503"/>
      <c r="HR109" s="503"/>
      <c r="HS109" s="503"/>
      <c r="HT109" s="503"/>
      <c r="HU109" s="503"/>
      <c r="HV109" s="503"/>
      <c r="HW109" s="503"/>
      <c r="HX109" s="503"/>
      <c r="HY109" s="503"/>
      <c r="HZ109" s="503"/>
      <c r="IA109" s="503"/>
      <c r="IB109" s="503"/>
      <c r="IC109" s="503"/>
      <c r="ID109" s="503"/>
      <c r="IL109" s="516"/>
      <c r="JA109" s="503"/>
    </row>
    <row r="110" spans="1:261" ht="12" customHeight="1">
      <c r="C110" s="2400"/>
      <c r="D110" s="2400"/>
      <c r="E110" s="116" t="s">
        <v>3686</v>
      </c>
      <c r="F110" s="188"/>
      <c r="G110" s="87"/>
      <c r="H110" s="41"/>
      <c r="I110" s="87"/>
      <c r="J110" s="871">
        <f>J89+J93</f>
        <v>0</v>
      </c>
      <c r="K110" s="871">
        <f t="shared" ref="K110:N111" si="271">K89+K93</f>
        <v>139</v>
      </c>
      <c r="L110" s="871">
        <f t="shared" si="271"/>
        <v>23</v>
      </c>
      <c r="M110" s="871">
        <f t="shared" si="271"/>
        <v>0</v>
      </c>
      <c r="N110" s="871">
        <f t="shared" si="271"/>
        <v>0</v>
      </c>
      <c r="O110" s="871">
        <f t="shared" si="268"/>
        <v>162</v>
      </c>
      <c r="R110" s="454"/>
      <c r="S110" s="454"/>
      <c r="T110" s="454"/>
      <c r="U110" s="3237"/>
      <c r="V110" s="3238"/>
      <c r="W110" s="100"/>
      <c r="X110" s="100"/>
      <c r="Y110" s="95"/>
      <c r="Z110" s="100"/>
      <c r="AA110" s="54"/>
      <c r="AB110" s="821"/>
      <c r="AC110" s="821"/>
      <c r="AD110" s="821"/>
      <c r="AE110" s="821"/>
      <c r="AF110" s="821"/>
      <c r="AG110" s="821"/>
      <c r="AH110" s="531"/>
      <c r="GT110" s="503"/>
      <c r="GY110" s="503"/>
      <c r="GZ110" s="503"/>
      <c r="HA110" s="503"/>
      <c r="HB110" s="503"/>
      <c r="HC110" s="503"/>
      <c r="HD110" s="503"/>
      <c r="HE110" s="503"/>
      <c r="HF110" s="503"/>
      <c r="HG110" s="503"/>
      <c r="HH110" s="503"/>
      <c r="HI110" s="503"/>
      <c r="HJ110" s="503"/>
      <c r="HK110" s="503"/>
      <c r="HL110" s="503"/>
      <c r="HM110" s="503"/>
      <c r="HN110" s="503"/>
      <c r="HO110" s="503"/>
      <c r="HP110" s="503"/>
      <c r="HQ110" s="503"/>
      <c r="HR110" s="503"/>
      <c r="HS110" s="503"/>
      <c r="HT110" s="503"/>
      <c r="HU110" s="503"/>
      <c r="HV110" s="503"/>
      <c r="HW110" s="503"/>
      <c r="HX110" s="503"/>
      <c r="HY110" s="503"/>
      <c r="HZ110" s="503"/>
      <c r="IA110" s="503"/>
      <c r="IB110" s="503"/>
      <c r="IC110" s="503"/>
      <c r="ID110" s="503"/>
      <c r="IL110" s="516"/>
      <c r="JA110" s="503"/>
    </row>
    <row r="111" spans="1:261" ht="12" customHeight="1">
      <c r="C111" s="1"/>
      <c r="D111" s="1"/>
      <c r="E111" s="430"/>
      <c r="F111" s="188"/>
      <c r="G111" s="87"/>
      <c r="H111" s="1324" t="s">
        <v>3688</v>
      </c>
      <c r="I111" s="87"/>
      <c r="J111" s="872">
        <f>J90+J94</f>
        <v>0</v>
      </c>
      <c r="K111" s="872">
        <f t="shared" si="271"/>
        <v>0</v>
      </c>
      <c r="L111" s="872">
        <f t="shared" si="271"/>
        <v>0</v>
      </c>
      <c r="M111" s="872">
        <f t="shared" si="271"/>
        <v>0</v>
      </c>
      <c r="N111" s="872">
        <f t="shared" si="271"/>
        <v>0</v>
      </c>
      <c r="O111" s="872">
        <f t="shared" si="268"/>
        <v>0</v>
      </c>
      <c r="R111" s="454"/>
      <c r="S111" s="454"/>
      <c r="T111" s="454"/>
      <c r="U111" s="3241"/>
      <c r="V111" s="3242"/>
      <c r="W111" s="100"/>
      <c r="X111" s="100"/>
      <c r="Y111" s="95"/>
      <c r="Z111" s="100"/>
      <c r="AA111" s="54"/>
      <c r="AB111" s="821"/>
      <c r="AC111" s="821"/>
      <c r="AD111" s="821"/>
      <c r="AE111" s="821"/>
      <c r="AF111" s="821"/>
      <c r="AG111" s="821"/>
      <c r="AH111" s="531"/>
      <c r="GT111" s="503"/>
      <c r="GY111" s="503"/>
      <c r="GZ111" s="503"/>
      <c r="HA111" s="503"/>
      <c r="HB111" s="503"/>
      <c r="HC111" s="503"/>
      <c r="HD111" s="503"/>
      <c r="HE111" s="503"/>
      <c r="HF111" s="503"/>
      <c r="HG111" s="503"/>
      <c r="HH111" s="503"/>
      <c r="HI111" s="503"/>
      <c r="HJ111" s="503"/>
      <c r="HK111" s="503"/>
      <c r="HL111" s="503"/>
      <c r="HM111" s="503"/>
      <c r="HN111" s="503"/>
      <c r="HO111" s="503"/>
      <c r="HP111" s="503"/>
      <c r="HQ111" s="503"/>
      <c r="HR111" s="503"/>
      <c r="HS111" s="503"/>
      <c r="HT111" s="503"/>
      <c r="HU111" s="503"/>
      <c r="HV111" s="503"/>
      <c r="HW111" s="503"/>
      <c r="HX111" s="503"/>
      <c r="HY111" s="503"/>
      <c r="HZ111" s="503"/>
      <c r="IA111" s="503"/>
      <c r="IB111" s="503"/>
      <c r="IC111" s="503"/>
      <c r="ID111" s="503"/>
      <c r="IL111" s="516"/>
      <c r="JA111" s="503"/>
    </row>
    <row r="112" spans="1:261" ht="12" customHeight="1">
      <c r="A112" s="14"/>
      <c r="B112" s="14" t="s">
        <v>2253</v>
      </c>
      <c r="C112" s="1"/>
      <c r="D112" s="1"/>
      <c r="E112" s="1"/>
      <c r="F112" s="1"/>
      <c r="G112" s="87"/>
      <c r="H112" s="41"/>
      <c r="I112" s="87"/>
      <c r="J112" s="873"/>
      <c r="K112" s="873"/>
      <c r="L112" s="873"/>
      <c r="M112" s="873"/>
      <c r="N112" s="873"/>
      <c r="O112" s="873"/>
      <c r="R112" s="454"/>
      <c r="S112" s="454"/>
      <c r="T112" s="454"/>
      <c r="U112" s="345" t="str">
        <f>B112</f>
        <v>Unit Square Footage:</v>
      </c>
      <c r="V112" s="453" t="s">
        <v>1185</v>
      </c>
      <c r="W112" s="533"/>
      <c r="X112" s="533"/>
      <c r="Y112" s="533"/>
      <c r="Z112" s="533"/>
      <c r="AA112" s="54"/>
      <c r="AB112" s="533"/>
      <c r="AC112" s="533"/>
      <c r="AD112" s="533"/>
      <c r="AE112" s="533"/>
      <c r="AF112" s="533"/>
      <c r="AG112" s="533"/>
      <c r="AH112" s="531"/>
      <c r="AI112" s="100"/>
      <c r="IL112" s="516"/>
      <c r="JA112" s="503"/>
    </row>
    <row r="113" spans="1:263" ht="12" customHeight="1">
      <c r="C113" s="5" t="s">
        <v>2224</v>
      </c>
      <c r="D113" s="1"/>
      <c r="E113" s="1"/>
      <c r="F113" s="1"/>
      <c r="G113" s="87"/>
      <c r="H113" s="41" t="s">
        <v>1198</v>
      </c>
      <c r="I113" s="87"/>
      <c r="J113" s="874">
        <f>BZ48</f>
        <v>0</v>
      </c>
      <c r="K113" s="874">
        <f>CA48</f>
        <v>86991</v>
      </c>
      <c r="L113" s="874">
        <f>CB48</f>
        <v>18947</v>
      </c>
      <c r="M113" s="874">
        <f>CC48</f>
        <v>0</v>
      </c>
      <c r="N113" s="874">
        <f>CD48</f>
        <v>0</v>
      </c>
      <c r="O113" s="874">
        <f t="shared" ref="O113:O119" si="272">SUM(J113:N113)</f>
        <v>105938</v>
      </c>
      <c r="R113" s="454"/>
      <c r="S113" s="454"/>
      <c r="T113" s="454"/>
      <c r="U113" s="3153"/>
      <c r="V113" s="3154"/>
      <c r="W113" s="533"/>
      <c r="X113" s="533"/>
      <c r="Y113" s="533"/>
      <c r="Z113" s="533"/>
      <c r="AA113" s="54"/>
      <c r="AB113" s="821"/>
      <c r="AC113" s="821"/>
      <c r="AD113" s="821"/>
      <c r="AE113" s="821"/>
      <c r="AF113" s="821"/>
      <c r="AG113" s="821"/>
      <c r="AH113" s="531"/>
      <c r="AI113" s="100"/>
      <c r="IL113" s="516"/>
      <c r="JA113" s="503"/>
    </row>
    <row r="114" spans="1:263" ht="12" customHeight="1">
      <c r="C114" s="4"/>
      <c r="D114" s="1"/>
      <c r="E114" s="1"/>
      <c r="F114" s="1"/>
      <c r="G114" s="87"/>
      <c r="H114" s="41" t="s">
        <v>120</v>
      </c>
      <c r="I114" s="87"/>
      <c r="J114" s="875">
        <f>CE48</f>
        <v>0</v>
      </c>
      <c r="K114" s="875">
        <f>CF48</f>
        <v>23128</v>
      </c>
      <c r="L114" s="875">
        <f>CG48</f>
        <v>5293</v>
      </c>
      <c r="M114" s="875">
        <f>CH48</f>
        <v>0</v>
      </c>
      <c r="N114" s="875">
        <f>CI48</f>
        <v>0</v>
      </c>
      <c r="O114" s="875">
        <f t="shared" si="272"/>
        <v>28421</v>
      </c>
      <c r="R114" s="454"/>
      <c r="S114" s="454"/>
      <c r="T114" s="454"/>
      <c r="U114" s="3155"/>
      <c r="V114" s="3156"/>
      <c r="W114" s="10"/>
      <c r="X114" s="533"/>
      <c r="Y114" s="533"/>
      <c r="Z114" s="533"/>
      <c r="AA114" s="54"/>
      <c r="AB114" s="821"/>
      <c r="AC114" s="821"/>
      <c r="AD114" s="821"/>
      <c r="AE114" s="821"/>
      <c r="AF114" s="821"/>
      <c r="AG114" s="821"/>
      <c r="AH114" s="533"/>
      <c r="AI114" s="100"/>
      <c r="IL114" s="516"/>
      <c r="JA114" s="503"/>
    </row>
    <row r="115" spans="1:263" ht="12" customHeight="1">
      <c r="C115" s="4"/>
      <c r="D115" s="1"/>
      <c r="E115" s="1"/>
      <c r="F115" s="1"/>
      <c r="G115" s="87"/>
      <c r="H115" s="41" t="s">
        <v>564</v>
      </c>
      <c r="I115" s="87"/>
      <c r="J115" s="874">
        <f>SUM(J113:J114)</f>
        <v>0</v>
      </c>
      <c r="K115" s="874">
        <f>SUM(K113:K114)</f>
        <v>110119</v>
      </c>
      <c r="L115" s="874">
        <f>SUM(L113:L114)</f>
        <v>24240</v>
      </c>
      <c r="M115" s="874">
        <f>SUM(M113:M114)</f>
        <v>0</v>
      </c>
      <c r="N115" s="874">
        <f>SUM(N113:N114)</f>
        <v>0</v>
      </c>
      <c r="O115" s="874">
        <f t="shared" si="272"/>
        <v>134359</v>
      </c>
      <c r="R115" s="454"/>
      <c r="S115" s="454"/>
      <c r="T115" s="454"/>
      <c r="U115" s="3155"/>
      <c r="V115" s="3156"/>
      <c r="W115" s="10"/>
      <c r="X115" s="533"/>
      <c r="Y115" s="533"/>
      <c r="Z115" s="533"/>
      <c r="AA115" s="54"/>
      <c r="AB115" s="821"/>
      <c r="AC115" s="821"/>
      <c r="AD115" s="821"/>
      <c r="AE115" s="821"/>
      <c r="AF115" s="821"/>
      <c r="AG115" s="821"/>
      <c r="AH115" s="533"/>
      <c r="AI115" s="100"/>
      <c r="IL115" s="516"/>
      <c r="JA115" s="503"/>
    </row>
    <row r="116" spans="1:263" ht="12" customHeight="1">
      <c r="C116" s="1" t="s">
        <v>317</v>
      </c>
      <c r="D116" s="1"/>
      <c r="E116" s="1"/>
      <c r="F116" s="1"/>
      <c r="G116" s="1"/>
      <c r="H116" s="87"/>
      <c r="I116" s="87"/>
      <c r="J116" s="876">
        <f>CO48</f>
        <v>0</v>
      </c>
      <c r="K116" s="876">
        <f>CP48</f>
        <v>0</v>
      </c>
      <c r="L116" s="876">
        <f>CQ48</f>
        <v>0</v>
      </c>
      <c r="M116" s="876">
        <f>CR48</f>
        <v>0</v>
      </c>
      <c r="N116" s="876">
        <f>CS48</f>
        <v>0</v>
      </c>
      <c r="O116" s="876">
        <f t="shared" si="272"/>
        <v>0</v>
      </c>
      <c r="R116" s="454"/>
      <c r="S116" s="454"/>
      <c r="T116" s="454"/>
      <c r="U116" s="3155"/>
      <c r="V116" s="3156"/>
      <c r="W116" s="100"/>
      <c r="X116" s="533"/>
      <c r="Y116" s="533"/>
      <c r="Z116" s="533"/>
      <c r="AA116" s="533"/>
      <c r="AB116" s="821"/>
      <c r="AC116" s="821"/>
      <c r="AD116" s="821"/>
      <c r="AE116" s="821"/>
      <c r="AF116" s="821"/>
      <c r="AG116" s="821"/>
      <c r="AH116" s="531"/>
      <c r="AI116" s="100"/>
      <c r="IL116" s="516"/>
      <c r="JA116" s="503"/>
    </row>
    <row r="117" spans="1:263" ht="12" customHeight="1">
      <c r="C117" s="5" t="s">
        <v>1187</v>
      </c>
      <c r="D117" s="1"/>
      <c r="E117" s="1"/>
      <c r="F117" s="1"/>
      <c r="G117" s="1"/>
      <c r="H117" s="87"/>
      <c r="I117" s="87"/>
      <c r="J117" s="874">
        <f>SUM(J115:J116)</f>
        <v>0</v>
      </c>
      <c r="K117" s="874">
        <f>SUM(K115:K116)</f>
        <v>110119</v>
      </c>
      <c r="L117" s="874">
        <f>SUM(L115:L116)</f>
        <v>24240</v>
      </c>
      <c r="M117" s="874">
        <f>SUM(M115:M116)</f>
        <v>0</v>
      </c>
      <c r="N117" s="874">
        <f>SUM(N115:N116)</f>
        <v>0</v>
      </c>
      <c r="O117" s="874">
        <f t="shared" si="272"/>
        <v>134359</v>
      </c>
      <c r="R117" s="454"/>
      <c r="S117" s="454"/>
      <c r="T117" s="454"/>
      <c r="U117" s="3155"/>
      <c r="V117" s="3156"/>
      <c r="W117" s="533"/>
      <c r="X117" s="533"/>
      <c r="Y117" s="533"/>
      <c r="Z117" s="533"/>
      <c r="AA117" s="533"/>
      <c r="AB117" s="821"/>
      <c r="AC117" s="821"/>
      <c r="AD117" s="821"/>
      <c r="AE117" s="821"/>
      <c r="AF117" s="821"/>
      <c r="AG117" s="821"/>
      <c r="AH117" s="531"/>
      <c r="AI117" s="100"/>
      <c r="IL117" s="516"/>
      <c r="JA117" s="503"/>
    </row>
    <row r="118" spans="1:263" ht="12" customHeight="1">
      <c r="C118" s="5" t="s">
        <v>2610</v>
      </c>
      <c r="D118" s="1"/>
      <c r="E118" s="1"/>
      <c r="F118" s="1"/>
      <c r="G118" s="1"/>
      <c r="H118" s="87"/>
      <c r="I118" s="87"/>
      <c r="J118" s="876">
        <f>CY48</f>
        <v>0</v>
      </c>
      <c r="K118" s="876">
        <f>CZ48</f>
        <v>0</v>
      </c>
      <c r="L118" s="876">
        <f>DA48</f>
        <v>0</v>
      </c>
      <c r="M118" s="876">
        <f>DB48</f>
        <v>0</v>
      </c>
      <c r="N118" s="876">
        <f>DC48</f>
        <v>0</v>
      </c>
      <c r="O118" s="876">
        <f t="shared" si="272"/>
        <v>0</v>
      </c>
      <c r="R118" s="454"/>
      <c r="S118" s="454"/>
      <c r="T118" s="454"/>
      <c r="U118" s="3155"/>
      <c r="V118" s="3156"/>
      <c r="W118" s="533"/>
      <c r="X118" s="533"/>
      <c r="Y118" s="533"/>
      <c r="Z118" s="533"/>
      <c r="AA118" s="533"/>
      <c r="AB118" s="821"/>
      <c r="AC118" s="821"/>
      <c r="AD118" s="821"/>
      <c r="AE118" s="821"/>
      <c r="AF118" s="821"/>
      <c r="AG118" s="821"/>
      <c r="AH118" s="531"/>
      <c r="AI118" s="100"/>
      <c r="IL118" s="516"/>
      <c r="JA118" s="503"/>
    </row>
    <row r="119" spans="1:263" ht="12" customHeight="1">
      <c r="C119" s="5" t="s">
        <v>564</v>
      </c>
      <c r="D119" s="1"/>
      <c r="E119" s="1"/>
      <c r="F119" s="1"/>
      <c r="G119" s="1"/>
      <c r="H119" s="87"/>
      <c r="I119" s="87"/>
      <c r="J119" s="877">
        <f>SUM(J117:J118)</f>
        <v>0</v>
      </c>
      <c r="K119" s="877">
        <f>SUM(K117:K118)</f>
        <v>110119</v>
      </c>
      <c r="L119" s="877">
        <f>SUM(L117:L118)</f>
        <v>24240</v>
      </c>
      <c r="M119" s="877">
        <f>SUM(M117:M118)</f>
        <v>0</v>
      </c>
      <c r="N119" s="877">
        <f>SUM(N117:N118)</f>
        <v>0</v>
      </c>
      <c r="O119" s="877">
        <f t="shared" si="272"/>
        <v>134359</v>
      </c>
      <c r="R119" s="454"/>
      <c r="S119" s="454"/>
      <c r="T119" s="454"/>
      <c r="U119" s="3158"/>
      <c r="V119" s="3159"/>
      <c r="W119" s="533"/>
      <c r="X119" s="533"/>
      <c r="Y119" s="533"/>
      <c r="Z119" s="533"/>
      <c r="AA119" s="533"/>
      <c r="AB119" s="821"/>
      <c r="AC119" s="821"/>
      <c r="AD119" s="821"/>
      <c r="AE119" s="821"/>
      <c r="AF119" s="821"/>
      <c r="AG119" s="821"/>
      <c r="AH119" s="531"/>
      <c r="AI119" s="100"/>
      <c r="IL119" s="516"/>
      <c r="JA119" s="503"/>
    </row>
    <row r="120" spans="1:263" ht="13.9" customHeight="1">
      <c r="A120" s="14" t="s">
        <v>779</v>
      </c>
      <c r="B120" s="14" t="s">
        <v>235</v>
      </c>
      <c r="P120" s="8"/>
      <c r="Q120" s="8"/>
      <c r="R120" s="455"/>
      <c r="S120" s="455"/>
      <c r="T120" s="455"/>
      <c r="U120" s="14" t="s">
        <v>1925</v>
      </c>
      <c r="GT120" s="503"/>
      <c r="GY120" s="503"/>
      <c r="IE120" s="512"/>
      <c r="IK120" s="503"/>
      <c r="IL120" s="516"/>
      <c r="JA120" s="503"/>
      <c r="JC120" s="516"/>
    </row>
    <row r="121" spans="1:263" ht="2.25" customHeight="1">
      <c r="P121" s="455"/>
      <c r="Q121" s="455"/>
    </row>
    <row r="122" spans="1:263" ht="11.25" customHeight="1">
      <c r="B122" s="1463" t="s">
        <v>1060</v>
      </c>
      <c r="C122" s="95"/>
      <c r="D122" s="116"/>
      <c r="E122" s="95"/>
      <c r="F122" s="95"/>
      <c r="G122" s="95"/>
      <c r="H122" s="3243">
        <f>'Part VII-Pro Forma'!B9*L49</f>
        <v>28427.760000000002</v>
      </c>
      <c r="I122" s="3244"/>
      <c r="J122" s="95"/>
      <c r="K122" s="564" t="s">
        <v>2881</v>
      </c>
      <c r="L122" s="95"/>
      <c r="M122" s="95"/>
      <c r="N122" s="95"/>
      <c r="O122" s="1464">
        <f>H122/L49</f>
        <v>0.02</v>
      </c>
      <c r="P122" s="415"/>
      <c r="Q122" s="415"/>
      <c r="U122" s="4" t="str">
        <f>B122</f>
        <v>Ancillary Income</v>
      </c>
    </row>
    <row r="123" spans="1:263" ht="2.25" customHeight="1">
      <c r="B123" s="1463"/>
      <c r="C123" s="95"/>
      <c r="D123" s="116"/>
      <c r="E123" s="1465"/>
      <c r="F123" s="95"/>
      <c r="G123" s="95"/>
      <c r="H123" s="95"/>
      <c r="I123" s="114"/>
      <c r="J123" s="95"/>
      <c r="K123" s="95"/>
      <c r="L123" s="95"/>
      <c r="M123" s="95"/>
      <c r="N123" s="95"/>
      <c r="O123" s="95"/>
      <c r="P123" s="415"/>
      <c r="Q123" s="415"/>
    </row>
    <row r="124" spans="1:263" ht="11.25" customHeight="1">
      <c r="B124" s="1463" t="s">
        <v>1509</v>
      </c>
      <c r="C124" s="95"/>
      <c r="D124" s="95"/>
      <c r="E124" s="95"/>
      <c r="F124" s="95"/>
      <c r="G124" s="95"/>
      <c r="H124" s="95"/>
      <c r="I124" s="1463"/>
      <c r="J124" s="95"/>
      <c r="K124" s="1466"/>
      <c r="L124" s="95"/>
      <c r="M124" s="95"/>
      <c r="N124" s="95"/>
      <c r="O124" s="95"/>
      <c r="P124" s="118"/>
      <c r="U124" s="4" t="str">
        <f>B124</f>
        <v>Other Income (OI) by Year:</v>
      </c>
    </row>
    <row r="125" spans="1:263" ht="11.25" customHeight="1">
      <c r="B125" s="1467" t="s">
        <v>2377</v>
      </c>
      <c r="C125" s="95"/>
      <c r="D125" s="95"/>
      <c r="E125" s="95"/>
      <c r="F125" s="95"/>
      <c r="G125" s="1468">
        <v>1</v>
      </c>
      <c r="H125" s="1468">
        <v>2</v>
      </c>
      <c r="I125" s="1468">
        <v>3</v>
      </c>
      <c r="J125" s="1468">
        <v>4</v>
      </c>
      <c r="K125" s="1469">
        <v>5</v>
      </c>
      <c r="L125" s="1468">
        <v>6</v>
      </c>
      <c r="M125" s="1468">
        <v>7</v>
      </c>
      <c r="N125" s="1468">
        <v>8</v>
      </c>
      <c r="O125" s="1468">
        <v>9</v>
      </c>
      <c r="P125" s="1468">
        <v>10</v>
      </c>
      <c r="Q125" s="923"/>
      <c r="U125" s="100" t="str">
        <f>B125</f>
        <v>Included in Mgt Fee:</v>
      </c>
    </row>
    <row r="126" spans="1:263" ht="11.25" customHeight="1">
      <c r="B126" s="116" t="s">
        <v>1061</v>
      </c>
      <c r="C126" s="116"/>
      <c r="D126" s="116"/>
      <c r="E126" s="116"/>
      <c r="F126" s="116"/>
      <c r="G126" s="3245"/>
      <c r="H126" s="3245"/>
      <c r="I126" s="3245"/>
      <c r="J126" s="3245"/>
      <c r="K126" s="3246"/>
      <c r="L126" s="3245"/>
      <c r="M126" s="3245"/>
      <c r="N126" s="3245"/>
      <c r="O126" s="3245"/>
      <c r="P126" s="3245"/>
      <c r="Q126" s="1280"/>
      <c r="U126" s="3153"/>
      <c r="V126" s="3154"/>
    </row>
    <row r="127" spans="1:263" ht="11.25" customHeight="1">
      <c r="B127" s="116" t="s">
        <v>778</v>
      </c>
      <c r="C127" s="3247"/>
      <c r="D127" s="3248"/>
      <c r="E127" s="3248"/>
      <c r="F127" s="3249"/>
      <c r="G127" s="3250"/>
      <c r="H127" s="3250"/>
      <c r="I127" s="3250"/>
      <c r="J127" s="3250"/>
      <c r="K127" s="3251"/>
      <c r="L127" s="3250"/>
      <c r="M127" s="3250"/>
      <c r="N127" s="3250"/>
      <c r="O127" s="3250"/>
      <c r="P127" s="3250"/>
      <c r="Q127" s="1280"/>
      <c r="U127" s="3155"/>
      <c r="V127" s="3156"/>
    </row>
    <row r="128" spans="1:263" ht="11.25" customHeight="1">
      <c r="B128" s="116"/>
      <c r="C128" s="116" t="s">
        <v>968</v>
      </c>
      <c r="D128" s="116"/>
      <c r="E128" s="116"/>
      <c r="F128" s="116"/>
      <c r="G128" s="1470">
        <f t="shared" ref="G128:P128" si="273">SUM(G126:G127)</f>
        <v>0</v>
      </c>
      <c r="H128" s="1470">
        <f t="shared" si="273"/>
        <v>0</v>
      </c>
      <c r="I128" s="1470">
        <f t="shared" si="273"/>
        <v>0</v>
      </c>
      <c r="J128" s="1470">
        <f t="shared" si="273"/>
        <v>0</v>
      </c>
      <c r="K128" s="1470">
        <f t="shared" si="273"/>
        <v>0</v>
      </c>
      <c r="L128" s="1470">
        <f t="shared" si="273"/>
        <v>0</v>
      </c>
      <c r="M128" s="1470">
        <f t="shared" si="273"/>
        <v>0</v>
      </c>
      <c r="N128" s="1470">
        <f t="shared" si="273"/>
        <v>0</v>
      </c>
      <c r="O128" s="1470">
        <f t="shared" si="273"/>
        <v>0</v>
      </c>
      <c r="P128" s="1470">
        <f t="shared" si="273"/>
        <v>0</v>
      </c>
      <c r="Q128" s="128"/>
      <c r="U128" s="3158"/>
      <c r="V128" s="3159"/>
    </row>
    <row r="129" spans="2:22" ht="11.25" customHeight="1">
      <c r="B129" s="1471" t="s">
        <v>4462</v>
      </c>
      <c r="C129" s="95"/>
      <c r="D129" s="95"/>
      <c r="E129" s="95"/>
      <c r="F129" s="95"/>
      <c r="G129" s="1472"/>
      <c r="H129" s="95"/>
      <c r="I129" s="95"/>
      <c r="J129" s="95"/>
      <c r="K129" s="95"/>
      <c r="L129" s="95"/>
      <c r="M129" s="95"/>
      <c r="N129" s="95"/>
      <c r="O129" s="95"/>
      <c r="P129" s="95"/>
      <c r="Q129" s="8"/>
      <c r="U129" s="100" t="str">
        <f>B129</f>
        <v>NOT Included in Mgt Fee:</v>
      </c>
    </row>
    <row r="130" spans="2:22" ht="11.25" customHeight="1">
      <c r="B130" s="116" t="s">
        <v>558</v>
      </c>
      <c r="C130" s="116"/>
      <c r="D130" s="116"/>
      <c r="E130" s="116"/>
      <c r="F130" s="116"/>
      <c r="G130" s="3245"/>
      <c r="H130" s="3245"/>
      <c r="I130" s="3245"/>
      <c r="J130" s="3245"/>
      <c r="K130" s="3246"/>
      <c r="L130" s="3245"/>
      <c r="M130" s="3245"/>
      <c r="N130" s="3245"/>
      <c r="O130" s="3245"/>
      <c r="P130" s="3245"/>
      <c r="Q130" s="1280"/>
      <c r="U130" s="3153"/>
      <c r="V130" s="3154"/>
    </row>
    <row r="131" spans="2:22" ht="11.25" customHeight="1">
      <c r="B131" s="116" t="s">
        <v>778</v>
      </c>
      <c r="C131" s="3247"/>
      <c r="D131" s="3248"/>
      <c r="E131" s="3248"/>
      <c r="F131" s="3249"/>
      <c r="G131" s="3250"/>
      <c r="H131" s="3250"/>
      <c r="I131" s="3250"/>
      <c r="J131" s="3250"/>
      <c r="K131" s="3251"/>
      <c r="L131" s="3250"/>
      <c r="M131" s="3250"/>
      <c r="N131" s="3250"/>
      <c r="O131" s="3250"/>
      <c r="P131" s="3250"/>
      <c r="Q131" s="1280"/>
      <c r="U131" s="3155"/>
      <c r="V131" s="3156"/>
    </row>
    <row r="132" spans="2:22" ht="11.25" customHeight="1">
      <c r="B132" s="116"/>
      <c r="C132" s="116" t="s">
        <v>199</v>
      </c>
      <c r="D132" s="116"/>
      <c r="E132" s="116"/>
      <c r="F132" s="116"/>
      <c r="G132" s="1470">
        <f t="shared" ref="G132:P132" si="274">SUM(G130:G131)</f>
        <v>0</v>
      </c>
      <c r="H132" s="1470">
        <f t="shared" si="274"/>
        <v>0</v>
      </c>
      <c r="I132" s="1470">
        <f t="shared" si="274"/>
        <v>0</v>
      </c>
      <c r="J132" s="1470">
        <f t="shared" si="274"/>
        <v>0</v>
      </c>
      <c r="K132" s="1470">
        <f t="shared" si="274"/>
        <v>0</v>
      </c>
      <c r="L132" s="1470">
        <f t="shared" si="274"/>
        <v>0</v>
      </c>
      <c r="M132" s="1470">
        <f t="shared" si="274"/>
        <v>0</v>
      </c>
      <c r="N132" s="1470">
        <f t="shared" si="274"/>
        <v>0</v>
      </c>
      <c r="O132" s="1470">
        <f t="shared" si="274"/>
        <v>0</v>
      </c>
      <c r="P132" s="1470">
        <f t="shared" si="274"/>
        <v>0</v>
      </c>
      <c r="Q132" s="128"/>
      <c r="U132" s="3158"/>
      <c r="V132" s="3159"/>
    </row>
    <row r="133" spans="2:22" ht="3" customHeight="1">
      <c r="B133" s="1463"/>
      <c r="C133" s="95"/>
      <c r="D133" s="95"/>
      <c r="E133" s="95"/>
      <c r="F133" s="95"/>
      <c r="G133" s="1472"/>
      <c r="H133" s="95"/>
      <c r="I133" s="95"/>
      <c r="J133" s="95"/>
      <c r="K133" s="95"/>
      <c r="L133" s="95"/>
      <c r="M133" s="95"/>
      <c r="N133" s="95"/>
      <c r="O133" s="95"/>
      <c r="P133" s="95"/>
      <c r="Q133" s="8"/>
      <c r="U133" s="180" t="s">
        <v>2722</v>
      </c>
    </row>
    <row r="134" spans="2:22" ht="11.25" customHeight="1">
      <c r="B134" s="1467" t="s">
        <v>2377</v>
      </c>
      <c r="C134" s="95"/>
      <c r="D134" s="95"/>
      <c r="E134" s="95"/>
      <c r="F134" s="95"/>
      <c r="G134" s="1468">
        <v>11</v>
      </c>
      <c r="H134" s="1468">
        <v>12</v>
      </c>
      <c r="I134" s="1468">
        <v>13</v>
      </c>
      <c r="J134" s="1468">
        <v>14</v>
      </c>
      <c r="K134" s="1468">
        <v>15</v>
      </c>
      <c r="L134" s="1468">
        <v>16</v>
      </c>
      <c r="M134" s="1468">
        <v>17</v>
      </c>
      <c r="N134" s="1468">
        <v>18</v>
      </c>
      <c r="O134" s="1468">
        <v>19</v>
      </c>
      <c r="P134" s="1468">
        <v>20</v>
      </c>
      <c r="Q134" s="923"/>
      <c r="U134" s="100" t="str">
        <f>B134</f>
        <v>Included in Mgt Fee:</v>
      </c>
    </row>
    <row r="135" spans="2:22" ht="11.25" customHeight="1">
      <c r="B135" s="116" t="s">
        <v>1061</v>
      </c>
      <c r="C135" s="116"/>
      <c r="D135" s="116"/>
      <c r="E135" s="116"/>
      <c r="F135" s="116"/>
      <c r="G135" s="3245"/>
      <c r="H135" s="3245"/>
      <c r="I135" s="3245"/>
      <c r="J135" s="3245"/>
      <c r="K135" s="3246"/>
      <c r="L135" s="3245"/>
      <c r="M135" s="3245"/>
      <c r="N135" s="3245"/>
      <c r="O135" s="3245"/>
      <c r="P135" s="3245"/>
      <c r="Q135" s="1280"/>
      <c r="U135" s="3153"/>
      <c r="V135" s="3154"/>
    </row>
    <row r="136" spans="2:22" ht="11.25" customHeight="1">
      <c r="B136" s="116" t="s">
        <v>778</v>
      </c>
      <c r="C136" s="3247"/>
      <c r="D136" s="3248"/>
      <c r="E136" s="3248"/>
      <c r="F136" s="3249"/>
      <c r="G136" s="3250"/>
      <c r="H136" s="3250"/>
      <c r="I136" s="3250"/>
      <c r="J136" s="3250"/>
      <c r="K136" s="3251"/>
      <c r="L136" s="3250"/>
      <c r="M136" s="3250"/>
      <c r="N136" s="3250"/>
      <c r="O136" s="3250"/>
      <c r="P136" s="3250"/>
      <c r="Q136" s="1280"/>
      <c r="U136" s="3155"/>
      <c r="V136" s="3156"/>
    </row>
    <row r="137" spans="2:22" ht="11.25" customHeight="1">
      <c r="B137" s="116"/>
      <c r="C137" s="116" t="s">
        <v>968</v>
      </c>
      <c r="D137" s="116"/>
      <c r="E137" s="116"/>
      <c r="F137" s="116"/>
      <c r="G137" s="1470">
        <f t="shared" ref="G137:P137" si="275">SUM(G135:G136)</f>
        <v>0</v>
      </c>
      <c r="H137" s="1470">
        <f t="shared" si="275"/>
        <v>0</v>
      </c>
      <c r="I137" s="1470">
        <f t="shared" si="275"/>
        <v>0</v>
      </c>
      <c r="J137" s="1470">
        <f t="shared" si="275"/>
        <v>0</v>
      </c>
      <c r="K137" s="1470">
        <f t="shared" si="275"/>
        <v>0</v>
      </c>
      <c r="L137" s="1470">
        <f t="shared" si="275"/>
        <v>0</v>
      </c>
      <c r="M137" s="1470">
        <f t="shared" si="275"/>
        <v>0</v>
      </c>
      <c r="N137" s="1470">
        <f t="shared" si="275"/>
        <v>0</v>
      </c>
      <c r="O137" s="1470">
        <f t="shared" si="275"/>
        <v>0</v>
      </c>
      <c r="P137" s="1470">
        <f t="shared" si="275"/>
        <v>0</v>
      </c>
      <c r="Q137" s="128"/>
      <c r="U137" s="3158"/>
      <c r="V137" s="3159"/>
    </row>
    <row r="138" spans="2:22" ht="11.25" customHeight="1">
      <c r="B138" s="1471" t="s">
        <v>4462</v>
      </c>
      <c r="C138" s="95"/>
      <c r="D138" s="95"/>
      <c r="E138" s="95"/>
      <c r="F138" s="95"/>
      <c r="G138" s="1472"/>
      <c r="H138" s="95"/>
      <c r="I138" s="95"/>
      <c r="J138" s="95"/>
      <c r="K138" s="95"/>
      <c r="L138" s="95"/>
      <c r="M138" s="95"/>
      <c r="N138" s="95"/>
      <c r="O138" s="95"/>
      <c r="P138" s="95"/>
      <c r="Q138" s="8"/>
      <c r="U138" s="100" t="str">
        <f>B138</f>
        <v>NOT Included in Mgt Fee:</v>
      </c>
    </row>
    <row r="139" spans="2:22" ht="11.25" customHeight="1">
      <c r="B139" s="116" t="s">
        <v>558</v>
      </c>
      <c r="C139" s="116"/>
      <c r="D139" s="116"/>
      <c r="E139" s="116"/>
      <c r="F139" s="116"/>
      <c r="G139" s="3245"/>
      <c r="H139" s="3245"/>
      <c r="I139" s="3245"/>
      <c r="J139" s="3245"/>
      <c r="K139" s="3246"/>
      <c r="L139" s="3245"/>
      <c r="M139" s="3245"/>
      <c r="N139" s="3245"/>
      <c r="O139" s="3245"/>
      <c r="P139" s="3245"/>
      <c r="Q139" s="1280"/>
      <c r="U139" s="3153"/>
      <c r="V139" s="3154"/>
    </row>
    <row r="140" spans="2:22" ht="11.25" customHeight="1">
      <c r="B140" s="116" t="s">
        <v>778</v>
      </c>
      <c r="C140" s="3247"/>
      <c r="D140" s="3248"/>
      <c r="E140" s="3248"/>
      <c r="F140" s="3249"/>
      <c r="G140" s="3250"/>
      <c r="H140" s="3250"/>
      <c r="I140" s="3250"/>
      <c r="J140" s="3250"/>
      <c r="K140" s="3251"/>
      <c r="L140" s="3250"/>
      <c r="M140" s="3250"/>
      <c r="N140" s="3250"/>
      <c r="O140" s="3250"/>
      <c r="P140" s="3250"/>
      <c r="Q140" s="1280"/>
      <c r="U140" s="3155"/>
      <c r="V140" s="3156"/>
    </row>
    <row r="141" spans="2:22" ht="11.25" customHeight="1">
      <c r="B141" s="116"/>
      <c r="C141" s="116" t="s">
        <v>199</v>
      </c>
      <c r="D141" s="116"/>
      <c r="E141" s="116"/>
      <c r="F141" s="116"/>
      <c r="G141" s="1470">
        <f t="shared" ref="G141:P141" si="276">SUM(G139:G140)</f>
        <v>0</v>
      </c>
      <c r="H141" s="1470">
        <f t="shared" si="276"/>
        <v>0</v>
      </c>
      <c r="I141" s="1470">
        <f t="shared" si="276"/>
        <v>0</v>
      </c>
      <c r="J141" s="1470">
        <f t="shared" si="276"/>
        <v>0</v>
      </c>
      <c r="K141" s="1470">
        <f t="shared" si="276"/>
        <v>0</v>
      </c>
      <c r="L141" s="1470">
        <f t="shared" si="276"/>
        <v>0</v>
      </c>
      <c r="M141" s="1470">
        <f t="shared" si="276"/>
        <v>0</v>
      </c>
      <c r="N141" s="1470">
        <f t="shared" si="276"/>
        <v>0</v>
      </c>
      <c r="O141" s="1470">
        <f t="shared" si="276"/>
        <v>0</v>
      </c>
      <c r="P141" s="1470">
        <f t="shared" si="276"/>
        <v>0</v>
      </c>
      <c r="Q141" s="128"/>
      <c r="U141" s="3158"/>
      <c r="V141" s="3159"/>
    </row>
    <row r="142" spans="2:22" ht="3" customHeight="1">
      <c r="B142" s="1463"/>
      <c r="C142" s="95"/>
      <c r="D142" s="95"/>
      <c r="E142" s="95"/>
      <c r="F142" s="95"/>
      <c r="G142" s="1472"/>
      <c r="H142" s="95"/>
      <c r="I142" s="95"/>
      <c r="J142" s="95"/>
      <c r="K142" s="95"/>
      <c r="L142" s="95"/>
      <c r="M142" s="95"/>
      <c r="N142" s="95"/>
      <c r="O142" s="95"/>
      <c r="P142" s="95"/>
      <c r="Q142" s="8"/>
      <c r="U142" s="180" t="s">
        <v>2723</v>
      </c>
    </row>
    <row r="143" spans="2:22" ht="11.25" customHeight="1">
      <c r="B143" s="1467" t="s">
        <v>2377</v>
      </c>
      <c r="C143" s="95"/>
      <c r="D143" s="95"/>
      <c r="E143" s="95"/>
      <c r="F143" s="95"/>
      <c r="G143" s="1468">
        <v>21</v>
      </c>
      <c r="H143" s="1468">
        <v>22</v>
      </c>
      <c r="I143" s="1468">
        <v>23</v>
      </c>
      <c r="J143" s="1468">
        <v>24</v>
      </c>
      <c r="K143" s="1468">
        <v>25</v>
      </c>
      <c r="L143" s="1468">
        <v>26</v>
      </c>
      <c r="M143" s="1468">
        <v>27</v>
      </c>
      <c r="N143" s="1468">
        <v>28</v>
      </c>
      <c r="O143" s="1468">
        <v>29</v>
      </c>
      <c r="P143" s="1468">
        <v>30</v>
      </c>
      <c r="Q143" s="923"/>
      <c r="U143" s="100" t="str">
        <f>B143</f>
        <v>Included in Mgt Fee:</v>
      </c>
    </row>
    <row r="144" spans="2:22" ht="11.25" customHeight="1">
      <c r="B144" s="116" t="s">
        <v>1061</v>
      </c>
      <c r="C144" s="116"/>
      <c r="D144" s="116"/>
      <c r="E144" s="116"/>
      <c r="F144" s="116"/>
      <c r="G144" s="3245"/>
      <c r="H144" s="3245"/>
      <c r="I144" s="3245"/>
      <c r="J144" s="3245"/>
      <c r="K144" s="3246"/>
      <c r="L144" s="3245"/>
      <c r="M144" s="3245"/>
      <c r="N144" s="3245"/>
      <c r="O144" s="3245"/>
      <c r="P144" s="3245"/>
      <c r="Q144" s="1280"/>
      <c r="U144" s="3153"/>
      <c r="V144" s="3154"/>
    </row>
    <row r="145" spans="2:22" ht="11.25" customHeight="1">
      <c r="B145" s="116" t="s">
        <v>778</v>
      </c>
      <c r="C145" s="3247"/>
      <c r="D145" s="3248"/>
      <c r="E145" s="3248"/>
      <c r="F145" s="3249"/>
      <c r="G145" s="3250"/>
      <c r="H145" s="3250"/>
      <c r="I145" s="3250"/>
      <c r="J145" s="3250"/>
      <c r="K145" s="3251"/>
      <c r="L145" s="3250"/>
      <c r="M145" s="3250"/>
      <c r="N145" s="3250"/>
      <c r="O145" s="3250"/>
      <c r="P145" s="3250"/>
      <c r="Q145" s="1280"/>
      <c r="U145" s="3155"/>
      <c r="V145" s="3156"/>
    </row>
    <row r="146" spans="2:22" ht="11.25" customHeight="1">
      <c r="B146" s="116"/>
      <c r="C146" s="116" t="s">
        <v>968</v>
      </c>
      <c r="D146" s="116"/>
      <c r="E146" s="116"/>
      <c r="F146" s="116"/>
      <c r="G146" s="1470">
        <f t="shared" ref="G146:P146" si="277">SUM(G144:G145)</f>
        <v>0</v>
      </c>
      <c r="H146" s="1470">
        <f t="shared" si="277"/>
        <v>0</v>
      </c>
      <c r="I146" s="1470">
        <f t="shared" si="277"/>
        <v>0</v>
      </c>
      <c r="J146" s="1470">
        <f t="shared" si="277"/>
        <v>0</v>
      </c>
      <c r="K146" s="1470">
        <f t="shared" si="277"/>
        <v>0</v>
      </c>
      <c r="L146" s="1470">
        <f t="shared" si="277"/>
        <v>0</v>
      </c>
      <c r="M146" s="1470">
        <f t="shared" si="277"/>
        <v>0</v>
      </c>
      <c r="N146" s="1470">
        <f t="shared" si="277"/>
        <v>0</v>
      </c>
      <c r="O146" s="1470">
        <f t="shared" si="277"/>
        <v>0</v>
      </c>
      <c r="P146" s="1470">
        <f t="shared" si="277"/>
        <v>0</v>
      </c>
      <c r="Q146" s="128"/>
      <c r="U146" s="3158"/>
      <c r="V146" s="3159"/>
    </row>
    <row r="147" spans="2:22" ht="11.25" customHeight="1">
      <c r="B147" s="1471" t="s">
        <v>4462</v>
      </c>
      <c r="C147" s="95"/>
      <c r="D147" s="95"/>
      <c r="E147" s="95"/>
      <c r="F147" s="95"/>
      <c r="G147" s="1472"/>
      <c r="H147" s="95"/>
      <c r="I147" s="95"/>
      <c r="J147" s="95"/>
      <c r="K147" s="95"/>
      <c r="L147" s="95"/>
      <c r="M147" s="95"/>
      <c r="N147" s="95"/>
      <c r="O147" s="95"/>
      <c r="P147" s="95"/>
      <c r="Q147" s="8"/>
      <c r="U147" s="100" t="str">
        <f>B147</f>
        <v>NOT Included in Mgt Fee:</v>
      </c>
    </row>
    <row r="148" spans="2:22" ht="11.25" customHeight="1">
      <c r="B148" s="116" t="s">
        <v>558</v>
      </c>
      <c r="C148" s="116"/>
      <c r="D148" s="116"/>
      <c r="E148" s="116"/>
      <c r="F148" s="116"/>
      <c r="G148" s="3245"/>
      <c r="H148" s="3245"/>
      <c r="I148" s="3245"/>
      <c r="J148" s="3245"/>
      <c r="K148" s="3246"/>
      <c r="L148" s="3245"/>
      <c r="M148" s="3245"/>
      <c r="N148" s="3245"/>
      <c r="O148" s="3245"/>
      <c r="P148" s="3245"/>
      <c r="Q148" s="1280"/>
      <c r="U148" s="3153"/>
      <c r="V148" s="3154"/>
    </row>
    <row r="149" spans="2:22" ht="11.25" customHeight="1">
      <c r="B149" s="116" t="s">
        <v>778</v>
      </c>
      <c r="C149" s="3247"/>
      <c r="D149" s="3248"/>
      <c r="E149" s="3248"/>
      <c r="F149" s="3249"/>
      <c r="G149" s="3250"/>
      <c r="H149" s="3250"/>
      <c r="I149" s="3250"/>
      <c r="J149" s="3250"/>
      <c r="K149" s="3251"/>
      <c r="L149" s="3250"/>
      <c r="M149" s="3250"/>
      <c r="N149" s="3250"/>
      <c r="O149" s="3250"/>
      <c r="P149" s="3250"/>
      <c r="Q149" s="1280"/>
      <c r="U149" s="3155"/>
      <c r="V149" s="3156"/>
    </row>
    <row r="150" spans="2:22" ht="11.25" customHeight="1">
      <c r="B150" s="116"/>
      <c r="C150" s="116" t="s">
        <v>199</v>
      </c>
      <c r="D150" s="116"/>
      <c r="E150" s="116"/>
      <c r="F150" s="116"/>
      <c r="G150" s="1470">
        <f t="shared" ref="G150:P150" si="278">SUM(G148:G149)</f>
        <v>0</v>
      </c>
      <c r="H150" s="1470">
        <f t="shared" si="278"/>
        <v>0</v>
      </c>
      <c r="I150" s="1470">
        <f t="shared" si="278"/>
        <v>0</v>
      </c>
      <c r="J150" s="1470">
        <f t="shared" si="278"/>
        <v>0</v>
      </c>
      <c r="K150" s="1470">
        <f t="shared" si="278"/>
        <v>0</v>
      </c>
      <c r="L150" s="1470">
        <f t="shared" si="278"/>
        <v>0</v>
      </c>
      <c r="M150" s="1470">
        <f t="shared" si="278"/>
        <v>0</v>
      </c>
      <c r="N150" s="1470">
        <f t="shared" si="278"/>
        <v>0</v>
      </c>
      <c r="O150" s="1470">
        <f t="shared" si="278"/>
        <v>0</v>
      </c>
      <c r="P150" s="1470">
        <f t="shared" si="278"/>
        <v>0</v>
      </c>
      <c r="Q150" s="128"/>
      <c r="U150" s="3158"/>
      <c r="V150" s="3159"/>
    </row>
    <row r="151" spans="2:22" ht="3" customHeight="1">
      <c r="B151" s="1463"/>
      <c r="C151" s="95"/>
      <c r="D151" s="95"/>
      <c r="E151" s="95"/>
      <c r="F151" s="95"/>
      <c r="G151" s="1472"/>
      <c r="H151" s="95"/>
      <c r="I151" s="95"/>
      <c r="J151" s="95"/>
      <c r="K151" s="95"/>
      <c r="L151" s="95"/>
      <c r="M151" s="95"/>
      <c r="N151" s="95"/>
      <c r="O151" s="95"/>
      <c r="P151" s="95"/>
      <c r="Q151" s="8"/>
      <c r="U151" s="180" t="s">
        <v>2723</v>
      </c>
    </row>
    <row r="152" spans="2:22" ht="11.25" customHeight="1">
      <c r="B152" s="1467" t="s">
        <v>2377</v>
      </c>
      <c r="C152" s="95"/>
      <c r="D152" s="95"/>
      <c r="E152" s="95"/>
      <c r="F152" s="95"/>
      <c r="G152" s="1468">
        <v>31</v>
      </c>
      <c r="H152" s="1468">
        <v>32</v>
      </c>
      <c r="I152" s="1468">
        <v>33</v>
      </c>
      <c r="J152" s="1468">
        <v>34</v>
      </c>
      <c r="K152" s="1468">
        <v>35</v>
      </c>
      <c r="L152" s="95"/>
      <c r="M152" s="95"/>
      <c r="N152" s="95"/>
      <c r="O152" s="95"/>
      <c r="P152" s="95"/>
      <c r="Q152" s="8"/>
      <c r="U152" s="100" t="str">
        <f>B152</f>
        <v>Included in Mgt Fee:</v>
      </c>
    </row>
    <row r="153" spans="2:22" ht="11.25" customHeight="1">
      <c r="B153" s="116" t="s">
        <v>1061</v>
      </c>
      <c r="C153" s="116"/>
      <c r="D153" s="116"/>
      <c r="E153" s="116"/>
      <c r="F153" s="116"/>
      <c r="G153" s="3245"/>
      <c r="H153" s="3245"/>
      <c r="I153" s="3245"/>
      <c r="J153" s="3245"/>
      <c r="K153" s="3246"/>
      <c r="L153" s="95"/>
      <c r="M153" s="95"/>
      <c r="N153" s="95"/>
      <c r="O153" s="95"/>
      <c r="P153" s="95"/>
      <c r="Q153" s="8"/>
      <c r="U153" s="3153"/>
      <c r="V153" s="3154"/>
    </row>
    <row r="154" spans="2:22" ht="11.25" customHeight="1">
      <c r="B154" s="116" t="s">
        <v>778</v>
      </c>
      <c r="C154" s="3247"/>
      <c r="D154" s="3248"/>
      <c r="E154" s="3248"/>
      <c r="F154" s="3249"/>
      <c r="G154" s="3250"/>
      <c r="H154" s="3250"/>
      <c r="I154" s="3250"/>
      <c r="J154" s="3250"/>
      <c r="K154" s="3251"/>
      <c r="L154" s="95"/>
      <c r="M154" s="95"/>
      <c r="N154" s="95"/>
      <c r="O154" s="95"/>
      <c r="P154" s="95"/>
      <c r="Q154" s="8"/>
      <c r="U154" s="3155"/>
      <c r="V154" s="3156"/>
    </row>
    <row r="155" spans="2:22" ht="11.25" customHeight="1">
      <c r="B155" s="116"/>
      <c r="C155" s="116" t="s">
        <v>968</v>
      </c>
      <c r="D155" s="116"/>
      <c r="E155" s="116"/>
      <c r="F155" s="116"/>
      <c r="G155" s="1470">
        <f>SUM(G153:G154)</f>
        <v>0</v>
      </c>
      <c r="H155" s="1470">
        <f>SUM(H153:H154)</f>
        <v>0</v>
      </c>
      <c r="I155" s="1470">
        <f>SUM(I153:I154)</f>
        <v>0</v>
      </c>
      <c r="J155" s="1470">
        <f>SUM(J153:J154)</f>
        <v>0</v>
      </c>
      <c r="K155" s="1470">
        <f>SUM(K153:K154)</f>
        <v>0</v>
      </c>
      <c r="L155" s="95"/>
      <c r="M155" s="95"/>
      <c r="N155" s="95"/>
      <c r="O155" s="95"/>
      <c r="P155" s="95"/>
      <c r="Q155" s="8"/>
      <c r="U155" s="3158"/>
      <c r="V155" s="3159"/>
    </row>
    <row r="156" spans="2:22" ht="11.25" customHeight="1">
      <c r="B156" s="1471" t="s">
        <v>4462</v>
      </c>
      <c r="C156" s="95"/>
      <c r="D156" s="95"/>
      <c r="E156" s="95"/>
      <c r="F156" s="95"/>
      <c r="G156" s="1472"/>
      <c r="H156" s="95"/>
      <c r="I156" s="95"/>
      <c r="J156" s="95"/>
      <c r="K156" s="95"/>
      <c r="L156" s="95"/>
      <c r="M156" s="95"/>
      <c r="N156" s="95"/>
      <c r="O156" s="95"/>
      <c r="P156" s="95"/>
      <c r="Q156" s="8"/>
      <c r="U156" s="100" t="str">
        <f>B156</f>
        <v>NOT Included in Mgt Fee:</v>
      </c>
    </row>
    <row r="157" spans="2:22" ht="11.25" customHeight="1">
      <c r="B157" s="116" t="s">
        <v>558</v>
      </c>
      <c r="C157" s="116"/>
      <c r="D157" s="116"/>
      <c r="E157" s="116"/>
      <c r="F157" s="116"/>
      <c r="G157" s="3245"/>
      <c r="H157" s="3245"/>
      <c r="I157" s="3245"/>
      <c r="J157" s="3245"/>
      <c r="K157" s="3246"/>
      <c r="L157" s="95"/>
      <c r="M157" s="95"/>
      <c r="N157" s="95"/>
      <c r="O157" s="95"/>
      <c r="P157" s="95"/>
      <c r="Q157" s="8"/>
      <c r="U157" s="3153"/>
      <c r="V157" s="3154"/>
    </row>
    <row r="158" spans="2:22" ht="11.25" customHeight="1">
      <c r="B158" s="116" t="s">
        <v>778</v>
      </c>
      <c r="C158" s="3247"/>
      <c r="D158" s="3248"/>
      <c r="E158" s="3248"/>
      <c r="F158" s="3249"/>
      <c r="G158" s="3250"/>
      <c r="H158" s="3250"/>
      <c r="I158" s="3250"/>
      <c r="J158" s="3250"/>
      <c r="K158" s="3251"/>
      <c r="L158" s="95"/>
      <c r="M158" s="95"/>
      <c r="N158" s="95"/>
      <c r="O158" s="95"/>
      <c r="P158" s="95"/>
      <c r="Q158" s="8"/>
      <c r="U158" s="3155"/>
      <c r="V158" s="3156"/>
    </row>
    <row r="159" spans="2:22" ht="11.25" customHeight="1">
      <c r="B159" s="116"/>
      <c r="C159" s="116" t="s">
        <v>199</v>
      </c>
      <c r="D159" s="116"/>
      <c r="E159" s="116"/>
      <c r="F159" s="116"/>
      <c r="G159" s="1470">
        <f>SUM(G157:G158)</f>
        <v>0</v>
      </c>
      <c r="H159" s="1470">
        <f>SUM(H157:H158)</f>
        <v>0</v>
      </c>
      <c r="I159" s="1470">
        <f>SUM(I157:I158)</f>
        <v>0</v>
      </c>
      <c r="J159" s="1470">
        <f>SUM(J157:J158)</f>
        <v>0</v>
      </c>
      <c r="K159" s="1470">
        <f>SUM(K157:K158)</f>
        <v>0</v>
      </c>
      <c r="L159" s="95"/>
      <c r="M159" s="95"/>
      <c r="N159" s="95"/>
      <c r="O159" s="95"/>
      <c r="P159" s="95"/>
      <c r="Q159" s="8"/>
      <c r="U159" s="3158"/>
      <c r="V159" s="3159"/>
    </row>
    <row r="160" spans="2:22" ht="2.25" customHeight="1">
      <c r="B160" s="14"/>
      <c r="F160" s="35"/>
      <c r="G160" s="35"/>
      <c r="J160" s="17"/>
      <c r="P160" s="8"/>
      <c r="Q160" s="8"/>
    </row>
    <row r="161" spans="1:296" s="96" customFormat="1" ht="11.25" customHeight="1">
      <c r="A161" s="4" t="s">
        <v>1868</v>
      </c>
      <c r="B161" s="2" t="s">
        <v>1063</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5"/>
      <c r="EY161" s="505"/>
      <c r="EZ161" s="505"/>
      <c r="FA161" s="505"/>
      <c r="FB161" s="505"/>
      <c r="FC161" s="505"/>
      <c r="FD161" s="505"/>
      <c r="FE161" s="505"/>
      <c r="FF161" s="505"/>
      <c r="FG161" s="505"/>
      <c r="FH161" s="505"/>
      <c r="FI161" s="505"/>
      <c r="FJ161" s="505"/>
      <c r="FK161" s="505"/>
      <c r="FL161" s="505"/>
      <c r="FM161" s="505"/>
      <c r="FN161" s="505"/>
      <c r="FO161" s="505"/>
      <c r="FP161" s="505"/>
      <c r="FQ161" s="505"/>
      <c r="FR161" s="505"/>
      <c r="FS161" s="505"/>
      <c r="FT161" s="505"/>
      <c r="FU161" s="505"/>
      <c r="FV161" s="505"/>
      <c r="FW161" s="505"/>
      <c r="FX161" s="505"/>
      <c r="FY161" s="505"/>
      <c r="FZ161" s="505"/>
      <c r="GA161" s="505"/>
      <c r="GB161" s="505"/>
      <c r="GC161" s="505"/>
      <c r="GD161" s="505"/>
      <c r="GE161" s="505"/>
      <c r="GF161" s="505"/>
      <c r="GG161" s="505"/>
      <c r="GH161" s="505"/>
      <c r="GI161" s="505"/>
      <c r="GJ161" s="505"/>
      <c r="GK161" s="505"/>
      <c r="GL161" s="505"/>
      <c r="GM161" s="505"/>
      <c r="GN161" s="505"/>
      <c r="GO161" s="505"/>
      <c r="GP161" s="505"/>
      <c r="GQ161" s="505"/>
      <c r="GR161" s="505"/>
      <c r="GS161" s="505"/>
      <c r="GT161" s="506"/>
      <c r="GU161" s="505"/>
      <c r="GV161" s="505"/>
      <c r="GW161" s="505"/>
      <c r="GX161" s="505"/>
      <c r="GY161" s="506"/>
      <c r="GZ161" s="506"/>
      <c r="HA161" s="506"/>
      <c r="HB161" s="506"/>
      <c r="HC161" s="506"/>
      <c r="HD161" s="506"/>
      <c r="HE161" s="506"/>
      <c r="HF161" s="506"/>
      <c r="HG161" s="506"/>
      <c r="HH161" s="506"/>
      <c r="HI161" s="506"/>
      <c r="HJ161" s="506"/>
      <c r="HK161" s="506"/>
      <c r="HL161" s="506"/>
      <c r="HM161" s="506"/>
      <c r="HN161" s="506"/>
      <c r="HO161" s="506"/>
      <c r="HP161" s="506"/>
      <c r="HQ161" s="506"/>
      <c r="HR161" s="506"/>
      <c r="HS161" s="506"/>
      <c r="HT161" s="506"/>
      <c r="HU161" s="506"/>
      <c r="HV161" s="506"/>
      <c r="HW161" s="506"/>
      <c r="HX161" s="506"/>
      <c r="HY161" s="506"/>
      <c r="HZ161" s="506"/>
      <c r="IA161" s="506"/>
      <c r="IB161" s="506"/>
      <c r="IC161" s="506"/>
      <c r="ID161" s="506"/>
      <c r="IE161" s="505"/>
      <c r="IF161" s="505"/>
      <c r="IG161" s="505"/>
      <c r="IH161" s="505"/>
      <c r="II161" s="505"/>
      <c r="IJ161" s="505"/>
      <c r="IK161" s="507"/>
      <c r="IL161" s="505"/>
      <c r="IM161" s="505"/>
      <c r="IN161" s="505"/>
      <c r="IO161" s="505"/>
      <c r="IP161" s="505"/>
      <c r="IQ161" s="505"/>
      <c r="IR161" s="505"/>
      <c r="IS161" s="505"/>
      <c r="IT161" s="505"/>
      <c r="IU161" s="505"/>
      <c r="IV161" s="505"/>
      <c r="IW161" s="505"/>
      <c r="IX161" s="505"/>
      <c r="IY161" s="505"/>
      <c r="IZ161" s="505"/>
      <c r="JA161" s="507"/>
      <c r="JB161" s="507"/>
      <c r="JC161" s="505"/>
      <c r="JD161" s="505"/>
      <c r="JE161" s="505"/>
      <c r="JF161" s="505"/>
      <c r="JG161" s="505"/>
      <c r="JH161" s="505"/>
      <c r="JI161" s="505"/>
      <c r="JJ161" s="505"/>
      <c r="JK161" s="505"/>
      <c r="JL161" s="505"/>
      <c r="JM161" s="505"/>
      <c r="JN161" s="505"/>
      <c r="JO161" s="505"/>
      <c r="JP161" s="505"/>
      <c r="JQ161" s="505"/>
      <c r="JR161" s="100"/>
      <c r="JS161" s="100"/>
      <c r="JT161" s="505"/>
      <c r="JU161" s="505"/>
      <c r="JV161" s="505"/>
      <c r="JW161" s="505"/>
      <c r="JX161" s="505"/>
      <c r="JY161" s="505"/>
      <c r="JZ161" s="505"/>
      <c r="KA161" s="505"/>
      <c r="KB161" s="505"/>
      <c r="KC161" s="505"/>
      <c r="KD161" s="505"/>
      <c r="KE161" s="505"/>
      <c r="KF161" s="505"/>
      <c r="KG161" s="505"/>
      <c r="KH161" s="505"/>
      <c r="KI161" s="505"/>
      <c r="KJ161" s="505"/>
    </row>
    <row r="162" spans="1:296" s="96" customFormat="1" ht="9" customHeight="1">
      <c r="A162" s="1"/>
      <c r="B162" s="2"/>
      <c r="C162" s="2"/>
      <c r="D162" s="2"/>
      <c r="E162" s="2"/>
      <c r="F162" s="2"/>
      <c r="G162" s="2"/>
      <c r="H162" s="2"/>
      <c r="I162" s="2"/>
      <c r="J162" s="2"/>
      <c r="K162" s="1"/>
      <c r="L162" s="1"/>
      <c r="M162" s="1"/>
      <c r="N162" s="1"/>
      <c r="O162" s="1"/>
      <c r="P162" s="1"/>
      <c r="Q162" s="1"/>
      <c r="U162" s="2427" t="s">
        <v>1925</v>
      </c>
      <c r="V162" s="242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5"/>
      <c r="EY162" s="505"/>
      <c r="EZ162" s="505"/>
      <c r="FA162" s="505"/>
      <c r="FB162" s="505"/>
      <c r="FC162" s="505"/>
      <c r="FD162" s="505"/>
      <c r="FE162" s="505"/>
      <c r="FF162" s="505"/>
      <c r="FG162" s="505"/>
      <c r="FH162" s="505"/>
      <c r="FI162" s="505"/>
      <c r="FJ162" s="505"/>
      <c r="FK162" s="505"/>
      <c r="FL162" s="505"/>
      <c r="FM162" s="505"/>
      <c r="FN162" s="505"/>
      <c r="FO162" s="505"/>
      <c r="FP162" s="505"/>
      <c r="FQ162" s="505"/>
      <c r="FR162" s="505"/>
      <c r="FS162" s="505"/>
      <c r="FT162" s="505"/>
      <c r="FU162" s="505"/>
      <c r="FV162" s="505"/>
      <c r="FW162" s="505"/>
      <c r="FX162" s="505"/>
      <c r="FY162" s="505"/>
      <c r="FZ162" s="505"/>
      <c r="GA162" s="505"/>
      <c r="GB162" s="505"/>
      <c r="GC162" s="505"/>
      <c r="GD162" s="505"/>
      <c r="GE162" s="505"/>
      <c r="GF162" s="505"/>
      <c r="GG162" s="505"/>
      <c r="GH162" s="505"/>
      <c r="GI162" s="505"/>
      <c r="GJ162" s="505"/>
      <c r="GK162" s="505"/>
      <c r="GL162" s="505"/>
      <c r="GM162" s="505"/>
      <c r="GN162" s="505"/>
      <c r="GO162" s="505"/>
      <c r="GP162" s="505"/>
      <c r="GQ162" s="505"/>
      <c r="GR162" s="505"/>
      <c r="GS162" s="505"/>
      <c r="GT162" s="506"/>
      <c r="GU162" s="505"/>
      <c r="GV162" s="505"/>
      <c r="GW162" s="505"/>
      <c r="GX162" s="505"/>
      <c r="GY162" s="506"/>
      <c r="GZ162" s="506"/>
      <c r="HA162" s="506"/>
      <c r="HB162" s="506"/>
      <c r="HC162" s="506"/>
      <c r="HD162" s="506"/>
      <c r="HE162" s="506"/>
      <c r="HF162" s="506"/>
      <c r="HG162" s="506"/>
      <c r="HH162" s="506"/>
      <c r="HI162" s="506"/>
      <c r="HJ162" s="506"/>
      <c r="HK162" s="506"/>
      <c r="HL162" s="506"/>
      <c r="HM162" s="506"/>
      <c r="HN162" s="506"/>
      <c r="HO162" s="506"/>
      <c r="HP162" s="506"/>
      <c r="HQ162" s="506"/>
      <c r="HR162" s="506"/>
      <c r="HS162" s="506"/>
      <c r="HT162" s="506"/>
      <c r="HU162" s="506"/>
      <c r="HV162" s="506"/>
      <c r="HW162" s="506"/>
      <c r="HX162" s="506"/>
      <c r="HY162" s="506"/>
      <c r="HZ162" s="506"/>
      <c r="IA162" s="506"/>
      <c r="IB162" s="506"/>
      <c r="IC162" s="506"/>
      <c r="ID162" s="506"/>
      <c r="IE162" s="505"/>
      <c r="IF162" s="505"/>
      <c r="IG162" s="505"/>
      <c r="IH162" s="505"/>
      <c r="II162" s="505"/>
      <c r="IJ162" s="505"/>
      <c r="IK162" s="507"/>
      <c r="IL162" s="505"/>
      <c r="IM162" s="505"/>
      <c r="IN162" s="505"/>
      <c r="IO162" s="505"/>
      <c r="IP162" s="505"/>
      <c r="IQ162" s="505"/>
      <c r="IR162" s="505"/>
      <c r="IS162" s="505"/>
      <c r="IT162" s="505"/>
      <c r="IU162" s="505"/>
      <c r="IV162" s="505"/>
      <c r="IW162" s="505"/>
      <c r="IX162" s="505"/>
      <c r="IY162" s="505"/>
      <c r="IZ162" s="505"/>
      <c r="JA162" s="507"/>
      <c r="JB162" s="507"/>
      <c r="JC162" s="505"/>
      <c r="JD162" s="505"/>
      <c r="JE162" s="505"/>
      <c r="JF162" s="505"/>
      <c r="JG162" s="505"/>
      <c r="JH162" s="505"/>
      <c r="JI162" s="505"/>
      <c r="JJ162" s="505"/>
      <c r="JK162" s="505"/>
      <c r="JL162" s="505"/>
      <c r="JM162" s="505"/>
      <c r="JN162" s="505"/>
      <c r="JO162" s="505"/>
      <c r="JP162" s="505"/>
      <c r="JQ162" s="505"/>
      <c r="JR162" s="100"/>
      <c r="JS162" s="100"/>
      <c r="JT162" s="505"/>
      <c r="JU162" s="505"/>
      <c r="JV162" s="505"/>
      <c r="JW162" s="505"/>
      <c r="JX162" s="505"/>
      <c r="JY162" s="505"/>
      <c r="JZ162" s="505"/>
      <c r="KA162" s="505"/>
      <c r="KB162" s="505"/>
      <c r="KC162" s="505"/>
      <c r="KD162" s="505"/>
      <c r="KE162" s="505"/>
      <c r="KF162" s="505"/>
      <c r="KG162" s="505"/>
      <c r="KH162" s="505"/>
      <c r="KI162" s="505"/>
      <c r="KJ162" s="505"/>
    </row>
    <row r="163" spans="1:296" s="96" customFormat="1" ht="13.15" customHeight="1">
      <c r="A163" s="1"/>
      <c r="B163" s="10" t="s">
        <v>1346</v>
      </c>
      <c r="C163" s="1"/>
      <c r="D163" s="1"/>
      <c r="E163" s="1"/>
      <c r="F163" s="28"/>
      <c r="G163" s="28"/>
      <c r="H163" s="1"/>
      <c r="I163" s="10" t="s">
        <v>1434</v>
      </c>
      <c r="J163" s="1"/>
      <c r="K163" s="1"/>
      <c r="L163" s="1"/>
      <c r="M163" s="1"/>
      <c r="N163" s="10" t="s">
        <v>1433</v>
      </c>
      <c r="O163" s="1"/>
      <c r="P163" s="1"/>
      <c r="Q163" s="1"/>
      <c r="U163" s="3153"/>
      <c r="V163" s="3154"/>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5"/>
      <c r="EY163" s="505"/>
      <c r="EZ163" s="505"/>
      <c r="FA163" s="505"/>
      <c r="FB163" s="505"/>
      <c r="FC163" s="505"/>
      <c r="FD163" s="505"/>
      <c r="FE163" s="505"/>
      <c r="FF163" s="505"/>
      <c r="FG163" s="505"/>
      <c r="FH163" s="505"/>
      <c r="FI163" s="505"/>
      <c r="FJ163" s="505"/>
      <c r="FK163" s="505"/>
      <c r="FL163" s="505"/>
      <c r="FM163" s="505"/>
      <c r="FN163" s="505"/>
      <c r="FO163" s="505"/>
      <c r="FP163" s="505"/>
      <c r="FQ163" s="505"/>
      <c r="FR163" s="505"/>
      <c r="FS163" s="505"/>
      <c r="FT163" s="505"/>
      <c r="FU163" s="505"/>
      <c r="FV163" s="505"/>
      <c r="FW163" s="505"/>
      <c r="FX163" s="505"/>
      <c r="FY163" s="505"/>
      <c r="FZ163" s="505"/>
      <c r="GA163" s="505"/>
      <c r="GB163" s="505"/>
      <c r="GC163" s="505"/>
      <c r="GD163" s="505"/>
      <c r="GE163" s="505"/>
      <c r="GF163" s="505"/>
      <c r="GG163" s="505"/>
      <c r="GH163" s="505"/>
      <c r="GI163" s="505"/>
      <c r="GJ163" s="505"/>
      <c r="GK163" s="505"/>
      <c r="GL163" s="505"/>
      <c r="GM163" s="505"/>
      <c r="GN163" s="505"/>
      <c r="GO163" s="505"/>
      <c r="GP163" s="505"/>
      <c r="GQ163" s="505"/>
      <c r="GR163" s="505"/>
      <c r="GS163" s="505"/>
      <c r="GT163" s="506"/>
      <c r="GU163" s="505"/>
      <c r="GV163" s="505"/>
      <c r="GW163" s="505"/>
      <c r="GX163" s="505"/>
      <c r="GY163" s="506"/>
      <c r="GZ163" s="506"/>
      <c r="HA163" s="506"/>
      <c r="HB163" s="506"/>
      <c r="HC163" s="506"/>
      <c r="HD163" s="506"/>
      <c r="HE163" s="506"/>
      <c r="HF163" s="506"/>
      <c r="HG163" s="506"/>
      <c r="HH163" s="506"/>
      <c r="HI163" s="506"/>
      <c r="HJ163" s="506"/>
      <c r="HK163" s="506"/>
      <c r="HL163" s="506"/>
      <c r="HM163" s="506"/>
      <c r="HN163" s="506"/>
      <c r="HO163" s="506"/>
      <c r="HP163" s="506"/>
      <c r="HQ163" s="506"/>
      <c r="HR163" s="506"/>
      <c r="HS163" s="506"/>
      <c r="HT163" s="506"/>
      <c r="HU163" s="506"/>
      <c r="HV163" s="506"/>
      <c r="HW163" s="506"/>
      <c r="HX163" s="506"/>
      <c r="HY163" s="506"/>
      <c r="HZ163" s="506"/>
      <c r="IA163" s="506"/>
      <c r="IB163" s="506"/>
      <c r="IC163" s="506"/>
      <c r="ID163" s="506"/>
      <c r="IE163" s="505"/>
      <c r="IF163" s="505"/>
      <c r="IG163" s="505"/>
      <c r="IH163" s="505"/>
      <c r="II163" s="505"/>
      <c r="IJ163" s="505"/>
      <c r="IK163" s="507"/>
      <c r="IL163" s="505"/>
      <c r="IM163" s="505"/>
      <c r="IN163" s="505"/>
      <c r="IO163" s="505"/>
      <c r="IP163" s="505"/>
      <c r="IQ163" s="505"/>
      <c r="IR163" s="505"/>
      <c r="IS163" s="505"/>
      <c r="IT163" s="505"/>
      <c r="IU163" s="505"/>
      <c r="IV163" s="505"/>
      <c r="IW163" s="505"/>
      <c r="IX163" s="505"/>
      <c r="IY163" s="505"/>
      <c r="IZ163" s="505"/>
      <c r="JA163" s="507"/>
      <c r="JB163" s="507"/>
      <c r="JC163" s="505"/>
      <c r="JD163" s="505"/>
      <c r="JE163" s="505"/>
      <c r="JF163" s="505"/>
      <c r="JG163" s="505"/>
      <c r="JH163" s="505"/>
      <c r="JI163" s="505"/>
      <c r="JJ163" s="505"/>
      <c r="JK163" s="505"/>
      <c r="JL163" s="505"/>
      <c r="JM163" s="505"/>
      <c r="JN163" s="505"/>
      <c r="JO163" s="505"/>
      <c r="JP163" s="505"/>
      <c r="JQ163" s="505"/>
      <c r="JR163" s="100"/>
      <c r="JS163" s="100"/>
      <c r="JT163" s="505"/>
      <c r="JU163" s="505"/>
      <c r="JV163" s="505"/>
      <c r="JW163" s="505"/>
      <c r="JX163" s="505"/>
      <c r="JY163" s="505"/>
      <c r="JZ163" s="505"/>
      <c r="KA163" s="505"/>
      <c r="KB163" s="505"/>
      <c r="KC163" s="505"/>
      <c r="KD163" s="505"/>
      <c r="KE163" s="505"/>
      <c r="KF163" s="505"/>
      <c r="KG163" s="505"/>
      <c r="KH163" s="505"/>
      <c r="KI163" s="505"/>
      <c r="KJ163" s="505"/>
    </row>
    <row r="164" spans="1:296" s="96" customFormat="1" ht="15.6" customHeight="1">
      <c r="A164" s="1"/>
      <c r="B164" s="1" t="s">
        <v>2285</v>
      </c>
      <c r="C164" s="1"/>
      <c r="D164" s="1"/>
      <c r="E164" s="1"/>
      <c r="F164" s="3252">
        <v>95000</v>
      </c>
      <c r="G164" s="3253"/>
      <c r="H164" s="1"/>
      <c r="I164" s="1" t="s">
        <v>1435</v>
      </c>
      <c r="J164" s="1"/>
      <c r="K164" s="3252">
        <v>0</v>
      </c>
      <c r="L164" s="3253"/>
      <c r="M164" s="1"/>
      <c r="N164" s="1" t="s">
        <v>969</v>
      </c>
      <c r="O164" s="1"/>
      <c r="P164" s="3254">
        <v>117000</v>
      </c>
      <c r="Q164" s="1280"/>
      <c r="U164" s="3155"/>
      <c r="V164" s="3156"/>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5"/>
      <c r="EY164" s="505"/>
      <c r="EZ164" s="505"/>
      <c r="FA164" s="505"/>
      <c r="FB164" s="505"/>
      <c r="FC164" s="505"/>
      <c r="FD164" s="505"/>
      <c r="FE164" s="505"/>
      <c r="FF164" s="505"/>
      <c r="FG164" s="505"/>
      <c r="FH164" s="505"/>
      <c r="FI164" s="505"/>
      <c r="FJ164" s="505"/>
      <c r="FK164" s="505"/>
      <c r="FL164" s="505"/>
      <c r="FM164" s="505"/>
      <c r="FN164" s="505"/>
      <c r="FO164" s="505"/>
      <c r="FP164" s="505"/>
      <c r="FQ164" s="505"/>
      <c r="FR164" s="505"/>
      <c r="FS164" s="505"/>
      <c r="FT164" s="505"/>
      <c r="FU164" s="505"/>
      <c r="FV164" s="505"/>
      <c r="FW164" s="505"/>
      <c r="FX164" s="505"/>
      <c r="FY164" s="505"/>
      <c r="FZ164" s="505"/>
      <c r="GA164" s="505"/>
      <c r="GB164" s="505"/>
      <c r="GC164" s="505"/>
      <c r="GD164" s="505"/>
      <c r="GE164" s="505"/>
      <c r="GF164" s="505"/>
      <c r="GG164" s="505"/>
      <c r="GH164" s="505"/>
      <c r="GI164" s="505"/>
      <c r="GJ164" s="505"/>
      <c r="GK164" s="505"/>
      <c r="GL164" s="505"/>
      <c r="GM164" s="505"/>
      <c r="GN164" s="505"/>
      <c r="GO164" s="505"/>
      <c r="GP164" s="505"/>
      <c r="GQ164" s="505"/>
      <c r="GR164" s="505"/>
      <c r="GS164" s="505"/>
      <c r="GT164" s="506"/>
      <c r="GU164" s="505"/>
      <c r="GV164" s="505"/>
      <c r="GW164" s="505"/>
      <c r="GX164" s="505"/>
      <c r="GY164" s="506"/>
      <c r="GZ164" s="506"/>
      <c r="HA164" s="506"/>
      <c r="HB164" s="506"/>
      <c r="HC164" s="506"/>
      <c r="HD164" s="506"/>
      <c r="HE164" s="506"/>
      <c r="HF164" s="506"/>
      <c r="HG164" s="506"/>
      <c r="HH164" s="506"/>
      <c r="HI164" s="506"/>
      <c r="HJ164" s="506"/>
      <c r="HK164" s="506"/>
      <c r="HL164" s="506"/>
      <c r="HM164" s="506"/>
      <c r="HN164" s="506"/>
      <c r="HO164" s="506"/>
      <c r="HP164" s="506"/>
      <c r="HQ164" s="506"/>
      <c r="HR164" s="506"/>
      <c r="HS164" s="506"/>
      <c r="HT164" s="506"/>
      <c r="HU164" s="506"/>
      <c r="HV164" s="506"/>
      <c r="HW164" s="506"/>
      <c r="HX164" s="506"/>
      <c r="HY164" s="506"/>
      <c r="HZ164" s="506"/>
      <c r="IA164" s="506"/>
      <c r="IB164" s="506"/>
      <c r="IC164" s="506"/>
      <c r="ID164" s="506"/>
      <c r="IE164" s="505"/>
      <c r="IF164" s="505"/>
      <c r="IG164" s="505"/>
      <c r="IH164" s="505"/>
      <c r="II164" s="505"/>
      <c r="IJ164" s="505"/>
      <c r="IK164" s="507"/>
      <c r="IL164" s="505"/>
      <c r="IM164" s="505"/>
      <c r="IN164" s="505"/>
      <c r="IO164" s="505"/>
      <c r="IP164" s="505"/>
      <c r="IQ164" s="505"/>
      <c r="IR164" s="505"/>
      <c r="IS164" s="505"/>
      <c r="IT164" s="505"/>
      <c r="IU164" s="505"/>
      <c r="IV164" s="505"/>
      <c r="IW164" s="505"/>
      <c r="IX164" s="505"/>
      <c r="IY164" s="505"/>
      <c r="IZ164" s="505"/>
      <c r="JA164" s="507"/>
      <c r="JB164" s="507"/>
      <c r="JC164" s="505"/>
      <c r="JD164" s="505"/>
      <c r="JE164" s="505"/>
      <c r="JF164" s="505"/>
      <c r="JG164" s="505"/>
      <c r="JH164" s="505"/>
      <c r="JI164" s="505"/>
      <c r="JJ164" s="505"/>
      <c r="JK164" s="505"/>
      <c r="JL164" s="505"/>
      <c r="JM164" s="505"/>
      <c r="JN164" s="505"/>
      <c r="JO164" s="505"/>
      <c r="JP164" s="505"/>
      <c r="JQ164" s="505"/>
      <c r="JR164" s="100"/>
      <c r="JS164" s="100"/>
      <c r="JT164" s="505"/>
      <c r="JU164" s="505"/>
      <c r="JV164" s="505"/>
      <c r="JW164" s="505"/>
      <c r="JX164" s="505"/>
      <c r="JY164" s="505"/>
      <c r="JZ164" s="505"/>
      <c r="KA164" s="505"/>
      <c r="KB164" s="505"/>
      <c r="KC164" s="505"/>
      <c r="KD164" s="505"/>
      <c r="KE164" s="505"/>
      <c r="KF164" s="505"/>
      <c r="KG164" s="505"/>
      <c r="KH164" s="505"/>
      <c r="KI164" s="505"/>
      <c r="KJ164" s="505"/>
    </row>
    <row r="165" spans="1:296" s="96" customFormat="1" ht="15.6" customHeight="1" thickBot="1">
      <c r="A165" s="1"/>
      <c r="B165" s="1" t="s">
        <v>1424</v>
      </c>
      <c r="C165" s="1"/>
      <c r="D165" s="1"/>
      <c r="E165" s="1"/>
      <c r="F165" s="3252">
        <v>50000</v>
      </c>
      <c r="G165" s="3253"/>
      <c r="H165" s="1"/>
      <c r="I165" s="1" t="s">
        <v>1436</v>
      </c>
      <c r="J165" s="1"/>
      <c r="K165" s="3252">
        <v>0</v>
      </c>
      <c r="L165" s="3253"/>
      <c r="M165" s="1"/>
      <c r="N165" s="1" t="s">
        <v>152</v>
      </c>
      <c r="O165" s="1"/>
      <c r="P165" s="3254">
        <v>38800</v>
      </c>
      <c r="Q165" s="1280"/>
      <c r="U165" s="3155"/>
      <c r="V165" s="3156"/>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5"/>
      <c r="EY165" s="505"/>
      <c r="EZ165" s="505"/>
      <c r="FA165" s="505"/>
      <c r="FB165" s="505"/>
      <c r="FC165" s="505"/>
      <c r="FD165" s="505"/>
      <c r="FE165" s="505"/>
      <c r="FF165" s="505"/>
      <c r="FG165" s="505"/>
      <c r="FH165" s="505"/>
      <c r="FI165" s="505"/>
      <c r="FJ165" s="505"/>
      <c r="FK165" s="505"/>
      <c r="FL165" s="505"/>
      <c r="FM165" s="505"/>
      <c r="FN165" s="505"/>
      <c r="FO165" s="505"/>
      <c r="FP165" s="505"/>
      <c r="FQ165" s="505"/>
      <c r="FR165" s="505"/>
      <c r="FS165" s="505"/>
      <c r="FT165" s="505"/>
      <c r="FU165" s="505"/>
      <c r="FV165" s="505"/>
      <c r="FW165" s="505"/>
      <c r="FX165" s="505"/>
      <c r="FY165" s="505"/>
      <c r="FZ165" s="505"/>
      <c r="GA165" s="505"/>
      <c r="GB165" s="505"/>
      <c r="GC165" s="505"/>
      <c r="GD165" s="505"/>
      <c r="GE165" s="505"/>
      <c r="GF165" s="505"/>
      <c r="GG165" s="505"/>
      <c r="GH165" s="505"/>
      <c r="GI165" s="505"/>
      <c r="GJ165" s="505"/>
      <c r="GK165" s="505"/>
      <c r="GL165" s="505"/>
      <c r="GM165" s="505"/>
      <c r="GN165" s="505"/>
      <c r="GO165" s="505"/>
      <c r="GP165" s="505"/>
      <c r="GQ165" s="505"/>
      <c r="GR165" s="505"/>
      <c r="GS165" s="505"/>
      <c r="GT165" s="506"/>
      <c r="GU165" s="505"/>
      <c r="GV165" s="505"/>
      <c r="GW165" s="505"/>
      <c r="GX165" s="505"/>
      <c r="GY165" s="506"/>
      <c r="GZ165" s="506"/>
      <c r="HA165" s="506"/>
      <c r="HB165" s="506"/>
      <c r="HC165" s="506"/>
      <c r="HD165" s="506"/>
      <c r="HE165" s="506"/>
      <c r="HF165" s="506"/>
      <c r="HG165" s="506"/>
      <c r="HH165" s="506"/>
      <c r="HI165" s="506"/>
      <c r="HJ165" s="506"/>
      <c r="HK165" s="506"/>
      <c r="HL165" s="506"/>
      <c r="HM165" s="506"/>
      <c r="HN165" s="506"/>
      <c r="HO165" s="506"/>
      <c r="HP165" s="506"/>
      <c r="HQ165" s="506"/>
      <c r="HR165" s="506"/>
      <c r="HS165" s="506"/>
      <c r="HT165" s="506"/>
      <c r="HU165" s="506"/>
      <c r="HV165" s="506"/>
      <c r="HW165" s="506"/>
      <c r="HX165" s="506"/>
      <c r="HY165" s="506"/>
      <c r="HZ165" s="506"/>
      <c r="IA165" s="506"/>
      <c r="IB165" s="506"/>
      <c r="IC165" s="506"/>
      <c r="ID165" s="506"/>
      <c r="IE165" s="505"/>
      <c r="IF165" s="505"/>
      <c r="IG165" s="505"/>
      <c r="IH165" s="505"/>
      <c r="II165" s="505"/>
      <c r="IJ165" s="505"/>
      <c r="IK165" s="507"/>
      <c r="IL165" s="505"/>
      <c r="IM165" s="505"/>
      <c r="IN165" s="505"/>
      <c r="IO165" s="505"/>
      <c r="IP165" s="505"/>
      <c r="IQ165" s="505"/>
      <c r="IR165" s="505"/>
      <c r="IS165" s="505"/>
      <c r="IT165" s="505"/>
      <c r="IU165" s="505"/>
      <c r="IV165" s="505"/>
      <c r="IW165" s="505"/>
      <c r="IX165" s="505"/>
      <c r="IY165" s="505"/>
      <c r="IZ165" s="505"/>
      <c r="JA165" s="507"/>
      <c r="JB165" s="507"/>
      <c r="JC165" s="505"/>
      <c r="JD165" s="505"/>
      <c r="JE165" s="505"/>
      <c r="JF165" s="505"/>
      <c r="JG165" s="505"/>
      <c r="JH165" s="505"/>
      <c r="JI165" s="505"/>
      <c r="JJ165" s="505"/>
      <c r="JK165" s="505"/>
      <c r="JL165" s="505"/>
      <c r="JM165" s="505"/>
      <c r="JN165" s="505"/>
      <c r="JO165" s="505"/>
      <c r="JP165" s="505"/>
      <c r="JQ165" s="505"/>
      <c r="JR165" s="100"/>
      <c r="JS165" s="100"/>
      <c r="JT165" s="505"/>
      <c r="JU165" s="505"/>
      <c r="JV165" s="505"/>
      <c r="JW165" s="505"/>
      <c r="JX165" s="505"/>
      <c r="JY165" s="505"/>
      <c r="JZ165" s="505"/>
      <c r="KA165" s="505"/>
      <c r="KB165" s="505"/>
      <c r="KC165" s="505"/>
      <c r="KD165" s="505"/>
      <c r="KE165" s="505"/>
      <c r="KF165" s="505"/>
      <c r="KG165" s="505"/>
      <c r="KH165" s="505"/>
      <c r="KI165" s="505"/>
      <c r="KJ165" s="505"/>
    </row>
    <row r="166" spans="1:296" s="96" customFormat="1" ht="15.6" customHeight="1" thickTop="1" thickBot="1">
      <c r="A166" s="1"/>
      <c r="B166" s="1" t="s">
        <v>1293</v>
      </c>
      <c r="C166" s="1"/>
      <c r="D166" s="1"/>
      <c r="E166" s="1"/>
      <c r="F166" s="3252"/>
      <c r="G166" s="3253"/>
      <c r="H166" s="1"/>
      <c r="I166" s="1"/>
      <c r="J166" s="132" t="s">
        <v>198</v>
      </c>
      <c r="K166" s="2398">
        <f>SUM(K164:L165)</f>
        <v>0</v>
      </c>
      <c r="L166" s="2399"/>
      <c r="M166" s="1"/>
      <c r="N166" s="3255" t="s">
        <v>53</v>
      </c>
      <c r="O166" s="3256"/>
      <c r="P166" s="3257"/>
      <c r="Q166" s="1280"/>
      <c r="U166" s="3155"/>
      <c r="V166" s="3156"/>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5"/>
      <c r="EY166" s="505"/>
      <c r="EZ166" s="505"/>
      <c r="FA166" s="505"/>
      <c r="FB166" s="505"/>
      <c r="FC166" s="505"/>
      <c r="FD166" s="505"/>
      <c r="FE166" s="505"/>
      <c r="FF166" s="505"/>
      <c r="FG166" s="505"/>
      <c r="FH166" s="505"/>
      <c r="FI166" s="505"/>
      <c r="FJ166" s="505"/>
      <c r="FK166" s="505"/>
      <c r="FL166" s="505"/>
      <c r="FM166" s="505"/>
      <c r="FN166" s="505"/>
      <c r="FO166" s="505"/>
      <c r="FP166" s="505"/>
      <c r="FQ166" s="505"/>
      <c r="FR166" s="505"/>
      <c r="FS166" s="505"/>
      <c r="FT166" s="505"/>
      <c r="FU166" s="505"/>
      <c r="FV166" s="505"/>
      <c r="FW166" s="505"/>
      <c r="FX166" s="505"/>
      <c r="FY166" s="505"/>
      <c r="FZ166" s="505"/>
      <c r="GA166" s="505"/>
      <c r="GB166" s="505"/>
      <c r="GC166" s="505"/>
      <c r="GD166" s="505"/>
      <c r="GE166" s="505"/>
      <c r="GF166" s="505"/>
      <c r="GG166" s="505"/>
      <c r="GH166" s="505"/>
      <c r="GI166" s="505"/>
      <c r="GJ166" s="505"/>
      <c r="GK166" s="505"/>
      <c r="GL166" s="505"/>
      <c r="GM166" s="505"/>
      <c r="GN166" s="505"/>
      <c r="GO166" s="505"/>
      <c r="GP166" s="505"/>
      <c r="GQ166" s="505"/>
      <c r="GR166" s="505"/>
      <c r="GS166" s="505"/>
      <c r="GT166" s="506"/>
      <c r="GU166" s="505"/>
      <c r="GV166" s="505"/>
      <c r="GW166" s="505"/>
      <c r="GX166" s="505"/>
      <c r="GY166" s="506"/>
      <c r="GZ166" s="506"/>
      <c r="HA166" s="506"/>
      <c r="HB166" s="506"/>
      <c r="HC166" s="506"/>
      <c r="HD166" s="506"/>
      <c r="HE166" s="506"/>
      <c r="HF166" s="506"/>
      <c r="HG166" s="506"/>
      <c r="HH166" s="506"/>
      <c r="HI166" s="506"/>
      <c r="HJ166" s="506"/>
      <c r="HK166" s="506"/>
      <c r="HL166" s="506"/>
      <c r="HM166" s="506"/>
      <c r="HN166" s="506"/>
      <c r="HO166" s="506"/>
      <c r="HP166" s="506"/>
      <c r="HQ166" s="506"/>
      <c r="HR166" s="506"/>
      <c r="HS166" s="506"/>
      <c r="HT166" s="506"/>
      <c r="HU166" s="506"/>
      <c r="HV166" s="506"/>
      <c r="HW166" s="506"/>
      <c r="HX166" s="506"/>
      <c r="HY166" s="506"/>
      <c r="HZ166" s="506"/>
      <c r="IA166" s="506"/>
      <c r="IB166" s="506"/>
      <c r="IC166" s="506"/>
      <c r="ID166" s="506"/>
      <c r="IE166" s="505"/>
      <c r="IF166" s="505"/>
      <c r="IG166" s="505"/>
      <c r="IH166" s="505"/>
      <c r="II166" s="505"/>
      <c r="IJ166" s="505"/>
      <c r="IK166" s="507"/>
      <c r="IL166" s="505"/>
      <c r="IM166" s="505"/>
      <c r="IN166" s="505"/>
      <c r="IO166" s="505"/>
      <c r="IP166" s="505"/>
      <c r="IQ166" s="505"/>
      <c r="IR166" s="505"/>
      <c r="IS166" s="505"/>
      <c r="IT166" s="505"/>
      <c r="IU166" s="505"/>
      <c r="IV166" s="505"/>
      <c r="IW166" s="505"/>
      <c r="IX166" s="505"/>
      <c r="IY166" s="505"/>
      <c r="IZ166" s="505"/>
      <c r="JA166" s="507"/>
      <c r="JB166" s="507"/>
      <c r="JC166" s="505"/>
      <c r="JD166" s="505"/>
      <c r="JE166" s="505"/>
      <c r="JF166" s="505"/>
      <c r="JG166" s="505"/>
      <c r="JH166" s="505"/>
      <c r="JI166" s="505"/>
      <c r="JJ166" s="505"/>
      <c r="JK166" s="505"/>
      <c r="JL166" s="505"/>
      <c r="JM166" s="505"/>
      <c r="JN166" s="505"/>
      <c r="JO166" s="505"/>
      <c r="JP166" s="505"/>
      <c r="JQ166" s="505"/>
      <c r="JR166" s="100"/>
      <c r="JS166" s="100"/>
      <c r="JT166" s="505"/>
      <c r="JU166" s="505"/>
      <c r="JV166" s="505"/>
      <c r="JW166" s="505"/>
      <c r="JX166" s="505"/>
      <c r="JY166" s="505"/>
      <c r="JZ166" s="505"/>
      <c r="KA166" s="505"/>
      <c r="KB166" s="505"/>
      <c r="KC166" s="505"/>
      <c r="KD166" s="505"/>
      <c r="KE166" s="505"/>
      <c r="KF166" s="505"/>
      <c r="KG166" s="505"/>
      <c r="KH166" s="505"/>
      <c r="KI166" s="505"/>
      <c r="KJ166" s="505"/>
    </row>
    <row r="167" spans="1:296" s="96" customFormat="1" ht="15.6" customHeight="1" thickTop="1" thickBot="1">
      <c r="A167" s="1"/>
      <c r="B167" s="3258" t="s">
        <v>4702</v>
      </c>
      <c r="C167" s="3259"/>
      <c r="D167" s="3259"/>
      <c r="E167" s="3260"/>
      <c r="F167" s="3261">
        <v>29000</v>
      </c>
      <c r="G167" s="3262"/>
      <c r="H167" s="1"/>
      <c r="I167" s="1"/>
      <c r="J167" s="1"/>
      <c r="K167" s="1"/>
      <c r="L167" s="1"/>
      <c r="M167" s="1"/>
      <c r="N167" s="12" t="s">
        <v>198</v>
      </c>
      <c r="O167" s="1"/>
      <c r="P167" s="451">
        <f>SUM(P164:P166)</f>
        <v>155800</v>
      </c>
      <c r="Q167" s="1280"/>
      <c r="U167" s="3155"/>
      <c r="V167" s="3156"/>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5"/>
      <c r="EY167" s="505"/>
      <c r="EZ167" s="505"/>
      <c r="FA167" s="505"/>
      <c r="FB167" s="505"/>
      <c r="FC167" s="505"/>
      <c r="FD167" s="505"/>
      <c r="FE167" s="505"/>
      <c r="FF167" s="505"/>
      <c r="FG167" s="505"/>
      <c r="FH167" s="505"/>
      <c r="FI167" s="505"/>
      <c r="FJ167" s="505"/>
      <c r="FK167" s="505"/>
      <c r="FL167" s="505"/>
      <c r="FM167" s="505"/>
      <c r="FN167" s="505"/>
      <c r="FO167" s="505"/>
      <c r="FP167" s="505"/>
      <c r="FQ167" s="505"/>
      <c r="FR167" s="505"/>
      <c r="FS167" s="505"/>
      <c r="FT167" s="505"/>
      <c r="FU167" s="505"/>
      <c r="FV167" s="505"/>
      <c r="FW167" s="505"/>
      <c r="FX167" s="505"/>
      <c r="FY167" s="505"/>
      <c r="FZ167" s="505"/>
      <c r="GA167" s="505"/>
      <c r="GB167" s="505"/>
      <c r="GC167" s="505"/>
      <c r="GD167" s="505"/>
      <c r="GE167" s="505"/>
      <c r="GF167" s="505"/>
      <c r="GG167" s="505"/>
      <c r="GH167" s="505"/>
      <c r="GI167" s="505"/>
      <c r="GJ167" s="505"/>
      <c r="GK167" s="505"/>
      <c r="GL167" s="505"/>
      <c r="GM167" s="505"/>
      <c r="GN167" s="505"/>
      <c r="GO167" s="505"/>
      <c r="GP167" s="505"/>
      <c r="GQ167" s="505"/>
      <c r="GR167" s="505"/>
      <c r="GS167" s="505"/>
      <c r="GT167" s="506"/>
      <c r="GU167" s="505"/>
      <c r="GV167" s="505"/>
      <c r="GW167" s="505"/>
      <c r="GX167" s="505"/>
      <c r="GY167" s="506"/>
      <c r="GZ167" s="506"/>
      <c r="HA167" s="506"/>
      <c r="HB167" s="506"/>
      <c r="HC167" s="506"/>
      <c r="HD167" s="506"/>
      <c r="HE167" s="506"/>
      <c r="HF167" s="506"/>
      <c r="HG167" s="506"/>
      <c r="HH167" s="506"/>
      <c r="HI167" s="506"/>
      <c r="HJ167" s="506"/>
      <c r="HK167" s="506"/>
      <c r="HL167" s="506"/>
      <c r="HM167" s="506"/>
      <c r="HN167" s="506"/>
      <c r="HO167" s="506"/>
      <c r="HP167" s="506"/>
      <c r="HQ167" s="506"/>
      <c r="HR167" s="506"/>
      <c r="HS167" s="506"/>
      <c r="HT167" s="506"/>
      <c r="HU167" s="506"/>
      <c r="HV167" s="506"/>
      <c r="HW167" s="506"/>
      <c r="HX167" s="506"/>
      <c r="HY167" s="506"/>
      <c r="HZ167" s="506"/>
      <c r="IA167" s="506"/>
      <c r="IB167" s="506"/>
      <c r="IC167" s="506"/>
      <c r="ID167" s="506"/>
      <c r="IE167" s="505"/>
      <c r="IF167" s="505"/>
      <c r="IG167" s="505"/>
      <c r="IH167" s="505"/>
      <c r="II167" s="505"/>
      <c r="IJ167" s="505"/>
      <c r="IK167" s="507"/>
      <c r="IL167" s="505"/>
      <c r="IM167" s="505"/>
      <c r="IN167" s="505"/>
      <c r="IO167" s="505"/>
      <c r="IP167" s="505"/>
      <c r="IQ167" s="505"/>
      <c r="IR167" s="505"/>
      <c r="IS167" s="505"/>
      <c r="IT167" s="505"/>
      <c r="IU167" s="505"/>
      <c r="IV167" s="505"/>
      <c r="IW167" s="505"/>
      <c r="IX167" s="505"/>
      <c r="IY167" s="505"/>
      <c r="IZ167" s="505"/>
      <c r="JA167" s="507"/>
      <c r="JB167" s="507"/>
      <c r="JC167" s="505"/>
      <c r="JD167" s="505"/>
      <c r="JE167" s="505"/>
      <c r="JF167" s="505"/>
      <c r="JG167" s="505"/>
      <c r="JH167" s="505"/>
      <c r="JI167" s="505"/>
      <c r="JJ167" s="505"/>
      <c r="JK167" s="505"/>
      <c r="JL167" s="505"/>
      <c r="JM167" s="505"/>
      <c r="JN167" s="505"/>
      <c r="JO167" s="505"/>
      <c r="JP167" s="505"/>
      <c r="JQ167" s="505"/>
      <c r="JR167" s="100"/>
      <c r="JS167" s="100"/>
      <c r="JT167" s="505"/>
      <c r="JU167" s="505"/>
      <c r="JV167" s="505"/>
      <c r="JW167" s="505"/>
      <c r="JX167" s="505"/>
      <c r="JY167" s="505"/>
      <c r="JZ167" s="505"/>
      <c r="KA167" s="505"/>
      <c r="KB167" s="505"/>
      <c r="KC167" s="505"/>
      <c r="KD167" s="505"/>
      <c r="KE167" s="505"/>
      <c r="KF167" s="505"/>
      <c r="KG167" s="505"/>
      <c r="KH167" s="505"/>
      <c r="KI167" s="505"/>
      <c r="KJ167" s="505"/>
    </row>
    <row r="168" spans="1:296" s="96" customFormat="1" ht="15.6" customHeight="1" thickTop="1">
      <c r="A168" s="1"/>
      <c r="B168" s="1"/>
      <c r="C168" s="12" t="s">
        <v>198</v>
      </c>
      <c r="D168" s="1"/>
      <c r="E168" s="1"/>
      <c r="F168" s="2398">
        <f>SUM(F164:G167)</f>
        <v>174000</v>
      </c>
      <c r="G168" s="2399"/>
      <c r="H168" s="1"/>
      <c r="I168" s="1"/>
      <c r="J168" s="13"/>
      <c r="K168" s="1"/>
      <c r="L168" s="1"/>
      <c r="M168" s="1"/>
      <c r="N168" s="1"/>
      <c r="O168" s="1"/>
      <c r="P168" s="1"/>
      <c r="Q168" s="1"/>
      <c r="U168" s="3155"/>
      <c r="V168" s="3156"/>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5"/>
      <c r="EY168" s="505"/>
      <c r="EZ168" s="505"/>
      <c r="FA168" s="505"/>
      <c r="FB168" s="505"/>
      <c r="FC168" s="505"/>
      <c r="FD168" s="505"/>
      <c r="FE168" s="505"/>
      <c r="FF168" s="505"/>
      <c r="FG168" s="505"/>
      <c r="FH168" s="505"/>
      <c r="FI168" s="505"/>
      <c r="FJ168" s="505"/>
      <c r="FK168" s="505"/>
      <c r="FL168" s="505"/>
      <c r="FM168" s="505"/>
      <c r="FN168" s="505"/>
      <c r="FO168" s="505"/>
      <c r="FP168" s="505"/>
      <c r="FQ168" s="505"/>
      <c r="FR168" s="505"/>
      <c r="FS168" s="505"/>
      <c r="FT168" s="505"/>
      <c r="FU168" s="505"/>
      <c r="FV168" s="505"/>
      <c r="FW168" s="505"/>
      <c r="FX168" s="505"/>
      <c r="FY168" s="505"/>
      <c r="FZ168" s="505"/>
      <c r="GA168" s="505"/>
      <c r="GB168" s="505"/>
      <c r="GC168" s="505"/>
      <c r="GD168" s="505"/>
      <c r="GE168" s="505"/>
      <c r="GF168" s="505"/>
      <c r="GG168" s="505"/>
      <c r="GH168" s="505"/>
      <c r="GI168" s="505"/>
      <c r="GJ168" s="505"/>
      <c r="GK168" s="505"/>
      <c r="GL168" s="505"/>
      <c r="GM168" s="505"/>
      <c r="GN168" s="505"/>
      <c r="GO168" s="505"/>
      <c r="GP168" s="505"/>
      <c r="GQ168" s="505"/>
      <c r="GR168" s="505"/>
      <c r="GS168" s="505"/>
      <c r="GT168" s="506"/>
      <c r="GU168" s="505"/>
      <c r="GV168" s="505"/>
      <c r="GW168" s="505"/>
      <c r="GX168" s="505"/>
      <c r="GY168" s="506"/>
      <c r="GZ168" s="506"/>
      <c r="HA168" s="506"/>
      <c r="HB168" s="506"/>
      <c r="HC168" s="506"/>
      <c r="HD168" s="506"/>
      <c r="HE168" s="506"/>
      <c r="HF168" s="506"/>
      <c r="HG168" s="506"/>
      <c r="HH168" s="506"/>
      <c r="HI168" s="506"/>
      <c r="HJ168" s="506"/>
      <c r="HK168" s="506"/>
      <c r="HL168" s="506"/>
      <c r="HM168" s="506"/>
      <c r="HN168" s="506"/>
      <c r="HO168" s="506"/>
      <c r="HP168" s="506"/>
      <c r="HQ168" s="506"/>
      <c r="HR168" s="506"/>
      <c r="HS168" s="506"/>
      <c r="HT168" s="506"/>
      <c r="HU168" s="506"/>
      <c r="HV168" s="506"/>
      <c r="HW168" s="506"/>
      <c r="HX168" s="506"/>
      <c r="HY168" s="506"/>
      <c r="HZ168" s="506"/>
      <c r="IA168" s="506"/>
      <c r="IB168" s="506"/>
      <c r="IC168" s="506"/>
      <c r="ID168" s="506"/>
      <c r="IE168" s="505"/>
      <c r="IF168" s="505"/>
      <c r="IG168" s="505"/>
      <c r="IH168" s="505"/>
      <c r="II168" s="505"/>
      <c r="IJ168" s="505"/>
      <c r="IK168" s="507"/>
      <c r="IL168" s="505"/>
      <c r="IM168" s="505"/>
      <c r="IN168" s="505"/>
      <c r="IO168" s="505"/>
      <c r="IP168" s="505"/>
      <c r="IQ168" s="505"/>
      <c r="IR168" s="505"/>
      <c r="IS168" s="505"/>
      <c r="IT168" s="505"/>
      <c r="IU168" s="505"/>
      <c r="IV168" s="505"/>
      <c r="IW168" s="505"/>
      <c r="IX168" s="505"/>
      <c r="IY168" s="505"/>
      <c r="IZ168" s="505"/>
      <c r="JA168" s="507"/>
      <c r="JB168" s="507"/>
      <c r="JC168" s="505"/>
      <c r="JD168" s="505"/>
      <c r="JE168" s="505"/>
      <c r="JF168" s="505"/>
      <c r="JG168" s="505"/>
      <c r="JH168" s="505"/>
      <c r="JI168" s="505"/>
      <c r="JJ168" s="505"/>
      <c r="JK168" s="505"/>
      <c r="JL168" s="505"/>
      <c r="JM168" s="505"/>
      <c r="JN168" s="505"/>
      <c r="JO168" s="505"/>
      <c r="JP168" s="505"/>
      <c r="JQ168" s="505"/>
      <c r="JR168" s="100"/>
      <c r="JS168" s="100"/>
      <c r="JT168" s="505"/>
      <c r="JU168" s="505"/>
      <c r="JV168" s="505"/>
      <c r="JW168" s="505"/>
      <c r="JX168" s="505"/>
      <c r="JY168" s="505"/>
      <c r="JZ168" s="505"/>
      <c r="KA168" s="505"/>
      <c r="KB168" s="505"/>
      <c r="KC168" s="505"/>
      <c r="KD168" s="505"/>
      <c r="KE168" s="505"/>
      <c r="KF168" s="505"/>
      <c r="KG168" s="505"/>
      <c r="KH168" s="505"/>
      <c r="KI168" s="505"/>
      <c r="KJ168" s="505"/>
    </row>
    <row r="169" spans="1:296" s="96" customFormat="1" ht="6" customHeight="1" thickBot="1">
      <c r="A169" s="1"/>
      <c r="B169" s="1"/>
      <c r="C169" s="10"/>
      <c r="D169" s="12"/>
      <c r="E169" s="1"/>
      <c r="F169" s="13"/>
      <c r="G169" s="13"/>
      <c r="H169" s="1"/>
      <c r="I169" s="1"/>
      <c r="J169" s="13"/>
      <c r="K169" s="1"/>
      <c r="L169" s="1"/>
      <c r="M169" s="10"/>
      <c r="N169" s="1"/>
      <c r="O169" s="12"/>
      <c r="P169" s="5"/>
      <c r="Q169" s="5"/>
      <c r="U169" s="3155"/>
      <c r="V169" s="3156"/>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5"/>
      <c r="EY169" s="505"/>
      <c r="EZ169" s="505"/>
      <c r="FA169" s="505"/>
      <c r="FB169" s="505"/>
      <c r="FC169" s="505"/>
      <c r="FD169" s="505"/>
      <c r="FE169" s="505"/>
      <c r="FF169" s="505"/>
      <c r="FG169" s="505"/>
      <c r="FH169" s="505"/>
      <c r="FI169" s="505"/>
      <c r="FJ169" s="505"/>
      <c r="FK169" s="505"/>
      <c r="FL169" s="505"/>
      <c r="FM169" s="505"/>
      <c r="FN169" s="505"/>
      <c r="FO169" s="505"/>
      <c r="FP169" s="505"/>
      <c r="FQ169" s="505"/>
      <c r="FR169" s="505"/>
      <c r="FS169" s="505"/>
      <c r="FT169" s="505"/>
      <c r="FU169" s="505"/>
      <c r="FV169" s="505"/>
      <c r="FW169" s="505"/>
      <c r="FX169" s="505"/>
      <c r="FY169" s="505"/>
      <c r="FZ169" s="505"/>
      <c r="GA169" s="505"/>
      <c r="GB169" s="505"/>
      <c r="GC169" s="505"/>
      <c r="GD169" s="505"/>
      <c r="GE169" s="505"/>
      <c r="GF169" s="505"/>
      <c r="GG169" s="505"/>
      <c r="GH169" s="505"/>
      <c r="GI169" s="505"/>
      <c r="GJ169" s="505"/>
      <c r="GK169" s="505"/>
      <c r="GL169" s="505"/>
      <c r="GM169" s="505"/>
      <c r="GN169" s="505"/>
      <c r="GO169" s="505"/>
      <c r="GP169" s="505"/>
      <c r="GQ169" s="505"/>
      <c r="GR169" s="505"/>
      <c r="GS169" s="505"/>
      <c r="GT169" s="506"/>
      <c r="GU169" s="505"/>
      <c r="GV169" s="505"/>
      <c r="GW169" s="505"/>
      <c r="GX169" s="505"/>
      <c r="GY169" s="506"/>
      <c r="GZ169" s="506"/>
      <c r="HA169" s="506"/>
      <c r="HB169" s="506"/>
      <c r="HC169" s="506"/>
      <c r="HD169" s="506"/>
      <c r="HE169" s="506"/>
      <c r="HF169" s="506"/>
      <c r="HG169" s="506"/>
      <c r="HH169" s="506"/>
      <c r="HI169" s="506"/>
      <c r="HJ169" s="506"/>
      <c r="HK169" s="506"/>
      <c r="HL169" s="506"/>
      <c r="HM169" s="506"/>
      <c r="HN169" s="506"/>
      <c r="HO169" s="506"/>
      <c r="HP169" s="506"/>
      <c r="HQ169" s="506"/>
      <c r="HR169" s="506"/>
      <c r="HS169" s="506"/>
      <c r="HT169" s="506"/>
      <c r="HU169" s="506"/>
      <c r="HV169" s="506"/>
      <c r="HW169" s="506"/>
      <c r="HX169" s="506"/>
      <c r="HY169" s="506"/>
      <c r="HZ169" s="506"/>
      <c r="IA169" s="506"/>
      <c r="IB169" s="506"/>
      <c r="IC169" s="506"/>
      <c r="ID169" s="506"/>
      <c r="IE169" s="505"/>
      <c r="IF169" s="505"/>
      <c r="IG169" s="505"/>
      <c r="IH169" s="505"/>
      <c r="II169" s="505"/>
      <c r="IJ169" s="505"/>
      <c r="IK169" s="507"/>
      <c r="IL169" s="505"/>
      <c r="IM169" s="505"/>
      <c r="IN169" s="505"/>
      <c r="IO169" s="505"/>
      <c r="IP169" s="505"/>
      <c r="IQ169" s="505"/>
      <c r="IR169" s="505"/>
      <c r="IS169" s="505"/>
      <c r="IT169" s="505"/>
      <c r="IU169" s="505"/>
      <c r="IV169" s="505"/>
      <c r="IW169" s="505"/>
      <c r="IX169" s="505"/>
      <c r="IY169" s="505"/>
      <c r="IZ169" s="505"/>
      <c r="JA169" s="507"/>
      <c r="JB169" s="507"/>
      <c r="JC169" s="505"/>
      <c r="JD169" s="505"/>
      <c r="JE169" s="505"/>
      <c r="JF169" s="505"/>
      <c r="JG169" s="505"/>
      <c r="JH169" s="505"/>
      <c r="JI169" s="505"/>
      <c r="JJ169" s="505"/>
      <c r="JK169" s="505"/>
      <c r="JL169" s="505"/>
      <c r="JM169" s="505"/>
      <c r="JN169" s="505"/>
      <c r="JO169" s="505"/>
      <c r="JP169" s="505"/>
      <c r="JQ169" s="505"/>
      <c r="JR169" s="100"/>
      <c r="JS169" s="100"/>
      <c r="JT169" s="505"/>
      <c r="JU169" s="505"/>
      <c r="JV169" s="505"/>
      <c r="JW169" s="505"/>
      <c r="JX169" s="505"/>
      <c r="JY169" s="505"/>
      <c r="JZ169" s="505"/>
      <c r="KA169" s="505"/>
      <c r="KB169" s="505"/>
      <c r="KC169" s="505"/>
      <c r="KD169" s="505"/>
      <c r="KE169" s="505"/>
      <c r="KF169" s="505"/>
      <c r="KG169" s="505"/>
      <c r="KH169" s="505"/>
      <c r="KI169" s="505"/>
      <c r="KJ169" s="505"/>
    </row>
    <row r="170" spans="1:296" s="96" customFormat="1" ht="13.15" customHeight="1" thickBot="1">
      <c r="A170" s="1"/>
      <c r="B170" s="10" t="s">
        <v>1347</v>
      </c>
      <c r="C170" s="1"/>
      <c r="D170" s="9"/>
      <c r="E170" s="1"/>
      <c r="F170" s="1"/>
      <c r="G170" s="1"/>
      <c r="H170" s="1"/>
      <c r="I170" s="10" t="s">
        <v>1348</v>
      </c>
      <c r="J170" s="1"/>
      <c r="K170" s="1"/>
      <c r="L170" s="1"/>
      <c r="M170" s="1"/>
      <c r="N170" s="10" t="s">
        <v>1437</v>
      </c>
      <c r="O170" s="1"/>
      <c r="P170" s="450">
        <f>IF(OR('Part VII-Pro Forma'!$B$20 = "Choose Mgt Fee",'Part VII-Pro Forma'!$B$20 = "Choose One!"), 0,- 'Part VII-Pro Forma'!$B$20)</f>
        <v>67416</v>
      </c>
      <c r="Q170" s="1281"/>
      <c r="U170" s="3155"/>
      <c r="V170" s="3156"/>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5"/>
      <c r="EY170" s="505"/>
      <c r="EZ170" s="505"/>
      <c r="FA170" s="505"/>
      <c r="FB170" s="505"/>
      <c r="FC170" s="505"/>
      <c r="FD170" s="505"/>
      <c r="FE170" s="505"/>
      <c r="FF170" s="505"/>
      <c r="FG170" s="505"/>
      <c r="FH170" s="505"/>
      <c r="FI170" s="505"/>
      <c r="FJ170" s="505"/>
      <c r="FK170" s="505"/>
      <c r="FL170" s="505"/>
      <c r="FM170" s="505"/>
      <c r="FN170" s="505"/>
      <c r="FO170" s="505"/>
      <c r="FP170" s="505"/>
      <c r="FQ170" s="505"/>
      <c r="FR170" s="505"/>
      <c r="FS170" s="505"/>
      <c r="FT170" s="505"/>
      <c r="FU170" s="505"/>
      <c r="FV170" s="505"/>
      <c r="FW170" s="505"/>
      <c r="FX170" s="505"/>
      <c r="FY170" s="505"/>
      <c r="FZ170" s="505"/>
      <c r="GA170" s="505"/>
      <c r="GB170" s="505"/>
      <c r="GC170" s="505"/>
      <c r="GD170" s="505"/>
      <c r="GE170" s="505"/>
      <c r="GF170" s="505"/>
      <c r="GG170" s="505"/>
      <c r="GH170" s="505"/>
      <c r="GI170" s="505"/>
      <c r="GJ170" s="505"/>
      <c r="GK170" s="505"/>
      <c r="GL170" s="505"/>
      <c r="GM170" s="505"/>
      <c r="GN170" s="505"/>
      <c r="GO170" s="505"/>
      <c r="GP170" s="505"/>
      <c r="GQ170" s="505"/>
      <c r="GR170" s="505"/>
      <c r="GS170" s="505"/>
      <c r="GT170" s="506"/>
      <c r="GU170" s="505"/>
      <c r="GV170" s="505"/>
      <c r="GW170" s="505"/>
      <c r="GX170" s="505"/>
      <c r="GY170" s="506"/>
      <c r="GZ170" s="506"/>
      <c r="HA170" s="506"/>
      <c r="HB170" s="506"/>
      <c r="HC170" s="506"/>
      <c r="HD170" s="506"/>
      <c r="HE170" s="506"/>
      <c r="HF170" s="506"/>
      <c r="HG170" s="506"/>
      <c r="HH170" s="506"/>
      <c r="HI170" s="506"/>
      <c r="HJ170" s="506"/>
      <c r="HK170" s="506"/>
      <c r="HL170" s="506"/>
      <c r="HM170" s="506"/>
      <c r="HN170" s="506"/>
      <c r="HO170" s="506"/>
      <c r="HP170" s="506"/>
      <c r="HQ170" s="506"/>
      <c r="HR170" s="506"/>
      <c r="HS170" s="506"/>
      <c r="HT170" s="506"/>
      <c r="HU170" s="506"/>
      <c r="HV170" s="506"/>
      <c r="HW170" s="506"/>
      <c r="HX170" s="506"/>
      <c r="HY170" s="506"/>
      <c r="HZ170" s="506"/>
      <c r="IA170" s="506"/>
      <c r="IB170" s="506"/>
      <c r="IC170" s="506"/>
      <c r="ID170" s="506"/>
      <c r="IE170" s="505"/>
      <c r="IF170" s="505"/>
      <c r="IG170" s="505"/>
      <c r="IH170" s="505"/>
      <c r="II170" s="505"/>
      <c r="IJ170" s="505"/>
      <c r="IK170" s="507"/>
      <c r="IL170" s="505"/>
      <c r="IM170" s="505"/>
      <c r="IN170" s="505"/>
      <c r="IO170" s="505"/>
      <c r="IP170" s="505"/>
      <c r="IQ170" s="505"/>
      <c r="IR170" s="505"/>
      <c r="IS170" s="505"/>
      <c r="IT170" s="505"/>
      <c r="IU170" s="505"/>
      <c r="IV170" s="505"/>
      <c r="IW170" s="505"/>
      <c r="IX170" s="505"/>
      <c r="IY170" s="505"/>
      <c r="IZ170" s="505"/>
      <c r="JA170" s="507"/>
      <c r="JB170" s="507"/>
      <c r="JC170" s="505"/>
      <c r="JD170" s="505"/>
      <c r="JE170" s="505"/>
      <c r="JF170" s="505"/>
      <c r="JG170" s="505"/>
      <c r="JH170" s="505"/>
      <c r="JI170" s="505"/>
      <c r="JJ170" s="505"/>
      <c r="JK170" s="505"/>
      <c r="JL170" s="505"/>
      <c r="JM170" s="505"/>
      <c r="JN170" s="505"/>
      <c r="JO170" s="505"/>
      <c r="JP170" s="505"/>
      <c r="JQ170" s="505"/>
      <c r="JR170" s="100"/>
      <c r="JS170" s="100"/>
      <c r="JT170" s="505"/>
      <c r="JU170" s="505"/>
      <c r="JV170" s="505"/>
      <c r="JW170" s="505"/>
      <c r="JX170" s="505"/>
      <c r="JY170" s="505"/>
      <c r="JZ170" s="505"/>
      <c r="KA170" s="505"/>
      <c r="KB170" s="505"/>
      <c r="KC170" s="505"/>
      <c r="KD170" s="505"/>
      <c r="KE170" s="505"/>
      <c r="KF170" s="505"/>
      <c r="KG170" s="505"/>
      <c r="KH170" s="505"/>
      <c r="KI170" s="505"/>
      <c r="KJ170" s="505"/>
    </row>
    <row r="171" spans="1:296" s="96" customFormat="1" ht="15.6" customHeight="1">
      <c r="A171" s="1"/>
      <c r="B171" s="1" t="s">
        <v>1429</v>
      </c>
      <c r="C171" s="1"/>
      <c r="D171" s="9"/>
      <c r="E171" s="1"/>
      <c r="F171" s="3252">
        <v>4800</v>
      </c>
      <c r="G171" s="3253"/>
      <c r="H171" s="1"/>
      <c r="I171" s="1" t="s">
        <v>1670</v>
      </c>
      <c r="J171" s="1"/>
      <c r="K171" s="3263">
        <v>10000</v>
      </c>
      <c r="L171" s="3264"/>
      <c r="M171" s="1"/>
      <c r="N171" s="436">
        <f>+P170/(O62*0.93)</f>
        <v>447.47112704101954</v>
      </c>
      <c r="O171" s="71" t="s">
        <v>2956</v>
      </c>
      <c r="P171" s="1"/>
      <c r="Q171" s="1"/>
      <c r="U171" s="3155"/>
      <c r="V171" s="3156"/>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5"/>
      <c r="EY171" s="505"/>
      <c r="EZ171" s="505"/>
      <c r="FA171" s="505"/>
      <c r="FB171" s="505"/>
      <c r="FC171" s="505"/>
      <c r="FD171" s="505"/>
      <c r="FE171" s="505"/>
      <c r="FF171" s="505"/>
      <c r="FG171" s="505"/>
      <c r="FH171" s="505"/>
      <c r="FI171" s="505"/>
      <c r="FJ171" s="505"/>
      <c r="FK171" s="505"/>
      <c r="FL171" s="505"/>
      <c r="FM171" s="505"/>
      <c r="FN171" s="505"/>
      <c r="FO171" s="505"/>
      <c r="FP171" s="505"/>
      <c r="FQ171" s="505"/>
      <c r="FR171" s="505"/>
      <c r="FS171" s="505"/>
      <c r="FT171" s="505"/>
      <c r="FU171" s="505"/>
      <c r="FV171" s="505"/>
      <c r="FW171" s="505"/>
      <c r="FX171" s="505"/>
      <c r="FY171" s="505"/>
      <c r="FZ171" s="505"/>
      <c r="GA171" s="505"/>
      <c r="GB171" s="505"/>
      <c r="GC171" s="505"/>
      <c r="GD171" s="505"/>
      <c r="GE171" s="505"/>
      <c r="GF171" s="505"/>
      <c r="GG171" s="505"/>
      <c r="GH171" s="505"/>
      <c r="GI171" s="505"/>
      <c r="GJ171" s="505"/>
      <c r="GK171" s="505"/>
      <c r="GL171" s="505"/>
      <c r="GM171" s="505"/>
      <c r="GN171" s="505"/>
      <c r="GO171" s="505"/>
      <c r="GP171" s="505"/>
      <c r="GQ171" s="505"/>
      <c r="GR171" s="505"/>
      <c r="GS171" s="505"/>
      <c r="GT171" s="506"/>
      <c r="GU171" s="505"/>
      <c r="GV171" s="505"/>
      <c r="GW171" s="505"/>
      <c r="GX171" s="505"/>
      <c r="GY171" s="506"/>
      <c r="GZ171" s="506"/>
      <c r="HA171" s="506"/>
      <c r="HB171" s="506"/>
      <c r="HC171" s="506"/>
      <c r="HD171" s="506"/>
      <c r="HE171" s="506"/>
      <c r="HF171" s="506"/>
      <c r="HG171" s="506"/>
      <c r="HH171" s="506"/>
      <c r="HI171" s="506"/>
      <c r="HJ171" s="506"/>
      <c r="HK171" s="506"/>
      <c r="HL171" s="506"/>
      <c r="HM171" s="506"/>
      <c r="HN171" s="506"/>
      <c r="HO171" s="506"/>
      <c r="HP171" s="506"/>
      <c r="HQ171" s="506"/>
      <c r="HR171" s="506"/>
      <c r="HS171" s="506"/>
      <c r="HT171" s="506"/>
      <c r="HU171" s="506"/>
      <c r="HV171" s="506"/>
      <c r="HW171" s="506"/>
      <c r="HX171" s="506"/>
      <c r="HY171" s="506"/>
      <c r="HZ171" s="506"/>
      <c r="IA171" s="506"/>
      <c r="IB171" s="506"/>
      <c r="IC171" s="506"/>
      <c r="ID171" s="506"/>
      <c r="IE171" s="505"/>
      <c r="IF171" s="505"/>
      <c r="IG171" s="505"/>
      <c r="IH171" s="505"/>
      <c r="II171" s="505"/>
      <c r="IJ171" s="505"/>
      <c r="IK171" s="507"/>
      <c r="IL171" s="505"/>
      <c r="IM171" s="505"/>
      <c r="IN171" s="505"/>
      <c r="IO171" s="505"/>
      <c r="IP171" s="505"/>
      <c r="IQ171" s="505"/>
      <c r="IR171" s="505"/>
      <c r="IS171" s="505"/>
      <c r="IT171" s="505"/>
      <c r="IU171" s="505"/>
      <c r="IV171" s="505"/>
      <c r="IW171" s="505"/>
      <c r="IX171" s="505"/>
      <c r="IY171" s="505"/>
      <c r="IZ171" s="505"/>
      <c r="JA171" s="507"/>
      <c r="JB171" s="507"/>
      <c r="JC171" s="505"/>
      <c r="JD171" s="505"/>
      <c r="JE171" s="505"/>
      <c r="JF171" s="505"/>
      <c r="JG171" s="505"/>
      <c r="JH171" s="505"/>
      <c r="JI171" s="505"/>
      <c r="JJ171" s="505"/>
      <c r="JK171" s="505"/>
      <c r="JL171" s="505"/>
      <c r="JM171" s="505"/>
      <c r="JN171" s="505"/>
      <c r="JO171" s="505"/>
      <c r="JP171" s="505"/>
      <c r="JQ171" s="505"/>
      <c r="JR171" s="100"/>
      <c r="JS171" s="100"/>
      <c r="JT171" s="505"/>
      <c r="JU171" s="505"/>
      <c r="JV171" s="505"/>
      <c r="JW171" s="505"/>
      <c r="JX171" s="505"/>
      <c r="JY171" s="505"/>
      <c r="JZ171" s="505"/>
      <c r="KA171" s="505"/>
      <c r="KB171" s="505"/>
      <c r="KC171" s="505"/>
      <c r="KD171" s="505"/>
      <c r="KE171" s="505"/>
      <c r="KF171" s="505"/>
      <c r="KG171" s="505"/>
      <c r="KH171" s="505"/>
      <c r="KI171" s="505"/>
      <c r="KJ171" s="505"/>
    </row>
    <row r="172" spans="1:296" s="96" customFormat="1" ht="15.6" customHeight="1">
      <c r="A172" s="1"/>
      <c r="B172" s="1" t="s">
        <v>1430</v>
      </c>
      <c r="C172" s="1"/>
      <c r="D172" s="9"/>
      <c r="E172" s="1"/>
      <c r="F172" s="3252">
        <v>9600</v>
      </c>
      <c r="G172" s="3253"/>
      <c r="H172" s="1"/>
      <c r="I172" s="1" t="s">
        <v>2137</v>
      </c>
      <c r="J172" s="1"/>
      <c r="K172" s="3265">
        <v>11500</v>
      </c>
      <c r="L172" s="3266"/>
      <c r="M172" s="1"/>
      <c r="N172" s="436">
        <f>+P170/(O62*0.93)/12</f>
        <v>37.289260586751631</v>
      </c>
      <c r="O172" s="71" t="s">
        <v>2957</v>
      </c>
      <c r="P172" s="1"/>
      <c r="Q172" s="1"/>
      <c r="U172" s="3155"/>
      <c r="V172" s="3156"/>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c r="FV172" s="505"/>
      <c r="FW172" s="505"/>
      <c r="FX172" s="505"/>
      <c r="FY172" s="505"/>
      <c r="FZ172" s="505"/>
      <c r="GA172" s="505"/>
      <c r="GB172" s="505"/>
      <c r="GC172" s="505"/>
      <c r="GD172" s="505"/>
      <c r="GE172" s="505"/>
      <c r="GF172" s="505"/>
      <c r="GG172" s="505"/>
      <c r="GH172" s="505"/>
      <c r="GI172" s="505"/>
      <c r="GJ172" s="505"/>
      <c r="GK172" s="505"/>
      <c r="GL172" s="505"/>
      <c r="GM172" s="505"/>
      <c r="GN172" s="505"/>
      <c r="GO172" s="505"/>
      <c r="GP172" s="505"/>
      <c r="GQ172" s="505"/>
      <c r="GR172" s="505"/>
      <c r="GS172" s="505"/>
      <c r="GT172" s="506"/>
      <c r="GU172" s="505"/>
      <c r="GV172" s="505"/>
      <c r="GW172" s="505"/>
      <c r="GX172" s="505"/>
      <c r="GY172" s="506"/>
      <c r="GZ172" s="506"/>
      <c r="HA172" s="506"/>
      <c r="HB172" s="506"/>
      <c r="HC172" s="506"/>
      <c r="HD172" s="506"/>
      <c r="HE172" s="506"/>
      <c r="HF172" s="506"/>
      <c r="HG172" s="506"/>
      <c r="HH172" s="506"/>
      <c r="HI172" s="506"/>
      <c r="HJ172" s="506"/>
      <c r="HK172" s="506"/>
      <c r="HL172" s="506"/>
      <c r="HM172" s="506"/>
      <c r="HN172" s="506"/>
      <c r="HO172" s="506"/>
      <c r="HP172" s="506"/>
      <c r="HQ172" s="506"/>
      <c r="HR172" s="506"/>
      <c r="HS172" s="506"/>
      <c r="HT172" s="506"/>
      <c r="HU172" s="506"/>
      <c r="HV172" s="506"/>
      <c r="HW172" s="506"/>
      <c r="HX172" s="506"/>
      <c r="HY172" s="506"/>
      <c r="HZ172" s="506"/>
      <c r="IA172" s="506"/>
      <c r="IB172" s="506"/>
      <c r="IC172" s="506"/>
      <c r="ID172" s="506"/>
      <c r="IE172" s="505"/>
      <c r="IF172" s="505"/>
      <c r="IG172" s="505"/>
      <c r="IH172" s="505"/>
      <c r="II172" s="505"/>
      <c r="IJ172" s="505"/>
      <c r="IK172" s="507"/>
      <c r="IL172" s="505"/>
      <c r="IM172" s="505"/>
      <c r="IN172" s="505"/>
      <c r="IO172" s="505"/>
      <c r="IP172" s="505"/>
      <c r="IQ172" s="505"/>
      <c r="IR172" s="505"/>
      <c r="IS172" s="505"/>
      <c r="IT172" s="505"/>
      <c r="IU172" s="505"/>
      <c r="IV172" s="505"/>
      <c r="IW172" s="505"/>
      <c r="IX172" s="505"/>
      <c r="IY172" s="505"/>
      <c r="IZ172" s="505"/>
      <c r="JA172" s="507"/>
      <c r="JB172" s="507"/>
      <c r="JC172" s="505"/>
      <c r="JD172" s="505"/>
      <c r="JE172" s="505"/>
      <c r="JF172" s="505"/>
      <c r="JG172" s="505"/>
      <c r="JH172" s="505"/>
      <c r="JI172" s="505"/>
      <c r="JJ172" s="505"/>
      <c r="JK172" s="505"/>
      <c r="JL172" s="505"/>
      <c r="JM172" s="505"/>
      <c r="JN172" s="505"/>
      <c r="JO172" s="505"/>
      <c r="JP172" s="505"/>
      <c r="JQ172" s="505"/>
      <c r="JR172" s="100"/>
      <c r="JS172" s="100"/>
      <c r="JT172" s="505"/>
      <c r="JU172" s="505"/>
      <c r="JV172" s="505"/>
      <c r="JW172" s="505"/>
      <c r="JX172" s="505"/>
      <c r="JY172" s="505"/>
      <c r="JZ172" s="505"/>
      <c r="KA172" s="505"/>
      <c r="KB172" s="505"/>
      <c r="KC172" s="505"/>
      <c r="KD172" s="505"/>
      <c r="KE172" s="505"/>
      <c r="KF172" s="505"/>
      <c r="KG172" s="505"/>
      <c r="KH172" s="505"/>
      <c r="KI172" s="505"/>
      <c r="KJ172" s="505"/>
    </row>
    <row r="173" spans="1:296" s="96" customFormat="1" ht="15.6" customHeight="1">
      <c r="A173" s="1"/>
      <c r="B173" s="1" t="s">
        <v>1431</v>
      </c>
      <c r="C173" s="1"/>
      <c r="D173" s="9"/>
      <c r="E173" s="1"/>
      <c r="F173" s="3252"/>
      <c r="G173" s="3253"/>
      <c r="H173" s="1"/>
      <c r="I173" s="1" t="s">
        <v>1671</v>
      </c>
      <c r="J173" s="1"/>
      <c r="K173" s="3265">
        <v>6500</v>
      </c>
      <c r="L173" s="3266"/>
      <c r="M173" s="1"/>
      <c r="N173" s="2419" t="s">
        <v>2558</v>
      </c>
      <c r="O173" s="2420"/>
      <c r="P173" s="2420"/>
      <c r="Q173" s="2026"/>
      <c r="U173" s="3155"/>
      <c r="V173" s="3156"/>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c r="FV173" s="505"/>
      <c r="FW173" s="505"/>
      <c r="FX173" s="505"/>
      <c r="FY173" s="505"/>
      <c r="FZ173" s="505"/>
      <c r="GA173" s="505"/>
      <c r="GB173" s="505"/>
      <c r="GC173" s="505"/>
      <c r="GD173" s="505"/>
      <c r="GE173" s="505"/>
      <c r="GF173" s="505"/>
      <c r="GG173" s="505"/>
      <c r="GH173" s="505"/>
      <c r="GI173" s="505"/>
      <c r="GJ173" s="505"/>
      <c r="GK173" s="505"/>
      <c r="GL173" s="505"/>
      <c r="GM173" s="505"/>
      <c r="GN173" s="505"/>
      <c r="GO173" s="505"/>
      <c r="GP173" s="505"/>
      <c r="GQ173" s="505"/>
      <c r="GR173" s="505"/>
      <c r="GS173" s="505"/>
      <c r="GT173" s="506"/>
      <c r="GU173" s="505"/>
      <c r="GV173" s="505"/>
      <c r="GW173" s="505"/>
      <c r="GX173" s="505"/>
      <c r="GY173" s="506"/>
      <c r="GZ173" s="506"/>
      <c r="HA173" s="506"/>
      <c r="HB173" s="506"/>
      <c r="HC173" s="506"/>
      <c r="HD173" s="506"/>
      <c r="HE173" s="506"/>
      <c r="HF173" s="506"/>
      <c r="HG173" s="506"/>
      <c r="HH173" s="506"/>
      <c r="HI173" s="506"/>
      <c r="HJ173" s="506"/>
      <c r="HK173" s="506"/>
      <c r="HL173" s="506"/>
      <c r="HM173" s="506"/>
      <c r="HN173" s="506"/>
      <c r="HO173" s="506"/>
      <c r="HP173" s="506"/>
      <c r="HQ173" s="506"/>
      <c r="HR173" s="506"/>
      <c r="HS173" s="506"/>
      <c r="HT173" s="506"/>
      <c r="HU173" s="506"/>
      <c r="HV173" s="506"/>
      <c r="HW173" s="506"/>
      <c r="HX173" s="506"/>
      <c r="HY173" s="506"/>
      <c r="HZ173" s="506"/>
      <c r="IA173" s="506"/>
      <c r="IB173" s="506"/>
      <c r="IC173" s="506"/>
      <c r="ID173" s="506"/>
      <c r="IE173" s="505"/>
      <c r="IF173" s="505"/>
      <c r="IG173" s="505"/>
      <c r="IH173" s="505"/>
      <c r="II173" s="505"/>
      <c r="IJ173" s="505"/>
      <c r="IK173" s="507"/>
      <c r="IL173" s="505"/>
      <c r="IM173" s="505"/>
      <c r="IN173" s="505"/>
      <c r="IO173" s="505"/>
      <c r="IP173" s="505"/>
      <c r="IQ173" s="505"/>
      <c r="IR173" s="505"/>
      <c r="IS173" s="505"/>
      <c r="IT173" s="505"/>
      <c r="IU173" s="505"/>
      <c r="IV173" s="505"/>
      <c r="IW173" s="505"/>
      <c r="IX173" s="505"/>
      <c r="IY173" s="505"/>
      <c r="IZ173" s="505"/>
      <c r="JA173" s="507"/>
      <c r="JB173" s="507"/>
      <c r="JC173" s="505"/>
      <c r="JD173" s="505"/>
      <c r="JE173" s="505"/>
      <c r="JF173" s="505"/>
      <c r="JG173" s="505"/>
      <c r="JH173" s="505"/>
      <c r="JI173" s="505"/>
      <c r="JJ173" s="505"/>
      <c r="JK173" s="505"/>
      <c r="JL173" s="505"/>
      <c r="JM173" s="505"/>
      <c r="JN173" s="505"/>
      <c r="JO173" s="505"/>
      <c r="JP173" s="505"/>
      <c r="JQ173" s="505"/>
      <c r="JR173" s="100"/>
      <c r="JS173" s="100"/>
      <c r="JT173" s="505"/>
      <c r="JU173" s="505"/>
      <c r="JV173" s="505"/>
      <c r="JW173" s="505"/>
      <c r="JX173" s="505"/>
      <c r="JY173" s="505"/>
      <c r="JZ173" s="505"/>
      <c r="KA173" s="505"/>
      <c r="KB173" s="505"/>
      <c r="KC173" s="505"/>
      <c r="KD173" s="505"/>
      <c r="KE173" s="505"/>
      <c r="KF173" s="505"/>
      <c r="KG173" s="505"/>
      <c r="KH173" s="505"/>
      <c r="KI173" s="505"/>
      <c r="KJ173" s="505"/>
    </row>
    <row r="174" spans="1:296" s="96" customFormat="1" ht="15.6" customHeight="1" thickBot="1">
      <c r="A174" s="1"/>
      <c r="B174" s="1" t="s">
        <v>2433</v>
      </c>
      <c r="C174" s="1"/>
      <c r="D174" s="9"/>
      <c r="E174" s="1"/>
      <c r="F174" s="3252"/>
      <c r="G174" s="3253"/>
      <c r="H174" s="1"/>
      <c r="I174" s="3255" t="s">
        <v>4704</v>
      </c>
      <c r="J174" s="3256"/>
      <c r="K174" s="3263">
        <v>2500</v>
      </c>
      <c r="L174" s="3264"/>
      <c r="M174" s="1"/>
      <c r="N174" s="2420"/>
      <c r="O174" s="2420"/>
      <c r="P174" s="2420"/>
      <c r="Q174" s="2026"/>
      <c r="U174" s="3155"/>
      <c r="V174" s="3156"/>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c r="FV174" s="505"/>
      <c r="FW174" s="505"/>
      <c r="FX174" s="505"/>
      <c r="FY174" s="505"/>
      <c r="FZ174" s="505"/>
      <c r="GA174" s="505"/>
      <c r="GB174" s="505"/>
      <c r="GC174" s="505"/>
      <c r="GD174" s="505"/>
      <c r="GE174" s="505"/>
      <c r="GF174" s="505"/>
      <c r="GG174" s="505"/>
      <c r="GH174" s="505"/>
      <c r="GI174" s="505"/>
      <c r="GJ174" s="505"/>
      <c r="GK174" s="505"/>
      <c r="GL174" s="505"/>
      <c r="GM174" s="505"/>
      <c r="GN174" s="505"/>
      <c r="GO174" s="505"/>
      <c r="GP174" s="505"/>
      <c r="GQ174" s="505"/>
      <c r="GR174" s="505"/>
      <c r="GS174" s="505"/>
      <c r="GT174" s="506"/>
      <c r="GU174" s="505"/>
      <c r="GV174" s="505"/>
      <c r="GW174" s="505"/>
      <c r="GX174" s="505"/>
      <c r="GY174" s="506"/>
      <c r="GZ174" s="506"/>
      <c r="HA174" s="506"/>
      <c r="HB174" s="506"/>
      <c r="HC174" s="506"/>
      <c r="HD174" s="506"/>
      <c r="HE174" s="506"/>
      <c r="HF174" s="506"/>
      <c r="HG174" s="506"/>
      <c r="HH174" s="506"/>
      <c r="HI174" s="506"/>
      <c r="HJ174" s="506"/>
      <c r="HK174" s="506"/>
      <c r="HL174" s="506"/>
      <c r="HM174" s="506"/>
      <c r="HN174" s="506"/>
      <c r="HO174" s="506"/>
      <c r="HP174" s="506"/>
      <c r="HQ174" s="506"/>
      <c r="HR174" s="506"/>
      <c r="HS174" s="506"/>
      <c r="HT174" s="506"/>
      <c r="HU174" s="506"/>
      <c r="HV174" s="506"/>
      <c r="HW174" s="506"/>
      <c r="HX174" s="506"/>
      <c r="HY174" s="506"/>
      <c r="HZ174" s="506"/>
      <c r="IA174" s="506"/>
      <c r="IB174" s="506"/>
      <c r="IC174" s="506"/>
      <c r="ID174" s="506"/>
      <c r="IE174" s="505"/>
      <c r="IF174" s="505"/>
      <c r="IG174" s="505"/>
      <c r="IH174" s="505"/>
      <c r="II174" s="505"/>
      <c r="IJ174" s="505"/>
      <c r="IK174" s="507"/>
      <c r="IL174" s="505"/>
      <c r="IM174" s="505"/>
      <c r="IN174" s="505"/>
      <c r="IO174" s="505"/>
      <c r="IP174" s="505"/>
      <c r="IQ174" s="505"/>
      <c r="IR174" s="505"/>
      <c r="IS174" s="505"/>
      <c r="IT174" s="505"/>
      <c r="IU174" s="505"/>
      <c r="IV174" s="505"/>
      <c r="IW174" s="505"/>
      <c r="IX174" s="505"/>
      <c r="IY174" s="505"/>
      <c r="IZ174" s="505"/>
      <c r="JA174" s="507"/>
      <c r="JB174" s="507"/>
      <c r="JC174" s="505"/>
      <c r="JD174" s="505"/>
      <c r="JE174" s="505"/>
      <c r="JF174" s="505"/>
      <c r="JG174" s="505"/>
      <c r="JH174" s="505"/>
      <c r="JI174" s="505"/>
      <c r="JJ174" s="505"/>
      <c r="JK174" s="505"/>
      <c r="JL174" s="505"/>
      <c r="JM174" s="505"/>
      <c r="JN174" s="505"/>
      <c r="JO174" s="505"/>
      <c r="JP174" s="505"/>
      <c r="JQ174" s="505"/>
      <c r="JR174" s="100"/>
      <c r="JS174" s="100"/>
      <c r="JT174" s="505"/>
      <c r="JU174" s="505"/>
      <c r="JV174" s="505"/>
      <c r="JW174" s="505"/>
      <c r="JX174" s="505"/>
      <c r="JY174" s="505"/>
      <c r="JZ174" s="505"/>
      <c r="KA174" s="505"/>
      <c r="KB174" s="505"/>
      <c r="KC174" s="505"/>
      <c r="KD174" s="505"/>
      <c r="KE174" s="505"/>
      <c r="KF174" s="505"/>
      <c r="KG174" s="505"/>
      <c r="KH174" s="505"/>
      <c r="KI174" s="505"/>
      <c r="KJ174" s="505"/>
    </row>
    <row r="175" spans="1:296" s="96" customFormat="1" ht="15.6" customHeight="1" thickTop="1" thickBot="1">
      <c r="A175" s="1"/>
      <c r="B175" s="1" t="s">
        <v>1668</v>
      </c>
      <c r="C175" s="1"/>
      <c r="D175" s="9"/>
      <c r="E175" s="1"/>
      <c r="F175" s="3252"/>
      <c r="G175" s="3253"/>
      <c r="H175" s="1"/>
      <c r="I175" s="10"/>
      <c r="J175" s="12" t="s">
        <v>198</v>
      </c>
      <c r="K175" s="2421">
        <f>SUM(K171:K174)</f>
        <v>30500</v>
      </c>
      <c r="L175" s="2422"/>
      <c r="M175" s="1"/>
      <c r="U175" s="3158"/>
      <c r="V175" s="3159"/>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c r="FV175" s="505"/>
      <c r="FW175" s="505"/>
      <c r="FX175" s="505"/>
      <c r="FY175" s="505"/>
      <c r="FZ175" s="505"/>
      <c r="GA175" s="505"/>
      <c r="GB175" s="505"/>
      <c r="GC175" s="505"/>
      <c r="GD175" s="505"/>
      <c r="GE175" s="505"/>
      <c r="GF175" s="505"/>
      <c r="GG175" s="505"/>
      <c r="GH175" s="505"/>
      <c r="GI175" s="505"/>
      <c r="GJ175" s="505"/>
      <c r="GK175" s="505"/>
      <c r="GL175" s="505"/>
      <c r="GM175" s="505"/>
      <c r="GN175" s="505"/>
      <c r="GO175" s="505"/>
      <c r="GP175" s="505"/>
      <c r="GQ175" s="505"/>
      <c r="GR175" s="505"/>
      <c r="GS175" s="505"/>
      <c r="GT175" s="506"/>
      <c r="GU175" s="505"/>
      <c r="GV175" s="505"/>
      <c r="GW175" s="505"/>
      <c r="GX175" s="505"/>
      <c r="GY175" s="506"/>
      <c r="GZ175" s="506"/>
      <c r="HA175" s="506"/>
      <c r="HB175" s="506"/>
      <c r="HC175" s="506"/>
      <c r="HD175" s="506"/>
      <c r="HE175" s="506"/>
      <c r="HF175" s="506"/>
      <c r="HG175" s="506"/>
      <c r="HH175" s="506"/>
      <c r="HI175" s="506"/>
      <c r="HJ175" s="506"/>
      <c r="HK175" s="506"/>
      <c r="HL175" s="506"/>
      <c r="HM175" s="506"/>
      <c r="HN175" s="506"/>
      <c r="HO175" s="506"/>
      <c r="HP175" s="506"/>
      <c r="HQ175" s="506"/>
      <c r="HR175" s="506"/>
      <c r="HS175" s="506"/>
      <c r="HT175" s="506"/>
      <c r="HU175" s="506"/>
      <c r="HV175" s="506"/>
      <c r="HW175" s="506"/>
      <c r="HX175" s="506"/>
      <c r="HY175" s="506"/>
      <c r="HZ175" s="506"/>
      <c r="IA175" s="506"/>
      <c r="IB175" s="506"/>
      <c r="IC175" s="506"/>
      <c r="ID175" s="506"/>
      <c r="IE175" s="505"/>
      <c r="IF175" s="505"/>
      <c r="IG175" s="505"/>
      <c r="IH175" s="505"/>
      <c r="II175" s="505"/>
      <c r="IJ175" s="505"/>
      <c r="IK175" s="507"/>
      <c r="IL175" s="505"/>
      <c r="IM175" s="505"/>
      <c r="IN175" s="505"/>
      <c r="IO175" s="505"/>
      <c r="IP175" s="505"/>
      <c r="IQ175" s="505"/>
      <c r="IR175" s="505"/>
      <c r="IS175" s="505"/>
      <c r="IT175" s="505"/>
      <c r="IU175" s="505"/>
      <c r="IV175" s="505"/>
      <c r="IW175" s="505"/>
      <c r="IX175" s="505"/>
      <c r="IY175" s="505"/>
      <c r="IZ175" s="505"/>
      <c r="JA175" s="507"/>
      <c r="JB175" s="507"/>
      <c r="JC175" s="505"/>
      <c r="JD175" s="505"/>
      <c r="JE175" s="505"/>
      <c r="JF175" s="505"/>
      <c r="JG175" s="505"/>
      <c r="JH175" s="505"/>
      <c r="JI175" s="505"/>
      <c r="JJ175" s="505"/>
      <c r="JK175" s="505"/>
      <c r="JL175" s="505"/>
      <c r="JM175" s="505"/>
      <c r="JN175" s="505"/>
      <c r="JO175" s="505"/>
      <c r="JP175" s="505"/>
      <c r="JQ175" s="505"/>
      <c r="JR175" s="100"/>
      <c r="JS175" s="100"/>
      <c r="JT175" s="505"/>
      <c r="JU175" s="505"/>
      <c r="JV175" s="505"/>
      <c r="JW175" s="505"/>
      <c r="JX175" s="505"/>
      <c r="JY175" s="505"/>
      <c r="JZ175" s="505"/>
      <c r="KA175" s="505"/>
      <c r="KB175" s="505"/>
      <c r="KC175" s="505"/>
      <c r="KD175" s="505"/>
      <c r="KE175" s="505"/>
      <c r="KF175" s="505"/>
      <c r="KG175" s="505"/>
      <c r="KH175" s="505"/>
      <c r="KI175" s="505"/>
      <c r="KJ175" s="505"/>
    </row>
    <row r="176" spans="1:296" s="96" customFormat="1" ht="15.6" customHeight="1" thickBot="1">
      <c r="A176" s="1"/>
      <c r="B176" s="3258" t="s">
        <v>4703</v>
      </c>
      <c r="C176" s="3259"/>
      <c r="D176" s="3259"/>
      <c r="E176" s="3260"/>
      <c r="F176" s="3261">
        <f>2000+2500+7200</f>
        <v>11700</v>
      </c>
      <c r="G176" s="3262"/>
      <c r="H176" s="1"/>
      <c r="I176" s="1"/>
      <c r="J176" s="13"/>
      <c r="K176" s="1"/>
      <c r="L176" s="1"/>
      <c r="M176" s="1"/>
      <c r="N176" s="10" t="s">
        <v>2275</v>
      </c>
      <c r="O176" s="5"/>
      <c r="P176" s="449">
        <f>F168+F177+F188+K166+K175+K185+P167+P170</f>
        <v>771236</v>
      </c>
      <c r="Q176" s="1280"/>
      <c r="U176" s="3153"/>
      <c r="V176" s="3154"/>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5"/>
      <c r="EY176" s="505"/>
      <c r="EZ176" s="505"/>
      <c r="FA176" s="505"/>
      <c r="FB176" s="505"/>
      <c r="FC176" s="505"/>
      <c r="FD176" s="505"/>
      <c r="FE176" s="505"/>
      <c r="FF176" s="505"/>
      <c r="FG176" s="505"/>
      <c r="FH176" s="505"/>
      <c r="FI176" s="505"/>
      <c r="FJ176" s="505"/>
      <c r="FK176" s="505"/>
      <c r="FL176" s="505"/>
      <c r="FM176" s="505"/>
      <c r="FN176" s="505"/>
      <c r="FO176" s="505"/>
      <c r="FP176" s="505"/>
      <c r="FQ176" s="505"/>
      <c r="FR176" s="505"/>
      <c r="FS176" s="505"/>
      <c r="FT176" s="505"/>
      <c r="FU176" s="505"/>
      <c r="FV176" s="505"/>
      <c r="FW176" s="505"/>
      <c r="FX176" s="505"/>
      <c r="FY176" s="505"/>
      <c r="FZ176" s="505"/>
      <c r="GA176" s="505"/>
      <c r="GB176" s="505"/>
      <c r="GC176" s="505"/>
      <c r="GD176" s="505"/>
      <c r="GE176" s="505"/>
      <c r="GF176" s="505"/>
      <c r="GG176" s="505"/>
      <c r="GH176" s="505"/>
      <c r="GI176" s="505"/>
      <c r="GJ176" s="505"/>
      <c r="GK176" s="505"/>
      <c r="GL176" s="505"/>
      <c r="GM176" s="505"/>
      <c r="GN176" s="505"/>
      <c r="GO176" s="505"/>
      <c r="GP176" s="505"/>
      <c r="GQ176" s="505"/>
      <c r="GR176" s="505"/>
      <c r="GS176" s="505"/>
      <c r="GT176" s="506"/>
      <c r="GU176" s="505"/>
      <c r="GV176" s="505"/>
      <c r="GW176" s="505"/>
      <c r="GX176" s="505"/>
      <c r="GY176" s="506"/>
      <c r="GZ176" s="506"/>
      <c r="HA176" s="506"/>
      <c r="HB176" s="506"/>
      <c r="HC176" s="506"/>
      <c r="HD176" s="506"/>
      <c r="HE176" s="506"/>
      <c r="HF176" s="506"/>
      <c r="HG176" s="506"/>
      <c r="HH176" s="506"/>
      <c r="HI176" s="506"/>
      <c r="HJ176" s="506"/>
      <c r="HK176" s="506"/>
      <c r="HL176" s="506"/>
      <c r="HM176" s="506"/>
      <c r="HN176" s="506"/>
      <c r="HO176" s="506"/>
      <c r="HP176" s="506"/>
      <c r="HQ176" s="506"/>
      <c r="HR176" s="506"/>
      <c r="HS176" s="506"/>
      <c r="HT176" s="506"/>
      <c r="HU176" s="506"/>
      <c r="HV176" s="506"/>
      <c r="HW176" s="506"/>
      <c r="HX176" s="506"/>
      <c r="HY176" s="506"/>
      <c r="HZ176" s="506"/>
      <c r="IA176" s="506"/>
      <c r="IB176" s="506"/>
      <c r="IC176" s="506"/>
      <c r="ID176" s="506"/>
      <c r="IE176" s="505"/>
      <c r="IF176" s="505"/>
      <c r="IG176" s="505"/>
      <c r="IH176" s="505"/>
      <c r="II176" s="505"/>
      <c r="IJ176" s="505"/>
      <c r="IK176" s="507"/>
      <c r="IL176" s="505"/>
      <c r="IM176" s="505"/>
      <c r="IN176" s="505"/>
      <c r="IO176" s="505"/>
      <c r="IP176" s="505"/>
      <c r="IQ176" s="505"/>
      <c r="IR176" s="505"/>
      <c r="IS176" s="505"/>
      <c r="IT176" s="505"/>
      <c r="IU176" s="505"/>
      <c r="IV176" s="505"/>
      <c r="IW176" s="505"/>
      <c r="IX176" s="505"/>
      <c r="IY176" s="505"/>
      <c r="IZ176" s="505"/>
      <c r="JA176" s="507"/>
      <c r="JB176" s="507"/>
      <c r="JC176" s="505"/>
      <c r="JD176" s="505"/>
      <c r="JE176" s="505"/>
      <c r="JF176" s="505"/>
      <c r="JG176" s="505"/>
      <c r="JH176" s="505"/>
      <c r="JI176" s="505"/>
      <c r="JJ176" s="505"/>
      <c r="JK176" s="505"/>
      <c r="JL176" s="505"/>
      <c r="JM176" s="505"/>
      <c r="JN176" s="505"/>
      <c r="JO176" s="505"/>
      <c r="JP176" s="505"/>
      <c r="JQ176" s="505"/>
      <c r="JR176" s="100"/>
      <c r="JS176" s="100"/>
      <c r="JT176" s="505"/>
      <c r="JU176" s="505"/>
      <c r="JV176" s="505"/>
      <c r="JW176" s="505"/>
      <c r="JX176" s="505"/>
      <c r="JY176" s="505"/>
      <c r="JZ176" s="505"/>
      <c r="KA176" s="505"/>
      <c r="KB176" s="505"/>
      <c r="KC176" s="505"/>
      <c r="KD176" s="505"/>
      <c r="KE176" s="505"/>
      <c r="KF176" s="505"/>
      <c r="KG176" s="505"/>
      <c r="KH176" s="505"/>
      <c r="KI176" s="505"/>
      <c r="KJ176" s="505"/>
    </row>
    <row r="177" spans="1:296" s="96" customFormat="1" ht="15.6" customHeight="1" thickTop="1">
      <c r="A177" s="1"/>
      <c r="B177" s="1"/>
      <c r="C177" s="12" t="s">
        <v>198</v>
      </c>
      <c r="D177" s="1"/>
      <c r="E177" s="1"/>
      <c r="F177" s="2398">
        <f>SUM(F171:G176)</f>
        <v>26100</v>
      </c>
      <c r="G177" s="2399"/>
      <c r="H177" s="1"/>
      <c r="I177" s="1"/>
      <c r="J177" s="13"/>
      <c r="K177" s="1"/>
      <c r="L177" s="1"/>
      <c r="M177" s="1"/>
      <c r="N177" s="436">
        <f>+P176/O62</f>
        <v>4760.7160493827159</v>
      </c>
      <c r="O177" s="71" t="s">
        <v>2958</v>
      </c>
      <c r="U177" s="3155"/>
      <c r="V177" s="3156"/>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5"/>
      <c r="EY177" s="505"/>
      <c r="EZ177" s="505"/>
      <c r="FA177" s="505"/>
      <c r="FB177" s="505"/>
      <c r="FC177" s="505"/>
      <c r="FD177" s="505"/>
      <c r="FE177" s="505"/>
      <c r="FF177" s="505"/>
      <c r="FG177" s="505"/>
      <c r="FH177" s="505"/>
      <c r="FI177" s="505"/>
      <c r="FJ177" s="505"/>
      <c r="FK177" s="505"/>
      <c r="FL177" s="505"/>
      <c r="FM177" s="505"/>
      <c r="FN177" s="505"/>
      <c r="FO177" s="505"/>
      <c r="FP177" s="505"/>
      <c r="FQ177" s="505"/>
      <c r="FR177" s="505"/>
      <c r="FS177" s="505"/>
      <c r="FT177" s="505"/>
      <c r="FU177" s="505"/>
      <c r="FV177" s="505"/>
      <c r="FW177" s="505"/>
      <c r="FX177" s="505"/>
      <c r="FY177" s="505"/>
      <c r="FZ177" s="505"/>
      <c r="GA177" s="505"/>
      <c r="GB177" s="505"/>
      <c r="GC177" s="505"/>
      <c r="GD177" s="505"/>
      <c r="GE177" s="505"/>
      <c r="GF177" s="505"/>
      <c r="GG177" s="505"/>
      <c r="GH177" s="505"/>
      <c r="GI177" s="505"/>
      <c r="GJ177" s="505"/>
      <c r="GK177" s="505"/>
      <c r="GL177" s="505"/>
      <c r="GM177" s="505"/>
      <c r="GN177" s="505"/>
      <c r="GO177" s="505"/>
      <c r="GP177" s="505"/>
      <c r="GQ177" s="505"/>
      <c r="GR177" s="505"/>
      <c r="GS177" s="505"/>
      <c r="GT177" s="506"/>
      <c r="GU177" s="505"/>
      <c r="GV177" s="505"/>
      <c r="GW177" s="505"/>
      <c r="GX177" s="505"/>
      <c r="GY177" s="506"/>
      <c r="GZ177" s="506"/>
      <c r="HA177" s="506"/>
      <c r="HB177" s="506"/>
      <c r="HC177" s="506"/>
      <c r="HD177" s="506"/>
      <c r="HE177" s="506"/>
      <c r="HF177" s="506"/>
      <c r="HG177" s="506"/>
      <c r="HH177" s="506"/>
      <c r="HI177" s="506"/>
      <c r="HJ177" s="506"/>
      <c r="HK177" s="506"/>
      <c r="HL177" s="506"/>
      <c r="HM177" s="506"/>
      <c r="HN177" s="506"/>
      <c r="HO177" s="506"/>
      <c r="HP177" s="506"/>
      <c r="HQ177" s="506"/>
      <c r="HR177" s="506"/>
      <c r="HS177" s="506"/>
      <c r="HT177" s="506"/>
      <c r="HU177" s="506"/>
      <c r="HV177" s="506"/>
      <c r="HW177" s="506"/>
      <c r="HX177" s="506"/>
      <c r="HY177" s="506"/>
      <c r="HZ177" s="506"/>
      <c r="IA177" s="506"/>
      <c r="IB177" s="506"/>
      <c r="IC177" s="506"/>
      <c r="ID177" s="506"/>
      <c r="IE177" s="505"/>
      <c r="IF177" s="505"/>
      <c r="IG177" s="505"/>
      <c r="IH177" s="505"/>
      <c r="II177" s="505"/>
      <c r="IJ177" s="505"/>
      <c r="IK177" s="507"/>
      <c r="IL177" s="505"/>
      <c r="IM177" s="505"/>
      <c r="IN177" s="505"/>
      <c r="IO177" s="505"/>
      <c r="IP177" s="505"/>
      <c r="IQ177" s="505"/>
      <c r="IR177" s="505"/>
      <c r="IS177" s="505"/>
      <c r="IT177" s="505"/>
      <c r="IU177" s="505"/>
      <c r="IV177" s="505"/>
      <c r="IW177" s="505"/>
      <c r="IX177" s="505"/>
      <c r="IY177" s="505"/>
      <c r="IZ177" s="505"/>
      <c r="JA177" s="507"/>
      <c r="JB177" s="507"/>
      <c r="JC177" s="505"/>
      <c r="JD177" s="505"/>
      <c r="JE177" s="505"/>
      <c r="JF177" s="505"/>
      <c r="JG177" s="505"/>
      <c r="JH177" s="505"/>
      <c r="JI177" s="505"/>
      <c r="JJ177" s="505"/>
      <c r="JK177" s="505"/>
      <c r="JL177" s="505"/>
      <c r="JM177" s="505"/>
      <c r="JN177" s="505"/>
      <c r="JO177" s="505"/>
      <c r="JP177" s="505"/>
      <c r="JQ177" s="505"/>
      <c r="JR177" s="100"/>
      <c r="JS177" s="100"/>
      <c r="JT177" s="505"/>
      <c r="JU177" s="505"/>
      <c r="JV177" s="505"/>
      <c r="JW177" s="505"/>
      <c r="JX177" s="505"/>
      <c r="JY177" s="505"/>
      <c r="JZ177" s="505"/>
      <c r="KA177" s="505"/>
      <c r="KB177" s="505"/>
      <c r="KC177" s="505"/>
      <c r="KD177" s="505"/>
      <c r="KE177" s="505"/>
      <c r="KF177" s="505"/>
      <c r="KG177" s="505"/>
      <c r="KH177" s="505"/>
      <c r="KI177" s="505"/>
      <c r="KJ177" s="505"/>
    </row>
    <row r="178" spans="1:296" s="96" customFormat="1" ht="6" customHeight="1" thickBot="1">
      <c r="A178" s="1"/>
      <c r="B178" s="1"/>
      <c r="C178" s="1"/>
      <c r="D178" s="12"/>
      <c r="E178" s="1"/>
      <c r="F178" s="13"/>
      <c r="G178" s="13"/>
      <c r="H178" s="1"/>
      <c r="I178" s="1"/>
      <c r="J178" s="13"/>
      <c r="K178" s="1"/>
      <c r="L178" s="1"/>
      <c r="M178" s="1"/>
      <c r="N178" s="1"/>
      <c r="O178" s="1"/>
      <c r="P178" s="5"/>
      <c r="Q178" s="5"/>
      <c r="U178" s="3155"/>
      <c r="V178" s="3156"/>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c r="FV178" s="505"/>
      <c r="FW178" s="505"/>
      <c r="FX178" s="505"/>
      <c r="FY178" s="505"/>
      <c r="FZ178" s="505"/>
      <c r="GA178" s="505"/>
      <c r="GB178" s="505"/>
      <c r="GC178" s="505"/>
      <c r="GD178" s="505"/>
      <c r="GE178" s="505"/>
      <c r="GF178" s="505"/>
      <c r="GG178" s="505"/>
      <c r="GH178" s="505"/>
      <c r="GI178" s="505"/>
      <c r="GJ178" s="505"/>
      <c r="GK178" s="505"/>
      <c r="GL178" s="505"/>
      <c r="GM178" s="505"/>
      <c r="GN178" s="505"/>
      <c r="GO178" s="505"/>
      <c r="GP178" s="505"/>
      <c r="GQ178" s="505"/>
      <c r="GR178" s="505"/>
      <c r="GS178" s="505"/>
      <c r="GT178" s="506"/>
      <c r="GU178" s="505"/>
      <c r="GV178" s="505"/>
      <c r="GW178" s="505"/>
      <c r="GX178" s="505"/>
      <c r="GY178" s="506"/>
      <c r="GZ178" s="506"/>
      <c r="HA178" s="506"/>
      <c r="HB178" s="506"/>
      <c r="HC178" s="506"/>
      <c r="HD178" s="506"/>
      <c r="HE178" s="506"/>
      <c r="HF178" s="506"/>
      <c r="HG178" s="506"/>
      <c r="HH178" s="506"/>
      <c r="HI178" s="506"/>
      <c r="HJ178" s="506"/>
      <c r="HK178" s="506"/>
      <c r="HL178" s="506"/>
      <c r="HM178" s="506"/>
      <c r="HN178" s="506"/>
      <c r="HO178" s="506"/>
      <c r="HP178" s="506"/>
      <c r="HQ178" s="506"/>
      <c r="HR178" s="506"/>
      <c r="HS178" s="506"/>
      <c r="HT178" s="506"/>
      <c r="HU178" s="506"/>
      <c r="HV178" s="506"/>
      <c r="HW178" s="506"/>
      <c r="HX178" s="506"/>
      <c r="HY178" s="506"/>
      <c r="HZ178" s="506"/>
      <c r="IA178" s="506"/>
      <c r="IB178" s="506"/>
      <c r="IC178" s="506"/>
      <c r="ID178" s="506"/>
      <c r="IE178" s="505"/>
      <c r="IF178" s="505"/>
      <c r="IG178" s="505"/>
      <c r="IH178" s="505"/>
      <c r="II178" s="505"/>
      <c r="IJ178" s="505"/>
      <c r="IK178" s="507"/>
      <c r="IL178" s="505"/>
      <c r="IM178" s="505"/>
      <c r="IN178" s="505"/>
      <c r="IO178" s="505"/>
      <c r="IP178" s="505"/>
      <c r="IQ178" s="505"/>
      <c r="IR178" s="505"/>
      <c r="IS178" s="505"/>
      <c r="IT178" s="505"/>
      <c r="IU178" s="505"/>
      <c r="IV178" s="505"/>
      <c r="IW178" s="505"/>
      <c r="IX178" s="505"/>
      <c r="IY178" s="505"/>
      <c r="IZ178" s="505"/>
      <c r="JA178" s="507"/>
      <c r="JB178" s="507"/>
      <c r="JC178" s="505"/>
      <c r="JD178" s="505"/>
      <c r="JE178" s="505"/>
      <c r="JF178" s="505"/>
      <c r="JG178" s="505"/>
      <c r="JH178" s="505"/>
      <c r="JI178" s="505"/>
      <c r="JJ178" s="505"/>
      <c r="JK178" s="505"/>
      <c r="JL178" s="505"/>
      <c r="JM178" s="505"/>
      <c r="JN178" s="505"/>
      <c r="JO178" s="505"/>
      <c r="JP178" s="505"/>
      <c r="JQ178" s="505"/>
      <c r="JR178" s="100"/>
      <c r="JS178" s="100"/>
      <c r="JT178" s="505"/>
      <c r="JU178" s="505"/>
      <c r="JV178" s="505"/>
      <c r="JW178" s="505"/>
      <c r="JX178" s="505"/>
      <c r="JY178" s="505"/>
      <c r="JZ178" s="505"/>
      <c r="KA178" s="505"/>
      <c r="KB178" s="505"/>
      <c r="KC178" s="505"/>
      <c r="KD178" s="505"/>
      <c r="KE178" s="505"/>
      <c r="KF178" s="505"/>
      <c r="KG178" s="505"/>
      <c r="KH178" s="505"/>
      <c r="KI178" s="505"/>
      <c r="KJ178" s="505"/>
    </row>
    <row r="179" spans="1:296" s="96" customFormat="1" ht="15.75" customHeight="1" thickBot="1">
      <c r="A179" s="1"/>
      <c r="B179" s="10" t="s">
        <v>1349</v>
      </c>
      <c r="C179" s="1"/>
      <c r="D179" s="9"/>
      <c r="E179" s="1"/>
      <c r="F179" s="1"/>
      <c r="G179" s="1"/>
      <c r="H179" s="1"/>
      <c r="I179" s="10" t="s">
        <v>1432</v>
      </c>
      <c r="J179" s="2003" t="s">
        <v>2955</v>
      </c>
      <c r="K179" s="1"/>
      <c r="L179" s="1"/>
      <c r="M179" s="1"/>
      <c r="N179" s="10" t="s">
        <v>3970</v>
      </c>
      <c r="O179" s="10"/>
      <c r="P179" s="450">
        <f>P180*O62</f>
        <v>40500</v>
      </c>
      <c r="Q179" s="1281"/>
      <c r="U179" s="3155"/>
      <c r="V179" s="3156"/>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5"/>
      <c r="EY179" s="505"/>
      <c r="EZ179" s="505"/>
      <c r="FA179" s="505"/>
      <c r="FB179" s="505"/>
      <c r="FC179" s="505"/>
      <c r="FD179" s="505"/>
      <c r="FE179" s="505"/>
      <c r="FF179" s="505"/>
      <c r="FG179" s="505"/>
      <c r="FH179" s="505"/>
      <c r="FI179" s="505"/>
      <c r="FJ179" s="505"/>
      <c r="FK179" s="505"/>
      <c r="FL179" s="505"/>
      <c r="FM179" s="505"/>
      <c r="FN179" s="505"/>
      <c r="FO179" s="505"/>
      <c r="FP179" s="505"/>
      <c r="FQ179" s="505"/>
      <c r="FR179" s="505"/>
      <c r="FS179" s="505"/>
      <c r="FT179" s="505"/>
      <c r="FU179" s="505"/>
      <c r="FV179" s="505"/>
      <c r="FW179" s="505"/>
      <c r="FX179" s="505"/>
      <c r="FY179" s="505"/>
      <c r="FZ179" s="505"/>
      <c r="GA179" s="505"/>
      <c r="GB179" s="505"/>
      <c r="GC179" s="505"/>
      <c r="GD179" s="505"/>
      <c r="GE179" s="505"/>
      <c r="GF179" s="505"/>
      <c r="GG179" s="505"/>
      <c r="GH179" s="505"/>
      <c r="GI179" s="505"/>
      <c r="GJ179" s="505"/>
      <c r="GK179" s="505"/>
      <c r="GL179" s="505"/>
      <c r="GM179" s="505"/>
      <c r="GN179" s="505"/>
      <c r="GO179" s="505"/>
      <c r="GP179" s="505"/>
      <c r="GQ179" s="505"/>
      <c r="GR179" s="505"/>
      <c r="GS179" s="505"/>
      <c r="GT179" s="506"/>
      <c r="GU179" s="505"/>
      <c r="GV179" s="505"/>
      <c r="GW179" s="505"/>
      <c r="GX179" s="505"/>
      <c r="GY179" s="506"/>
      <c r="GZ179" s="506"/>
      <c r="HA179" s="506"/>
      <c r="HB179" s="506"/>
      <c r="HC179" s="506"/>
      <c r="HD179" s="506"/>
      <c r="HE179" s="506"/>
      <c r="HF179" s="506"/>
      <c r="HG179" s="506"/>
      <c r="HH179" s="506"/>
      <c r="HI179" s="506"/>
      <c r="HJ179" s="506"/>
      <c r="HK179" s="506"/>
      <c r="HL179" s="506"/>
      <c r="HM179" s="506"/>
      <c r="HN179" s="506"/>
      <c r="HO179" s="506"/>
      <c r="HP179" s="506"/>
      <c r="HQ179" s="506"/>
      <c r="HR179" s="506"/>
      <c r="HS179" s="506"/>
      <c r="HT179" s="506"/>
      <c r="HU179" s="506"/>
      <c r="HV179" s="506"/>
      <c r="HW179" s="506"/>
      <c r="HX179" s="506"/>
      <c r="HY179" s="506"/>
      <c r="HZ179" s="506"/>
      <c r="IA179" s="506"/>
      <c r="IB179" s="506"/>
      <c r="IC179" s="506"/>
      <c r="ID179" s="506"/>
      <c r="IE179" s="505"/>
      <c r="IF179" s="505"/>
      <c r="IG179" s="505"/>
      <c r="IH179" s="505"/>
      <c r="II179" s="505"/>
      <c r="IJ179" s="505"/>
      <c r="IK179" s="507"/>
      <c r="IL179" s="505"/>
      <c r="IM179" s="505"/>
      <c r="IN179" s="505"/>
      <c r="IO179" s="505"/>
      <c r="IP179" s="505"/>
      <c r="IQ179" s="505"/>
      <c r="IR179" s="505"/>
      <c r="IS179" s="505"/>
      <c r="IT179" s="505"/>
      <c r="IU179" s="505"/>
      <c r="IV179" s="505"/>
      <c r="IW179" s="505"/>
      <c r="IX179" s="505"/>
      <c r="IY179" s="505"/>
      <c r="IZ179" s="505"/>
      <c r="JA179" s="507"/>
      <c r="JB179" s="507"/>
      <c r="JC179" s="505"/>
      <c r="JD179" s="505"/>
      <c r="JE179" s="505"/>
      <c r="JF179" s="505"/>
      <c r="JG179" s="505"/>
      <c r="JH179" s="505"/>
      <c r="JI179" s="505"/>
      <c r="JJ179" s="505"/>
      <c r="JK179" s="505"/>
      <c r="JL179" s="505"/>
      <c r="JM179" s="505"/>
      <c r="JN179" s="505"/>
      <c r="JO179" s="505"/>
      <c r="JP179" s="505"/>
      <c r="JQ179" s="505"/>
      <c r="JR179" s="100"/>
      <c r="JS179" s="100"/>
      <c r="JT179" s="505"/>
      <c r="JU179" s="505"/>
      <c r="JV179" s="505"/>
      <c r="JW179" s="505"/>
      <c r="JX179" s="505"/>
      <c r="JY179" s="505"/>
      <c r="JZ179" s="505"/>
      <c r="KA179" s="505"/>
      <c r="KB179" s="505"/>
      <c r="KC179" s="505"/>
      <c r="KD179" s="505"/>
      <c r="KE179" s="505"/>
      <c r="KF179" s="505"/>
      <c r="KG179" s="505"/>
      <c r="KH179" s="505"/>
      <c r="KI179" s="505"/>
      <c r="KJ179" s="505"/>
    </row>
    <row r="180" spans="1:296" s="96" customFormat="1" ht="15.6" customHeight="1" thickBot="1">
      <c r="A180" s="1"/>
      <c r="B180" s="1" t="s">
        <v>1672</v>
      </c>
      <c r="C180" s="1"/>
      <c r="D180" s="9"/>
      <c r="E180" s="1"/>
      <c r="F180" s="3267">
        <v>20000</v>
      </c>
      <c r="G180" s="3268"/>
      <c r="H180" s="1"/>
      <c r="I180" s="1" t="s">
        <v>1425</v>
      </c>
      <c r="J180" s="524">
        <f>K180/12/O62</f>
        <v>35.853909465020571</v>
      </c>
      <c r="K180" s="3265">
        <v>69700</v>
      </c>
      <c r="L180" s="3266"/>
      <c r="M180" s="1"/>
      <c r="N180" s="109" t="s">
        <v>3971</v>
      </c>
      <c r="O180" s="1"/>
      <c r="P180" s="3269">
        <f>N181</f>
        <v>250</v>
      </c>
      <c r="Q180" s="3270"/>
      <c r="U180" s="3155"/>
      <c r="V180" s="3156"/>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5"/>
      <c r="EY180" s="505"/>
      <c r="EZ180" s="505"/>
      <c r="FA180" s="505"/>
      <c r="FB180" s="505"/>
      <c r="FC180" s="505"/>
      <c r="FD180" s="505"/>
      <c r="FE180" s="505"/>
      <c r="FF180" s="505"/>
      <c r="FG180" s="505"/>
      <c r="FH180" s="505"/>
      <c r="FI180" s="505"/>
      <c r="FJ180" s="505"/>
      <c r="FK180" s="505"/>
      <c r="FL180" s="505"/>
      <c r="FM180" s="505"/>
      <c r="FN180" s="505"/>
      <c r="FO180" s="505"/>
      <c r="FP180" s="505"/>
      <c r="FQ180" s="505"/>
      <c r="FR180" s="505"/>
      <c r="FS180" s="505"/>
      <c r="FT180" s="505"/>
      <c r="FU180" s="505"/>
      <c r="FV180" s="505"/>
      <c r="FW180" s="505"/>
      <c r="FX180" s="505"/>
      <c r="FY180" s="505"/>
      <c r="FZ180" s="505"/>
      <c r="GA180" s="505"/>
      <c r="GB180" s="505"/>
      <c r="GC180" s="505"/>
      <c r="GD180" s="505"/>
      <c r="GE180" s="505"/>
      <c r="GF180" s="505"/>
      <c r="GG180" s="505"/>
      <c r="GH180" s="505"/>
      <c r="GI180" s="505"/>
      <c r="GJ180" s="505"/>
      <c r="GK180" s="505"/>
      <c r="GL180" s="505"/>
      <c r="GM180" s="505"/>
      <c r="GN180" s="505"/>
      <c r="GO180" s="505"/>
      <c r="GP180" s="505"/>
      <c r="GQ180" s="505"/>
      <c r="GR180" s="505"/>
      <c r="GS180" s="505"/>
      <c r="GT180" s="506"/>
      <c r="GU180" s="505"/>
      <c r="GV180" s="505"/>
      <c r="GW180" s="505"/>
      <c r="GX180" s="505"/>
      <c r="GY180" s="506"/>
      <c r="GZ180" s="506"/>
      <c r="HA180" s="506"/>
      <c r="HB180" s="506"/>
      <c r="HC180" s="506"/>
      <c r="HD180" s="506"/>
      <c r="HE180" s="506"/>
      <c r="HF180" s="506"/>
      <c r="HG180" s="506"/>
      <c r="HH180" s="506"/>
      <c r="HI180" s="506"/>
      <c r="HJ180" s="506"/>
      <c r="HK180" s="506"/>
      <c r="HL180" s="506"/>
      <c r="HM180" s="506"/>
      <c r="HN180" s="506"/>
      <c r="HO180" s="506"/>
      <c r="HP180" s="506"/>
      <c r="HQ180" s="506"/>
      <c r="HR180" s="506"/>
      <c r="HS180" s="506"/>
      <c r="HT180" s="506"/>
      <c r="HU180" s="506"/>
      <c r="HV180" s="506"/>
      <c r="HW180" s="506"/>
      <c r="HX180" s="506"/>
      <c r="HY180" s="506"/>
      <c r="HZ180" s="506"/>
      <c r="IA180" s="506"/>
      <c r="IB180" s="506"/>
      <c r="IC180" s="506"/>
      <c r="ID180" s="506"/>
      <c r="IE180" s="505"/>
      <c r="IF180" s="505"/>
      <c r="IG180" s="505"/>
      <c r="IH180" s="505"/>
      <c r="II180" s="505"/>
      <c r="IJ180" s="505"/>
      <c r="IK180" s="507"/>
      <c r="IL180" s="505"/>
      <c r="IM180" s="505"/>
      <c r="IN180" s="505"/>
      <c r="IO180" s="505"/>
      <c r="IP180" s="505"/>
      <c r="IQ180" s="505"/>
      <c r="IR180" s="505"/>
      <c r="IS180" s="505"/>
      <c r="IT180" s="505"/>
      <c r="IU180" s="505"/>
      <c r="IV180" s="505"/>
      <c r="IW180" s="505"/>
      <c r="IX180" s="505"/>
      <c r="IY180" s="505"/>
      <c r="IZ180" s="505"/>
      <c r="JA180" s="507"/>
      <c r="JB180" s="507"/>
      <c r="JC180" s="505"/>
      <c r="JD180" s="505"/>
      <c r="JE180" s="505"/>
      <c r="JF180" s="505"/>
      <c r="JG180" s="505"/>
      <c r="JH180" s="505"/>
      <c r="JI180" s="505"/>
      <c r="JJ180" s="505"/>
      <c r="JK180" s="505"/>
      <c r="JL180" s="505"/>
      <c r="JM180" s="505"/>
      <c r="JN180" s="505"/>
      <c r="JO180" s="505"/>
      <c r="JP180" s="505"/>
      <c r="JQ180" s="505"/>
      <c r="JR180" s="100"/>
      <c r="JS180" s="100"/>
      <c r="JT180" s="505"/>
      <c r="JU180" s="505"/>
      <c r="JV180" s="505"/>
      <c r="JW180" s="505"/>
      <c r="JX180" s="505"/>
      <c r="JY180" s="505"/>
      <c r="JZ180" s="505"/>
      <c r="KA180" s="505"/>
      <c r="KB180" s="505"/>
      <c r="KC180" s="505"/>
      <c r="KD180" s="505"/>
      <c r="KE180" s="505"/>
      <c r="KF180" s="505"/>
      <c r="KG180" s="505"/>
      <c r="KH180" s="505"/>
      <c r="KI180" s="505"/>
      <c r="KJ180" s="505"/>
    </row>
    <row r="181" spans="1:296" s="96" customFormat="1" ht="15.6" customHeight="1">
      <c r="A181" s="1"/>
      <c r="B181" s="1" t="s">
        <v>1673</v>
      </c>
      <c r="C181" s="1"/>
      <c r="D181" s="9"/>
      <c r="E181" s="1"/>
      <c r="F181" s="3267">
        <v>15000</v>
      </c>
      <c r="G181" s="3268"/>
      <c r="H181" s="1"/>
      <c r="I181" s="1" t="s">
        <v>1426</v>
      </c>
      <c r="J181" s="524">
        <f>K181/12/O62</f>
        <v>0</v>
      </c>
      <c r="K181" s="3265">
        <v>0</v>
      </c>
      <c r="L181" s="3266"/>
      <c r="M181" s="1"/>
      <c r="N181" s="913">
        <f>ROUND(P188/O62,0)</f>
        <v>250</v>
      </c>
      <c r="O181" s="71" t="s">
        <v>2958</v>
      </c>
      <c r="R181" s="912"/>
      <c r="U181" s="3155"/>
      <c r="V181" s="3156"/>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5"/>
      <c r="EY181" s="505"/>
      <c r="EZ181" s="505"/>
      <c r="FA181" s="505"/>
      <c r="FB181" s="505"/>
      <c r="FC181" s="505"/>
      <c r="FD181" s="505"/>
      <c r="FE181" s="505"/>
      <c r="FF181" s="505"/>
      <c r="FG181" s="505"/>
      <c r="FH181" s="505"/>
      <c r="FI181" s="505"/>
      <c r="FJ181" s="505"/>
      <c r="FK181" s="505"/>
      <c r="FL181" s="505"/>
      <c r="FM181" s="505"/>
      <c r="FN181" s="505"/>
      <c r="FO181" s="505"/>
      <c r="FP181" s="505"/>
      <c r="FQ181" s="505"/>
      <c r="FR181" s="505"/>
      <c r="FS181" s="505"/>
      <c r="FT181" s="505"/>
      <c r="FU181" s="505"/>
      <c r="FV181" s="505"/>
      <c r="FW181" s="505"/>
      <c r="FX181" s="505"/>
      <c r="FY181" s="505"/>
      <c r="FZ181" s="505"/>
      <c r="GA181" s="505"/>
      <c r="GB181" s="505"/>
      <c r="GC181" s="505"/>
      <c r="GD181" s="505"/>
      <c r="GE181" s="505"/>
      <c r="GF181" s="505"/>
      <c r="GG181" s="505"/>
      <c r="GH181" s="505"/>
      <c r="GI181" s="505"/>
      <c r="GJ181" s="505"/>
      <c r="GK181" s="505"/>
      <c r="GL181" s="505"/>
      <c r="GM181" s="505"/>
      <c r="GN181" s="505"/>
      <c r="GO181" s="505"/>
      <c r="GP181" s="505"/>
      <c r="GQ181" s="505"/>
      <c r="GR181" s="505"/>
      <c r="GS181" s="505"/>
      <c r="GT181" s="506"/>
      <c r="GU181" s="505"/>
      <c r="GV181" s="505"/>
      <c r="GW181" s="505"/>
      <c r="GX181" s="505"/>
      <c r="GY181" s="506"/>
      <c r="GZ181" s="506"/>
      <c r="HA181" s="506"/>
      <c r="HB181" s="506"/>
      <c r="HC181" s="506"/>
      <c r="HD181" s="506"/>
      <c r="HE181" s="506"/>
      <c r="HF181" s="506"/>
      <c r="HG181" s="506"/>
      <c r="HH181" s="506"/>
      <c r="HI181" s="506"/>
      <c r="HJ181" s="506"/>
      <c r="HK181" s="506"/>
      <c r="HL181" s="506"/>
      <c r="HM181" s="506"/>
      <c r="HN181" s="506"/>
      <c r="HO181" s="506"/>
      <c r="HP181" s="506"/>
      <c r="HQ181" s="506"/>
      <c r="HR181" s="506"/>
      <c r="HS181" s="506"/>
      <c r="HT181" s="506"/>
      <c r="HU181" s="506"/>
      <c r="HV181" s="506"/>
      <c r="HW181" s="506"/>
      <c r="HX181" s="506"/>
      <c r="HY181" s="506"/>
      <c r="HZ181" s="506"/>
      <c r="IA181" s="506"/>
      <c r="IB181" s="506"/>
      <c r="IC181" s="506"/>
      <c r="ID181" s="506"/>
      <c r="IE181" s="505"/>
      <c r="IF181" s="505"/>
      <c r="IG181" s="505"/>
      <c r="IH181" s="505"/>
      <c r="II181" s="505"/>
      <c r="IJ181" s="505"/>
      <c r="IK181" s="507"/>
      <c r="IL181" s="505"/>
      <c r="IM181" s="505"/>
      <c r="IN181" s="505"/>
      <c r="IO181" s="505"/>
      <c r="IP181" s="505"/>
      <c r="IQ181" s="505"/>
      <c r="IR181" s="505"/>
      <c r="IS181" s="505"/>
      <c r="IT181" s="505"/>
      <c r="IU181" s="505"/>
      <c r="IV181" s="505"/>
      <c r="IW181" s="505"/>
      <c r="IX181" s="505"/>
      <c r="IY181" s="505"/>
      <c r="IZ181" s="505"/>
      <c r="JA181" s="507"/>
      <c r="JB181" s="507"/>
      <c r="JC181" s="505"/>
      <c r="JD181" s="505"/>
      <c r="JE181" s="505"/>
      <c r="JF181" s="505"/>
      <c r="JG181" s="505"/>
      <c r="JH181" s="505"/>
      <c r="JI181" s="505"/>
      <c r="JJ181" s="505"/>
      <c r="JK181" s="505"/>
      <c r="JL181" s="505"/>
      <c r="JM181" s="505"/>
      <c r="JN181" s="505"/>
      <c r="JO181" s="505"/>
      <c r="JP181" s="505"/>
      <c r="JQ181" s="505"/>
      <c r="JR181" s="100"/>
      <c r="JS181" s="100"/>
      <c r="JT181" s="505"/>
      <c r="JU181" s="505"/>
      <c r="JV181" s="505"/>
      <c r="JW181" s="505"/>
      <c r="JX181" s="505"/>
      <c r="JY181" s="505"/>
      <c r="JZ181" s="505"/>
      <c r="KA181" s="505"/>
      <c r="KB181" s="505"/>
      <c r="KC181" s="505"/>
      <c r="KD181" s="505"/>
      <c r="KE181" s="505"/>
      <c r="KF181" s="505"/>
      <c r="KG181" s="505"/>
      <c r="KH181" s="505"/>
      <c r="KI181" s="505"/>
      <c r="KJ181" s="505"/>
    </row>
    <row r="182" spans="1:296" s="96" customFormat="1" ht="15.6" customHeight="1">
      <c r="A182" s="1"/>
      <c r="B182" s="1" t="s">
        <v>1674</v>
      </c>
      <c r="C182" s="1"/>
      <c r="D182" s="9"/>
      <c r="E182" s="1"/>
      <c r="F182" s="3267">
        <v>15000</v>
      </c>
      <c r="G182" s="3268"/>
      <c r="H182" s="1"/>
      <c r="I182" s="1" t="s">
        <v>2445</v>
      </c>
      <c r="J182" s="524">
        <f>K182/12/O62</f>
        <v>72.016460905349788</v>
      </c>
      <c r="K182" s="3265">
        <v>140000</v>
      </c>
      <c r="L182" s="3266"/>
      <c r="M182" s="1"/>
      <c r="N182" s="926" t="s">
        <v>2844</v>
      </c>
      <c r="O182" s="927" t="s">
        <v>3827</v>
      </c>
      <c r="P182" s="928" t="s">
        <v>3828</v>
      </c>
      <c r="Q182" s="1275"/>
      <c r="U182" s="3155"/>
      <c r="V182" s="3156"/>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5"/>
      <c r="EY182" s="505"/>
      <c r="EZ182" s="505"/>
      <c r="FA182" s="505"/>
      <c r="FB182" s="505"/>
      <c r="FC182" s="505"/>
      <c r="FD182" s="505"/>
      <c r="FE182" s="505"/>
      <c r="FF182" s="505"/>
      <c r="FG182" s="505"/>
      <c r="FH182" s="505"/>
      <c r="FI182" s="505"/>
      <c r="FJ182" s="505"/>
      <c r="FK182" s="505"/>
      <c r="FL182" s="505"/>
      <c r="FM182" s="505"/>
      <c r="FN182" s="505"/>
      <c r="FO182" s="505"/>
      <c r="FP182" s="505"/>
      <c r="FQ182" s="505"/>
      <c r="FR182" s="505"/>
      <c r="FS182" s="505"/>
      <c r="FT182" s="505"/>
      <c r="FU182" s="505"/>
      <c r="FV182" s="505"/>
      <c r="FW182" s="505"/>
      <c r="FX182" s="505"/>
      <c r="FY182" s="505"/>
      <c r="FZ182" s="505"/>
      <c r="GA182" s="505"/>
      <c r="GB182" s="505"/>
      <c r="GC182" s="505"/>
      <c r="GD182" s="505"/>
      <c r="GE182" s="505"/>
      <c r="GF182" s="505"/>
      <c r="GG182" s="505"/>
      <c r="GH182" s="505"/>
      <c r="GI182" s="505"/>
      <c r="GJ182" s="505"/>
      <c r="GK182" s="505"/>
      <c r="GL182" s="505"/>
      <c r="GM182" s="505"/>
      <c r="GN182" s="505"/>
      <c r="GO182" s="505"/>
      <c r="GP182" s="505"/>
      <c r="GQ182" s="505"/>
      <c r="GR182" s="505"/>
      <c r="GS182" s="505"/>
      <c r="GT182" s="506"/>
      <c r="GU182" s="505"/>
      <c r="GV182" s="505"/>
      <c r="GW182" s="505"/>
      <c r="GX182" s="505"/>
      <c r="GY182" s="506"/>
      <c r="GZ182" s="506"/>
      <c r="HA182" s="506"/>
      <c r="HB182" s="506"/>
      <c r="HC182" s="506"/>
      <c r="HD182" s="506"/>
      <c r="HE182" s="506"/>
      <c r="HF182" s="506"/>
      <c r="HG182" s="506"/>
      <c r="HH182" s="506"/>
      <c r="HI182" s="506"/>
      <c r="HJ182" s="506"/>
      <c r="HK182" s="506"/>
      <c r="HL182" s="506"/>
      <c r="HM182" s="506"/>
      <c r="HN182" s="506"/>
      <c r="HO182" s="506"/>
      <c r="HP182" s="506"/>
      <c r="HQ182" s="506"/>
      <c r="HR182" s="506"/>
      <c r="HS182" s="506"/>
      <c r="HT182" s="506"/>
      <c r="HU182" s="506"/>
      <c r="HV182" s="506"/>
      <c r="HW182" s="506"/>
      <c r="HX182" s="506"/>
      <c r="HY182" s="506"/>
      <c r="HZ182" s="506"/>
      <c r="IA182" s="506"/>
      <c r="IB182" s="506"/>
      <c r="IC182" s="506"/>
      <c r="ID182" s="506"/>
      <c r="IE182" s="505"/>
      <c r="IF182" s="505"/>
      <c r="IG182" s="505"/>
      <c r="IH182" s="505"/>
      <c r="II182" s="505"/>
      <c r="IJ182" s="505"/>
      <c r="IK182" s="507"/>
      <c r="IL182" s="505"/>
      <c r="IM182" s="505"/>
      <c r="IN182" s="505"/>
      <c r="IO182" s="505"/>
      <c r="IP182" s="505"/>
      <c r="IQ182" s="505"/>
      <c r="IR182" s="505"/>
      <c r="IS182" s="505"/>
      <c r="IT182" s="505"/>
      <c r="IU182" s="505"/>
      <c r="IV182" s="505"/>
      <c r="IW182" s="505"/>
      <c r="IX182" s="505"/>
      <c r="IY182" s="505"/>
      <c r="IZ182" s="505"/>
      <c r="JA182" s="507"/>
      <c r="JB182" s="507"/>
      <c r="JC182" s="505"/>
      <c r="JD182" s="505"/>
      <c r="JE182" s="505"/>
      <c r="JF182" s="505"/>
      <c r="JG182" s="505"/>
      <c r="JH182" s="505"/>
      <c r="JI182" s="505"/>
      <c r="JJ182" s="505"/>
      <c r="JK182" s="505"/>
      <c r="JL182" s="505"/>
      <c r="JM182" s="505"/>
      <c r="JN182" s="505"/>
      <c r="JO182" s="505"/>
      <c r="JP182" s="505"/>
      <c r="JQ182" s="505"/>
      <c r="JR182" s="100"/>
      <c r="JS182" s="100"/>
      <c r="JT182" s="505"/>
      <c r="JU182" s="505"/>
      <c r="JV182" s="505"/>
      <c r="JW182" s="505"/>
      <c r="JX182" s="505"/>
      <c r="JY182" s="505"/>
      <c r="JZ182" s="505"/>
      <c r="KA182" s="505"/>
      <c r="KB182" s="505"/>
      <c r="KC182" s="505"/>
      <c r="KD182" s="505"/>
      <c r="KE182" s="505"/>
      <c r="KF182" s="505"/>
      <c r="KG182" s="505"/>
      <c r="KH182" s="505"/>
      <c r="KI182" s="505"/>
      <c r="KJ182" s="505"/>
    </row>
    <row r="183" spans="1:296" s="96" customFormat="1" ht="15.6" customHeight="1">
      <c r="A183" s="1"/>
      <c r="B183" s="1" t="s">
        <v>1046</v>
      </c>
      <c r="C183" s="1"/>
      <c r="D183" s="9"/>
      <c r="E183" s="1"/>
      <c r="F183" s="3252">
        <v>4800</v>
      </c>
      <c r="G183" s="3253"/>
      <c r="H183" s="1"/>
      <c r="I183" s="1" t="s">
        <v>1428</v>
      </c>
      <c r="J183" s="1"/>
      <c r="K183" s="3265">
        <v>25000</v>
      </c>
      <c r="L183" s="3266"/>
      <c r="M183" s="1"/>
      <c r="N183" s="929" t="s">
        <v>41</v>
      </c>
      <c r="O183" s="930"/>
      <c r="P183" s="931"/>
      <c r="Q183" s="930"/>
      <c r="U183" s="3155"/>
      <c r="V183" s="3156"/>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5"/>
      <c r="EY183" s="505"/>
      <c r="EZ183" s="505"/>
      <c r="FA183" s="505"/>
      <c r="FB183" s="505"/>
      <c r="FC183" s="505"/>
      <c r="FD183" s="505"/>
      <c r="FE183" s="505"/>
      <c r="FF183" s="505"/>
      <c r="FG183" s="505"/>
      <c r="FH183" s="505"/>
      <c r="FI183" s="505"/>
      <c r="FJ183" s="505"/>
      <c r="FK183" s="505"/>
      <c r="FL183" s="505"/>
      <c r="FM183" s="505"/>
      <c r="FN183" s="505"/>
      <c r="FO183" s="505"/>
      <c r="FP183" s="505"/>
      <c r="FQ183" s="505"/>
      <c r="FR183" s="505"/>
      <c r="FS183" s="505"/>
      <c r="FT183" s="505"/>
      <c r="FU183" s="505"/>
      <c r="FV183" s="505"/>
      <c r="FW183" s="505"/>
      <c r="FX183" s="505"/>
      <c r="FY183" s="505"/>
      <c r="FZ183" s="505"/>
      <c r="GA183" s="505"/>
      <c r="GB183" s="505"/>
      <c r="GC183" s="505"/>
      <c r="GD183" s="505"/>
      <c r="GE183" s="505"/>
      <c r="GF183" s="505"/>
      <c r="GG183" s="505"/>
      <c r="GH183" s="505"/>
      <c r="GI183" s="505"/>
      <c r="GJ183" s="505"/>
      <c r="GK183" s="505"/>
      <c r="GL183" s="505"/>
      <c r="GM183" s="505"/>
      <c r="GN183" s="505"/>
      <c r="GO183" s="505"/>
      <c r="GP183" s="505"/>
      <c r="GQ183" s="505"/>
      <c r="GR183" s="505"/>
      <c r="GS183" s="505"/>
      <c r="GT183" s="506"/>
      <c r="GU183" s="505"/>
      <c r="GV183" s="505"/>
      <c r="GW183" s="505"/>
      <c r="GX183" s="505"/>
      <c r="GY183" s="506"/>
      <c r="GZ183" s="506"/>
      <c r="HA183" s="506"/>
      <c r="HB183" s="506"/>
      <c r="HC183" s="506"/>
      <c r="HD183" s="506"/>
      <c r="HE183" s="506"/>
      <c r="HF183" s="506"/>
      <c r="HG183" s="506"/>
      <c r="HH183" s="506"/>
      <c r="HI183" s="506"/>
      <c r="HJ183" s="506"/>
      <c r="HK183" s="506"/>
      <c r="HL183" s="506"/>
      <c r="HM183" s="506"/>
      <c r="HN183" s="506"/>
      <c r="HO183" s="506"/>
      <c r="HP183" s="506"/>
      <c r="HQ183" s="506"/>
      <c r="HR183" s="506"/>
      <c r="HS183" s="506"/>
      <c r="HT183" s="506"/>
      <c r="HU183" s="506"/>
      <c r="HV183" s="506"/>
      <c r="HW183" s="506"/>
      <c r="HX183" s="506"/>
      <c r="HY183" s="506"/>
      <c r="HZ183" s="506"/>
      <c r="IA183" s="506"/>
      <c r="IB183" s="506"/>
      <c r="IC183" s="506"/>
      <c r="ID183" s="506"/>
      <c r="IE183" s="505"/>
      <c r="IF183" s="505"/>
      <c r="IG183" s="505"/>
      <c r="IH183" s="505"/>
      <c r="II183" s="505"/>
      <c r="IJ183" s="505"/>
      <c r="IK183" s="507"/>
      <c r="IL183" s="505"/>
      <c r="IM183" s="505"/>
      <c r="IN183" s="505"/>
      <c r="IO183" s="505"/>
      <c r="IP183" s="505"/>
      <c r="IQ183" s="505"/>
      <c r="IR183" s="505"/>
      <c r="IS183" s="505"/>
      <c r="IT183" s="505"/>
      <c r="IU183" s="505"/>
      <c r="IV183" s="505"/>
      <c r="IW183" s="505"/>
      <c r="IX183" s="505"/>
      <c r="IY183" s="505"/>
      <c r="IZ183" s="505"/>
      <c r="JA183" s="507"/>
      <c r="JB183" s="507"/>
      <c r="JC183" s="505"/>
      <c r="JD183" s="505"/>
      <c r="JE183" s="505"/>
      <c r="JF183" s="505"/>
      <c r="JG183" s="505"/>
      <c r="JH183" s="505"/>
      <c r="JI183" s="505"/>
      <c r="JJ183" s="505"/>
      <c r="JK183" s="505"/>
      <c r="JL183" s="505"/>
      <c r="JM183" s="505"/>
      <c r="JN183" s="505"/>
      <c r="JO183" s="505"/>
      <c r="JP183" s="505"/>
      <c r="JQ183" s="505"/>
      <c r="JR183" s="100"/>
      <c r="JS183" s="100"/>
      <c r="JT183" s="505"/>
      <c r="JU183" s="505"/>
      <c r="JV183" s="505"/>
      <c r="JW183" s="505"/>
      <c r="JX183" s="505"/>
      <c r="JY183" s="505"/>
      <c r="JZ183" s="505"/>
      <c r="KA183" s="505"/>
      <c r="KB183" s="505"/>
      <c r="KC183" s="505"/>
      <c r="KD183" s="505"/>
      <c r="KE183" s="505"/>
      <c r="KF183" s="505"/>
      <c r="KG183" s="505"/>
      <c r="KH183" s="505"/>
      <c r="KI183" s="505"/>
      <c r="KJ183" s="505"/>
    </row>
    <row r="184" spans="1:296" s="96" customFormat="1" ht="15.6" customHeight="1" thickBot="1">
      <c r="A184" s="1"/>
      <c r="B184" s="1" t="s">
        <v>1047</v>
      </c>
      <c r="C184" s="1"/>
      <c r="D184" s="9"/>
      <c r="E184" s="1"/>
      <c r="F184" s="3252">
        <v>8000</v>
      </c>
      <c r="G184" s="3253"/>
      <c r="H184" s="1"/>
      <c r="I184" s="3255" t="s">
        <v>53</v>
      </c>
      <c r="J184" s="3256"/>
      <c r="K184" s="3263"/>
      <c r="L184" s="3264"/>
      <c r="M184" s="1"/>
      <c r="N184" s="607" t="s">
        <v>3819</v>
      </c>
      <c r="O184" s="1287" t="str">
        <f>CONCATENATE(SUM(JC48:JG48)," units x $",'DCA Underwriting Assumptions'!$Q$62," =")</f>
        <v>0 units x $350 =</v>
      </c>
      <c r="P184" s="932">
        <f>SUM(JC48:JG48)*'DCA Underwriting Assumptions'!$Q$62</f>
        <v>0</v>
      </c>
      <c r="Q184" s="1287"/>
      <c r="U184" s="3155"/>
      <c r="V184" s="3156"/>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5"/>
      <c r="EY184" s="505"/>
      <c r="EZ184" s="505"/>
      <c r="FA184" s="505"/>
      <c r="FB184" s="505"/>
      <c r="FC184" s="505"/>
      <c r="FD184" s="505"/>
      <c r="FE184" s="505"/>
      <c r="FF184" s="505"/>
      <c r="FG184" s="505"/>
      <c r="FH184" s="505"/>
      <c r="FI184" s="505"/>
      <c r="FJ184" s="505"/>
      <c r="FK184" s="505"/>
      <c r="FL184" s="505"/>
      <c r="FM184" s="505"/>
      <c r="FN184" s="505"/>
      <c r="FO184" s="505"/>
      <c r="FP184" s="505"/>
      <c r="FQ184" s="505"/>
      <c r="FR184" s="505"/>
      <c r="FS184" s="505"/>
      <c r="FT184" s="505"/>
      <c r="FU184" s="505"/>
      <c r="FV184" s="505"/>
      <c r="FW184" s="505"/>
      <c r="FX184" s="505"/>
      <c r="FY184" s="505"/>
      <c r="FZ184" s="505"/>
      <c r="GA184" s="505"/>
      <c r="GB184" s="505"/>
      <c r="GC184" s="505"/>
      <c r="GD184" s="505"/>
      <c r="GE184" s="505"/>
      <c r="GF184" s="505"/>
      <c r="GG184" s="505"/>
      <c r="GH184" s="505"/>
      <c r="GI184" s="505"/>
      <c r="GJ184" s="505"/>
      <c r="GK184" s="505"/>
      <c r="GL184" s="505"/>
      <c r="GM184" s="505"/>
      <c r="GN184" s="505"/>
      <c r="GO184" s="505"/>
      <c r="GP184" s="505"/>
      <c r="GQ184" s="505"/>
      <c r="GR184" s="505"/>
      <c r="GS184" s="505"/>
      <c r="GT184" s="506"/>
      <c r="GU184" s="505"/>
      <c r="GV184" s="505"/>
      <c r="GW184" s="505"/>
      <c r="GX184" s="505"/>
      <c r="GY184" s="506"/>
      <c r="GZ184" s="506"/>
      <c r="HA184" s="506"/>
      <c r="HB184" s="506"/>
      <c r="HC184" s="506"/>
      <c r="HD184" s="506"/>
      <c r="HE184" s="506"/>
      <c r="HF184" s="506"/>
      <c r="HG184" s="506"/>
      <c r="HH184" s="506"/>
      <c r="HI184" s="506"/>
      <c r="HJ184" s="506"/>
      <c r="HK184" s="506"/>
      <c r="HL184" s="506"/>
      <c r="HM184" s="506"/>
      <c r="HN184" s="506"/>
      <c r="HO184" s="506"/>
      <c r="HP184" s="506"/>
      <c r="HQ184" s="506"/>
      <c r="HR184" s="506"/>
      <c r="HS184" s="506"/>
      <c r="HT184" s="506"/>
      <c r="HU184" s="506"/>
      <c r="HV184" s="506"/>
      <c r="HW184" s="506"/>
      <c r="HX184" s="506"/>
      <c r="HY184" s="506"/>
      <c r="HZ184" s="506"/>
      <c r="IA184" s="506"/>
      <c r="IB184" s="506"/>
      <c r="IC184" s="506"/>
      <c r="ID184" s="506"/>
      <c r="IE184" s="505"/>
      <c r="IF184" s="505"/>
      <c r="IG184" s="505"/>
      <c r="IH184" s="505"/>
      <c r="II184" s="505"/>
      <c r="IJ184" s="505"/>
      <c r="IK184" s="507"/>
      <c r="IL184" s="505"/>
      <c r="IM184" s="505"/>
      <c r="IN184" s="505"/>
      <c r="IO184" s="505"/>
      <c r="IP184" s="505"/>
      <c r="IQ184" s="505"/>
      <c r="IR184" s="505"/>
      <c r="IS184" s="505"/>
      <c r="IT184" s="505"/>
      <c r="IU184" s="505"/>
      <c r="IV184" s="505"/>
      <c r="IW184" s="505"/>
      <c r="IX184" s="505"/>
      <c r="IY184" s="505"/>
      <c r="IZ184" s="505"/>
      <c r="JA184" s="507"/>
      <c r="JB184" s="507"/>
      <c r="JC184" s="505"/>
      <c r="JD184" s="505"/>
      <c r="JE184" s="505"/>
      <c r="JF184" s="505"/>
      <c r="JG184" s="505"/>
      <c r="JH184" s="505"/>
      <c r="JI184" s="505"/>
      <c r="JJ184" s="505"/>
      <c r="JK184" s="505"/>
      <c r="JL184" s="505"/>
      <c r="JM184" s="505"/>
      <c r="JN184" s="505"/>
      <c r="JO184" s="505"/>
      <c r="JP184" s="505"/>
      <c r="JQ184" s="505"/>
      <c r="JR184" s="100"/>
      <c r="JS184" s="100"/>
      <c r="JT184" s="505"/>
      <c r="JU184" s="505"/>
      <c r="JV184" s="505"/>
      <c r="JW184" s="505"/>
      <c r="JX184" s="505"/>
      <c r="JY184" s="505"/>
      <c r="JZ184" s="505"/>
      <c r="KA184" s="505"/>
      <c r="KB184" s="505"/>
      <c r="KC184" s="505"/>
      <c r="KD184" s="505"/>
      <c r="KE184" s="505"/>
      <c r="KF184" s="505"/>
      <c r="KG184" s="505"/>
      <c r="KH184" s="505"/>
      <c r="KI184" s="505"/>
      <c r="KJ184" s="505"/>
    </row>
    <row r="185" spans="1:296" s="96" customFormat="1" ht="15.6" customHeight="1" thickTop="1">
      <c r="A185" s="1"/>
      <c r="B185" s="1" t="s">
        <v>1048</v>
      </c>
      <c r="C185" s="1"/>
      <c r="D185" s="9"/>
      <c r="E185" s="1"/>
      <c r="F185" s="3252">
        <v>12000</v>
      </c>
      <c r="G185" s="3253"/>
      <c r="H185" s="1"/>
      <c r="I185" s="1"/>
      <c r="J185" s="12" t="s">
        <v>198</v>
      </c>
      <c r="K185" s="2421">
        <f>SUM(K180:K184)</f>
        <v>234700</v>
      </c>
      <c r="L185" s="2422"/>
      <c r="M185" s="1"/>
      <c r="N185" s="607" t="s">
        <v>3818</v>
      </c>
      <c r="O185" s="1287" t="str">
        <f>CONCATENATE(SUM(JH48:JL48)," units x $",'DCA Underwriting Assumptions'!$Q$63," =")</f>
        <v>162 units x $250 =</v>
      </c>
      <c r="P185" s="932">
        <f>SUM(JH48:JL48)*'DCA Underwriting Assumptions'!$Q$63</f>
        <v>40500</v>
      </c>
      <c r="Q185" s="1287"/>
      <c r="U185" s="3155"/>
      <c r="V185" s="3156"/>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5"/>
      <c r="EY185" s="505"/>
      <c r="EZ185" s="505"/>
      <c r="FA185" s="505"/>
      <c r="FB185" s="505"/>
      <c r="FC185" s="505"/>
      <c r="FD185" s="505"/>
      <c r="FE185" s="505"/>
      <c r="FF185" s="505"/>
      <c r="FG185" s="505"/>
      <c r="FH185" s="505"/>
      <c r="FI185" s="505"/>
      <c r="FJ185" s="505"/>
      <c r="FK185" s="505"/>
      <c r="FL185" s="505"/>
      <c r="FM185" s="505"/>
      <c r="FN185" s="505"/>
      <c r="FO185" s="505"/>
      <c r="FP185" s="505"/>
      <c r="FQ185" s="505"/>
      <c r="FR185" s="505"/>
      <c r="FS185" s="505"/>
      <c r="FT185" s="505"/>
      <c r="FU185" s="505"/>
      <c r="FV185" s="505"/>
      <c r="FW185" s="505"/>
      <c r="FX185" s="505"/>
      <c r="FY185" s="505"/>
      <c r="FZ185" s="505"/>
      <c r="GA185" s="505"/>
      <c r="GB185" s="505"/>
      <c r="GC185" s="505"/>
      <c r="GD185" s="505"/>
      <c r="GE185" s="505"/>
      <c r="GF185" s="505"/>
      <c r="GG185" s="505"/>
      <c r="GH185" s="505"/>
      <c r="GI185" s="505"/>
      <c r="GJ185" s="505"/>
      <c r="GK185" s="505"/>
      <c r="GL185" s="505"/>
      <c r="GM185" s="505"/>
      <c r="GN185" s="505"/>
      <c r="GO185" s="505"/>
      <c r="GP185" s="505"/>
      <c r="GQ185" s="505"/>
      <c r="GR185" s="505"/>
      <c r="GS185" s="505"/>
      <c r="GT185" s="506"/>
      <c r="GU185" s="505"/>
      <c r="GV185" s="505"/>
      <c r="GW185" s="505"/>
      <c r="GX185" s="505"/>
      <c r="GY185" s="506"/>
      <c r="GZ185" s="506"/>
      <c r="HA185" s="506"/>
      <c r="HB185" s="506"/>
      <c r="HC185" s="506"/>
      <c r="HD185" s="506"/>
      <c r="HE185" s="506"/>
      <c r="HF185" s="506"/>
      <c r="HG185" s="506"/>
      <c r="HH185" s="506"/>
      <c r="HI185" s="506"/>
      <c r="HJ185" s="506"/>
      <c r="HK185" s="506"/>
      <c r="HL185" s="506"/>
      <c r="HM185" s="506"/>
      <c r="HN185" s="506"/>
      <c r="HO185" s="506"/>
      <c r="HP185" s="506"/>
      <c r="HQ185" s="506"/>
      <c r="HR185" s="506"/>
      <c r="HS185" s="506"/>
      <c r="HT185" s="506"/>
      <c r="HU185" s="506"/>
      <c r="HV185" s="506"/>
      <c r="HW185" s="506"/>
      <c r="HX185" s="506"/>
      <c r="HY185" s="506"/>
      <c r="HZ185" s="506"/>
      <c r="IA185" s="506"/>
      <c r="IB185" s="506"/>
      <c r="IC185" s="506"/>
      <c r="ID185" s="506"/>
      <c r="IE185" s="505"/>
      <c r="IF185" s="505"/>
      <c r="IG185" s="505"/>
      <c r="IH185" s="505"/>
      <c r="II185" s="505"/>
      <c r="IJ185" s="505"/>
      <c r="IK185" s="507"/>
      <c r="IL185" s="505"/>
      <c r="IM185" s="505"/>
      <c r="IN185" s="505"/>
      <c r="IO185" s="505"/>
      <c r="IP185" s="505"/>
      <c r="IQ185" s="505"/>
      <c r="IR185" s="505"/>
      <c r="IS185" s="505"/>
      <c r="IT185" s="505"/>
      <c r="IU185" s="505"/>
      <c r="IV185" s="505"/>
      <c r="IW185" s="505"/>
      <c r="IX185" s="505"/>
      <c r="IY185" s="505"/>
      <c r="IZ185" s="505"/>
      <c r="JA185" s="507"/>
      <c r="JB185" s="507"/>
      <c r="JC185" s="505"/>
      <c r="JD185" s="505"/>
      <c r="JE185" s="505"/>
      <c r="JF185" s="505"/>
      <c r="JG185" s="505"/>
      <c r="JH185" s="505"/>
      <c r="JI185" s="505"/>
      <c r="JJ185" s="505"/>
      <c r="JK185" s="505"/>
      <c r="JL185" s="505"/>
      <c r="JM185" s="505"/>
      <c r="JN185" s="505"/>
      <c r="JO185" s="505"/>
      <c r="JP185" s="505"/>
      <c r="JQ185" s="505"/>
      <c r="JR185" s="100"/>
      <c r="JS185" s="100"/>
      <c r="JT185" s="505"/>
      <c r="JU185" s="505"/>
      <c r="JV185" s="505"/>
      <c r="JW185" s="505"/>
      <c r="JX185" s="505"/>
      <c r="JY185" s="505"/>
      <c r="JZ185" s="505"/>
      <c r="KA185" s="505"/>
      <c r="KB185" s="505"/>
      <c r="KC185" s="505"/>
      <c r="KD185" s="505"/>
      <c r="KE185" s="505"/>
      <c r="KF185" s="505"/>
      <c r="KG185" s="505"/>
      <c r="KH185" s="505"/>
      <c r="KI185" s="505"/>
      <c r="KJ185" s="505"/>
    </row>
    <row r="186" spans="1:296" s="96" customFormat="1" ht="15.6" customHeight="1">
      <c r="A186" s="1"/>
      <c r="B186" s="1" t="s">
        <v>907</v>
      </c>
      <c r="C186" s="1"/>
      <c r="D186" s="9"/>
      <c r="E186" s="1"/>
      <c r="F186" s="3252">
        <v>7920</v>
      </c>
      <c r="G186" s="3253"/>
      <c r="H186" s="1"/>
      <c r="I186" s="1"/>
      <c r="J186" s="13"/>
      <c r="K186" s="1"/>
      <c r="L186" s="1"/>
      <c r="M186" s="1"/>
      <c r="N186" s="933" t="s">
        <v>3822</v>
      </c>
      <c r="O186" s="1287" t="str">
        <f>CONCATENATE(SUM(JM48:JQ48)," units x $",'DCA Underwriting Assumptions'!$Q$64," =")</f>
        <v>0 units x $420 =</v>
      </c>
      <c r="P186" s="932">
        <f>SUM(JM48:JQ48)*'DCA Underwriting Assumptions'!$Q$64</f>
        <v>0</v>
      </c>
      <c r="Q186" s="1287"/>
      <c r="U186" s="3155"/>
      <c r="V186" s="3156"/>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5"/>
      <c r="EY186" s="505"/>
      <c r="EZ186" s="505"/>
      <c r="FA186" s="505"/>
      <c r="FB186" s="505"/>
      <c r="FC186" s="505"/>
      <c r="FD186" s="505"/>
      <c r="FE186" s="505"/>
      <c r="FF186" s="505"/>
      <c r="FG186" s="505"/>
      <c r="FH186" s="505"/>
      <c r="FI186" s="505"/>
      <c r="FJ186" s="505"/>
      <c r="FK186" s="505"/>
      <c r="FL186" s="505"/>
      <c r="FM186" s="505"/>
      <c r="FN186" s="505"/>
      <c r="FO186" s="505"/>
      <c r="FP186" s="505"/>
      <c r="FQ186" s="505"/>
      <c r="FR186" s="505"/>
      <c r="FS186" s="505"/>
      <c r="FT186" s="505"/>
      <c r="FU186" s="505"/>
      <c r="FV186" s="505"/>
      <c r="FW186" s="505"/>
      <c r="FX186" s="505"/>
      <c r="FY186" s="505"/>
      <c r="FZ186" s="505"/>
      <c r="GA186" s="505"/>
      <c r="GB186" s="505"/>
      <c r="GC186" s="505"/>
      <c r="GD186" s="505"/>
      <c r="GE186" s="505"/>
      <c r="GF186" s="505"/>
      <c r="GG186" s="505"/>
      <c r="GH186" s="505"/>
      <c r="GI186" s="505"/>
      <c r="GJ186" s="505"/>
      <c r="GK186" s="505"/>
      <c r="GL186" s="505"/>
      <c r="GM186" s="505"/>
      <c r="GN186" s="505"/>
      <c r="GO186" s="505"/>
      <c r="GP186" s="505"/>
      <c r="GQ186" s="505"/>
      <c r="GR186" s="505"/>
      <c r="GS186" s="505"/>
      <c r="GT186" s="506"/>
      <c r="GU186" s="505"/>
      <c r="GV186" s="505"/>
      <c r="GW186" s="505"/>
      <c r="GX186" s="505"/>
      <c r="GY186" s="506"/>
      <c r="GZ186" s="506"/>
      <c r="HA186" s="506"/>
      <c r="HB186" s="506"/>
      <c r="HC186" s="506"/>
      <c r="HD186" s="506"/>
      <c r="HE186" s="506"/>
      <c r="HF186" s="506"/>
      <c r="HG186" s="506"/>
      <c r="HH186" s="506"/>
      <c r="HI186" s="506"/>
      <c r="HJ186" s="506"/>
      <c r="HK186" s="506"/>
      <c r="HL186" s="506"/>
      <c r="HM186" s="506"/>
      <c r="HN186" s="506"/>
      <c r="HO186" s="506"/>
      <c r="HP186" s="506"/>
      <c r="HQ186" s="506"/>
      <c r="HR186" s="506"/>
      <c r="HS186" s="506"/>
      <c r="HT186" s="506"/>
      <c r="HU186" s="506"/>
      <c r="HV186" s="506"/>
      <c r="HW186" s="506"/>
      <c r="HX186" s="506"/>
      <c r="HY186" s="506"/>
      <c r="HZ186" s="506"/>
      <c r="IA186" s="506"/>
      <c r="IB186" s="506"/>
      <c r="IC186" s="506"/>
      <c r="ID186" s="506"/>
      <c r="IE186" s="505"/>
      <c r="IF186" s="505"/>
      <c r="IG186" s="505"/>
      <c r="IH186" s="505"/>
      <c r="II186" s="505"/>
      <c r="IJ186" s="505"/>
      <c r="IK186" s="507"/>
      <c r="IL186" s="505"/>
      <c r="IM186" s="505"/>
      <c r="IN186" s="505"/>
      <c r="IO186" s="505"/>
      <c r="IP186" s="505"/>
      <c r="IQ186" s="505"/>
      <c r="IR186" s="505"/>
      <c r="IS186" s="505"/>
      <c r="IT186" s="505"/>
      <c r="IU186" s="505"/>
      <c r="IV186" s="505"/>
      <c r="IW186" s="505"/>
      <c r="IX186" s="505"/>
      <c r="IY186" s="505"/>
      <c r="IZ186" s="505"/>
      <c r="JA186" s="507"/>
      <c r="JB186" s="507"/>
      <c r="JC186" s="505"/>
      <c r="JD186" s="505"/>
      <c r="JE186" s="505"/>
      <c r="JF186" s="505"/>
      <c r="JG186" s="505"/>
      <c r="JH186" s="505"/>
      <c r="JI186" s="505"/>
      <c r="JJ186" s="505"/>
      <c r="JK186" s="505"/>
      <c r="JL186" s="505"/>
      <c r="JM186" s="505"/>
      <c r="JN186" s="505"/>
      <c r="JO186" s="505"/>
      <c r="JP186" s="505"/>
      <c r="JQ186" s="505"/>
      <c r="JR186" s="100"/>
      <c r="JS186" s="100"/>
      <c r="JT186" s="505"/>
      <c r="JU186" s="505"/>
      <c r="JV186" s="505"/>
      <c r="JW186" s="505"/>
      <c r="JX186" s="505"/>
      <c r="JY186" s="505"/>
      <c r="JZ186" s="505"/>
      <c r="KA186" s="505"/>
      <c r="KB186" s="505"/>
      <c r="KC186" s="505"/>
      <c r="KD186" s="505"/>
      <c r="KE186" s="505"/>
      <c r="KF186" s="505"/>
      <c r="KG186" s="505"/>
      <c r="KH186" s="505"/>
      <c r="KI186" s="505"/>
      <c r="KJ186" s="505"/>
    </row>
    <row r="187" spans="1:296" s="96" customFormat="1" ht="15.6" customHeight="1" thickBot="1">
      <c r="A187" s="1"/>
      <c r="B187" s="3258" t="s">
        <v>53</v>
      </c>
      <c r="C187" s="3259"/>
      <c r="D187" s="3259"/>
      <c r="E187" s="3260"/>
      <c r="F187" s="3261"/>
      <c r="G187" s="3262"/>
      <c r="H187" s="1"/>
      <c r="I187" s="1"/>
      <c r="J187" s="13"/>
      <c r="K187" s="1"/>
      <c r="L187" s="1"/>
      <c r="M187" s="1"/>
      <c r="N187" s="933" t="s">
        <v>3817</v>
      </c>
      <c r="O187" s="1287" t="str">
        <f>CONCATENATE(O84," units x $",'DCA Underwriting Assumptions'!$Q$64," =")</f>
        <v>0 units x $420 =</v>
      </c>
      <c r="P187" s="932">
        <f>O84*'DCA Underwriting Assumptions'!$Q$64</f>
        <v>0</v>
      </c>
      <c r="Q187" s="1287"/>
      <c r="U187" s="3155"/>
      <c r="V187" s="3156"/>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5"/>
      <c r="EY187" s="505"/>
      <c r="EZ187" s="505"/>
      <c r="FA187" s="505"/>
      <c r="FB187" s="505"/>
      <c r="FC187" s="505"/>
      <c r="FD187" s="505"/>
      <c r="FE187" s="505"/>
      <c r="FF187" s="505"/>
      <c r="FG187" s="505"/>
      <c r="FH187" s="505"/>
      <c r="FI187" s="505"/>
      <c r="FJ187" s="505"/>
      <c r="FK187" s="505"/>
      <c r="FL187" s="505"/>
      <c r="FM187" s="505"/>
      <c r="FN187" s="505"/>
      <c r="FO187" s="505"/>
      <c r="FP187" s="505"/>
      <c r="FQ187" s="505"/>
      <c r="FR187" s="505"/>
      <c r="FS187" s="505"/>
      <c r="FT187" s="505"/>
      <c r="FU187" s="505"/>
      <c r="FV187" s="505"/>
      <c r="FW187" s="505"/>
      <c r="FX187" s="505"/>
      <c r="FY187" s="505"/>
      <c r="FZ187" s="505"/>
      <c r="GA187" s="505"/>
      <c r="GB187" s="505"/>
      <c r="GC187" s="505"/>
      <c r="GD187" s="505"/>
      <c r="GE187" s="505"/>
      <c r="GF187" s="505"/>
      <c r="GG187" s="505"/>
      <c r="GH187" s="505"/>
      <c r="GI187" s="505"/>
      <c r="GJ187" s="505"/>
      <c r="GK187" s="505"/>
      <c r="GL187" s="505"/>
      <c r="GM187" s="505"/>
      <c r="GN187" s="505"/>
      <c r="GO187" s="505"/>
      <c r="GP187" s="505"/>
      <c r="GQ187" s="505"/>
      <c r="GR187" s="505"/>
      <c r="GS187" s="505"/>
      <c r="GT187" s="506"/>
      <c r="GU187" s="505"/>
      <c r="GV187" s="505"/>
      <c r="GW187" s="505"/>
      <c r="GX187" s="505"/>
      <c r="GY187" s="506"/>
      <c r="GZ187" s="506"/>
      <c r="HA187" s="506"/>
      <c r="HB187" s="506"/>
      <c r="HC187" s="506"/>
      <c r="HD187" s="506"/>
      <c r="HE187" s="506"/>
      <c r="HF187" s="506"/>
      <c r="HG187" s="506"/>
      <c r="HH187" s="506"/>
      <c r="HI187" s="506"/>
      <c r="HJ187" s="506"/>
      <c r="HK187" s="506"/>
      <c r="HL187" s="506"/>
      <c r="HM187" s="506"/>
      <c r="HN187" s="506"/>
      <c r="HO187" s="506"/>
      <c r="HP187" s="506"/>
      <c r="HQ187" s="506"/>
      <c r="HR187" s="506"/>
      <c r="HS187" s="506"/>
      <c r="HT187" s="506"/>
      <c r="HU187" s="506"/>
      <c r="HV187" s="506"/>
      <c r="HW187" s="506"/>
      <c r="HX187" s="506"/>
      <c r="HY187" s="506"/>
      <c r="HZ187" s="506"/>
      <c r="IA187" s="506"/>
      <c r="IB187" s="506"/>
      <c r="IC187" s="506"/>
      <c r="ID187" s="506"/>
      <c r="IE187" s="505"/>
      <c r="IF187" s="505"/>
      <c r="IG187" s="505"/>
      <c r="IH187" s="505"/>
      <c r="II187" s="505"/>
      <c r="IJ187" s="505"/>
      <c r="IK187" s="507"/>
      <c r="IL187" s="505"/>
      <c r="IM187" s="505"/>
      <c r="IN187" s="505"/>
      <c r="IO187" s="505"/>
      <c r="IP187" s="505"/>
      <c r="IQ187" s="505"/>
      <c r="IR187" s="505"/>
      <c r="IS187" s="505"/>
      <c r="IT187" s="505"/>
      <c r="IU187" s="505"/>
      <c r="IV187" s="505"/>
      <c r="IW187" s="505"/>
      <c r="IX187" s="505"/>
      <c r="IY187" s="505"/>
      <c r="IZ187" s="505"/>
      <c r="JA187" s="507"/>
      <c r="JB187" s="507"/>
      <c r="JC187" s="505"/>
      <c r="JD187" s="505"/>
      <c r="JE187" s="505"/>
      <c r="JF187" s="505"/>
      <c r="JG187" s="505"/>
      <c r="JH187" s="505"/>
      <c r="JI187" s="505"/>
      <c r="JJ187" s="505"/>
      <c r="JK187" s="505"/>
      <c r="JL187" s="505"/>
      <c r="JM187" s="505"/>
      <c r="JN187" s="505"/>
      <c r="JO187" s="505"/>
      <c r="JP187" s="505"/>
      <c r="JQ187" s="505"/>
      <c r="JR187" s="100"/>
      <c r="JS187" s="100"/>
      <c r="JT187" s="505"/>
      <c r="JU187" s="505"/>
      <c r="JV187" s="505"/>
      <c r="JW187" s="505"/>
      <c r="JX187" s="505"/>
      <c r="JY187" s="505"/>
      <c r="JZ187" s="505"/>
      <c r="KA187" s="505"/>
      <c r="KB187" s="505"/>
      <c r="KC187" s="505"/>
      <c r="KD187" s="505"/>
      <c r="KE187" s="505"/>
      <c r="KF187" s="505"/>
      <c r="KG187" s="505"/>
      <c r="KH187" s="505"/>
      <c r="KI187" s="505"/>
      <c r="KJ187" s="505"/>
    </row>
    <row r="188" spans="1:296" s="96" customFormat="1" ht="15.6" customHeight="1" thickTop="1">
      <c r="A188" s="1"/>
      <c r="B188" s="10"/>
      <c r="C188" s="12" t="s">
        <v>198</v>
      </c>
      <c r="D188" s="1"/>
      <c r="E188" s="1"/>
      <c r="F188" s="2423">
        <f>SUM(F180:G187)</f>
        <v>82720</v>
      </c>
      <c r="G188" s="2424"/>
      <c r="H188" s="1"/>
      <c r="I188" s="1"/>
      <c r="J188" s="13"/>
      <c r="K188" s="1"/>
      <c r="L188" s="1"/>
      <c r="M188" s="1"/>
      <c r="N188" s="934" t="s">
        <v>2847</v>
      </c>
      <c r="O188" s="935">
        <f>SUM(JC48:JG48)+SUM(JH48:JL48)+SUM(JM48:JQ48)+O84</f>
        <v>162</v>
      </c>
      <c r="P188" s="936">
        <f>SUM(P184:P187)</f>
        <v>40500</v>
      </c>
      <c r="Q188" s="1287"/>
      <c r="U188" s="3158"/>
      <c r="V188" s="3159"/>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5"/>
      <c r="EY188" s="505"/>
      <c r="EZ188" s="505"/>
      <c r="FA188" s="505"/>
      <c r="FB188" s="505"/>
      <c r="FC188" s="505"/>
      <c r="FD188" s="505"/>
      <c r="FE188" s="505"/>
      <c r="FF188" s="505"/>
      <c r="FG188" s="505"/>
      <c r="FH188" s="505"/>
      <c r="FI188" s="505"/>
      <c r="FJ188" s="505"/>
      <c r="FK188" s="505"/>
      <c r="FL188" s="505"/>
      <c r="FM188" s="505"/>
      <c r="FN188" s="505"/>
      <c r="FO188" s="505"/>
      <c r="FP188" s="505"/>
      <c r="FQ188" s="505"/>
      <c r="FR188" s="505"/>
      <c r="FS188" s="505"/>
      <c r="FT188" s="505"/>
      <c r="FU188" s="505"/>
      <c r="FV188" s="505"/>
      <c r="FW188" s="505"/>
      <c r="FX188" s="505"/>
      <c r="FY188" s="505"/>
      <c r="FZ188" s="505"/>
      <c r="GA188" s="505"/>
      <c r="GB188" s="505"/>
      <c r="GC188" s="505"/>
      <c r="GD188" s="505"/>
      <c r="GE188" s="505"/>
      <c r="GF188" s="505"/>
      <c r="GG188" s="505"/>
      <c r="GH188" s="505"/>
      <c r="GI188" s="505"/>
      <c r="GJ188" s="505"/>
      <c r="GK188" s="505"/>
      <c r="GL188" s="505"/>
      <c r="GM188" s="505"/>
      <c r="GN188" s="505"/>
      <c r="GO188" s="505"/>
      <c r="GP188" s="505"/>
      <c r="GQ188" s="505"/>
      <c r="GR188" s="505"/>
      <c r="GS188" s="505"/>
      <c r="GT188" s="506"/>
      <c r="GU188" s="505"/>
      <c r="GV188" s="505"/>
      <c r="GW188" s="505"/>
      <c r="GX188" s="505"/>
      <c r="GY188" s="506"/>
      <c r="GZ188" s="506"/>
      <c r="HA188" s="506"/>
      <c r="HB188" s="506"/>
      <c r="HC188" s="506"/>
      <c r="HD188" s="506"/>
      <c r="HE188" s="506"/>
      <c r="HF188" s="506"/>
      <c r="HG188" s="506"/>
      <c r="HH188" s="506"/>
      <c r="HI188" s="506"/>
      <c r="HJ188" s="506"/>
      <c r="HK188" s="506"/>
      <c r="HL188" s="506"/>
      <c r="HM188" s="506"/>
      <c r="HN188" s="506"/>
      <c r="HO188" s="506"/>
      <c r="HP188" s="506"/>
      <c r="HQ188" s="506"/>
      <c r="HR188" s="506"/>
      <c r="HS188" s="506"/>
      <c r="HT188" s="506"/>
      <c r="HU188" s="506"/>
      <c r="HV188" s="506"/>
      <c r="HW188" s="506"/>
      <c r="HX188" s="506"/>
      <c r="HY188" s="506"/>
      <c r="HZ188" s="506"/>
      <c r="IA188" s="506"/>
      <c r="IB188" s="506"/>
      <c r="IC188" s="506"/>
      <c r="ID188" s="506"/>
      <c r="IE188" s="505"/>
      <c r="IF188" s="505"/>
      <c r="IG188" s="505"/>
      <c r="IH188" s="505"/>
      <c r="II188" s="505"/>
      <c r="IJ188" s="505"/>
      <c r="IK188" s="507"/>
      <c r="IL188" s="505"/>
      <c r="IM188" s="505"/>
      <c r="IN188" s="505"/>
      <c r="IO188" s="505"/>
      <c r="IP188" s="505"/>
      <c r="IQ188" s="505"/>
      <c r="IR188" s="505"/>
      <c r="IS188" s="505"/>
      <c r="IT188" s="505"/>
      <c r="IU188" s="505"/>
      <c r="IV188" s="505"/>
      <c r="IW188" s="505"/>
      <c r="IX188" s="505"/>
      <c r="IY188" s="505"/>
      <c r="IZ188" s="505"/>
      <c r="JA188" s="507"/>
      <c r="JB188" s="507"/>
      <c r="JC188" s="505"/>
      <c r="JD188" s="505"/>
      <c r="JE188" s="505"/>
      <c r="JF188" s="505"/>
      <c r="JG188" s="505"/>
      <c r="JH188" s="505"/>
      <c r="JI188" s="505"/>
      <c r="JJ188" s="505"/>
      <c r="JK188" s="505"/>
      <c r="JL188" s="505"/>
      <c r="JM188" s="505"/>
      <c r="JN188" s="505"/>
      <c r="JO188" s="505"/>
      <c r="JP188" s="505"/>
      <c r="JQ188" s="505"/>
      <c r="JR188" s="100"/>
      <c r="JS188" s="100"/>
      <c r="JT188" s="505"/>
      <c r="JU188" s="505"/>
      <c r="JV188" s="505"/>
      <c r="JW188" s="505"/>
      <c r="JX188" s="505"/>
      <c r="JY188" s="505"/>
      <c r="JZ188" s="505"/>
      <c r="KA188" s="505"/>
      <c r="KB188" s="505"/>
      <c r="KC188" s="505"/>
      <c r="KD188" s="505"/>
      <c r="KE188" s="505"/>
      <c r="KF188" s="505"/>
      <c r="KG188" s="505"/>
      <c r="KH188" s="505"/>
      <c r="KI188" s="505"/>
      <c r="KJ188" s="505"/>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5"/>
      <c r="EY189" s="505"/>
      <c r="EZ189" s="505"/>
      <c r="FA189" s="505"/>
      <c r="FB189" s="505"/>
      <c r="FC189" s="505"/>
      <c r="FD189" s="505"/>
      <c r="FE189" s="505"/>
      <c r="FF189" s="505"/>
      <c r="FG189" s="505"/>
      <c r="FH189" s="505"/>
      <c r="FI189" s="505"/>
      <c r="FJ189" s="505"/>
      <c r="FK189" s="505"/>
      <c r="FL189" s="505"/>
      <c r="FM189" s="505"/>
      <c r="FN189" s="505"/>
      <c r="FO189" s="505"/>
      <c r="FP189" s="505"/>
      <c r="FQ189" s="505"/>
      <c r="FR189" s="505"/>
      <c r="FS189" s="505"/>
      <c r="FT189" s="505"/>
      <c r="FU189" s="505"/>
      <c r="FV189" s="505"/>
      <c r="FW189" s="505"/>
      <c r="FX189" s="505"/>
      <c r="FY189" s="505"/>
      <c r="FZ189" s="505"/>
      <c r="GA189" s="505"/>
      <c r="GB189" s="505"/>
      <c r="GC189" s="505"/>
      <c r="GD189" s="505"/>
      <c r="GE189" s="505"/>
      <c r="GF189" s="505"/>
      <c r="GG189" s="505"/>
      <c r="GH189" s="505"/>
      <c r="GI189" s="505"/>
      <c r="GJ189" s="505"/>
      <c r="GK189" s="505"/>
      <c r="GL189" s="505"/>
      <c r="GM189" s="505"/>
      <c r="GN189" s="505"/>
      <c r="GO189" s="505"/>
      <c r="GP189" s="505"/>
      <c r="GQ189" s="505"/>
      <c r="GR189" s="505"/>
      <c r="GS189" s="505"/>
      <c r="GT189" s="506"/>
      <c r="GU189" s="505"/>
      <c r="GV189" s="505"/>
      <c r="GW189" s="505"/>
      <c r="GX189" s="505"/>
      <c r="GY189" s="506"/>
      <c r="GZ189" s="506"/>
      <c r="HA189" s="506"/>
      <c r="HB189" s="506"/>
      <c r="HC189" s="506"/>
      <c r="HD189" s="506"/>
      <c r="HE189" s="506"/>
      <c r="HF189" s="506"/>
      <c r="HG189" s="506"/>
      <c r="HH189" s="506"/>
      <c r="HI189" s="506"/>
      <c r="HJ189" s="506"/>
      <c r="HK189" s="506"/>
      <c r="HL189" s="506"/>
      <c r="HM189" s="506"/>
      <c r="HN189" s="506"/>
      <c r="HO189" s="506"/>
      <c r="HP189" s="506"/>
      <c r="HQ189" s="506"/>
      <c r="HR189" s="506"/>
      <c r="HS189" s="506"/>
      <c r="HT189" s="506"/>
      <c r="HU189" s="506"/>
      <c r="HV189" s="506"/>
      <c r="HW189" s="506"/>
      <c r="HX189" s="506"/>
      <c r="HY189" s="506"/>
      <c r="HZ189" s="506"/>
      <c r="IA189" s="506"/>
      <c r="IB189" s="506"/>
      <c r="IC189" s="506"/>
      <c r="ID189" s="506"/>
      <c r="IE189" s="505"/>
      <c r="IF189" s="505"/>
      <c r="IG189" s="505"/>
      <c r="IH189" s="505"/>
      <c r="II189" s="505"/>
      <c r="IJ189" s="505"/>
      <c r="IK189" s="507"/>
      <c r="IL189" s="505"/>
      <c r="IM189" s="505"/>
      <c r="IN189" s="505"/>
      <c r="IO189" s="505"/>
      <c r="IP189" s="505"/>
      <c r="IQ189" s="505"/>
      <c r="IR189" s="505"/>
      <c r="IS189" s="505"/>
      <c r="IT189" s="505"/>
      <c r="IU189" s="505"/>
      <c r="IV189" s="505"/>
      <c r="IW189" s="505"/>
      <c r="IX189" s="505"/>
      <c r="IY189" s="505"/>
      <c r="IZ189" s="505"/>
      <c r="JA189" s="507"/>
      <c r="JB189" s="507"/>
      <c r="JC189" s="505"/>
      <c r="JD189" s="505"/>
      <c r="JE189" s="505"/>
      <c r="JF189" s="505"/>
      <c r="JG189" s="505"/>
      <c r="JH189" s="505"/>
      <c r="JI189" s="505"/>
      <c r="JJ189" s="505"/>
      <c r="JK189" s="505"/>
      <c r="JL189" s="505"/>
      <c r="JM189" s="505"/>
      <c r="JN189" s="505"/>
      <c r="JO189" s="505"/>
      <c r="JP189" s="505"/>
      <c r="JQ189" s="505"/>
      <c r="JR189" s="100"/>
      <c r="JS189" s="100"/>
      <c r="JT189" s="505"/>
      <c r="JU189" s="505"/>
      <c r="JV189" s="505"/>
      <c r="JW189" s="505"/>
      <c r="JX189" s="505"/>
      <c r="JY189" s="505"/>
      <c r="JZ189" s="505"/>
      <c r="KA189" s="505"/>
      <c r="KB189" s="505"/>
      <c r="KC189" s="505"/>
      <c r="KD189" s="505"/>
      <c r="KE189" s="505"/>
      <c r="KF189" s="505"/>
      <c r="KG189" s="505"/>
      <c r="KH189" s="505"/>
      <c r="KI189" s="505"/>
      <c r="KJ189" s="505"/>
    </row>
    <row r="190" spans="1:296" s="96" customFormat="1" ht="15.6" customHeight="1" thickBot="1">
      <c r="A190" s="1"/>
      <c r="B190" s="10"/>
      <c r="C190" s="12"/>
      <c r="D190" s="1"/>
      <c r="E190" s="1"/>
      <c r="F190" s="13"/>
      <c r="G190" s="13"/>
      <c r="H190" s="1"/>
      <c r="I190" s="1"/>
      <c r="J190" s="13"/>
      <c r="K190" s="1"/>
      <c r="L190" s="1"/>
      <c r="M190" s="1"/>
      <c r="N190" s="10" t="s">
        <v>2276</v>
      </c>
      <c r="O190" s="1"/>
      <c r="P190" s="449">
        <f>P176+P179</f>
        <v>811736</v>
      </c>
      <c r="Q190" s="1280"/>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5"/>
      <c r="EY190" s="505"/>
      <c r="EZ190" s="505"/>
      <c r="FA190" s="505"/>
      <c r="FB190" s="505"/>
      <c r="FC190" s="505"/>
      <c r="FD190" s="505"/>
      <c r="FE190" s="505"/>
      <c r="FF190" s="505"/>
      <c r="FG190" s="505"/>
      <c r="FH190" s="505"/>
      <c r="FI190" s="505"/>
      <c r="FJ190" s="505"/>
      <c r="FK190" s="505"/>
      <c r="FL190" s="505"/>
      <c r="FM190" s="505"/>
      <c r="FN190" s="505"/>
      <c r="FO190" s="505"/>
      <c r="FP190" s="505"/>
      <c r="FQ190" s="505"/>
      <c r="FR190" s="505"/>
      <c r="FS190" s="505"/>
      <c r="FT190" s="505"/>
      <c r="FU190" s="505"/>
      <c r="FV190" s="505"/>
      <c r="FW190" s="505"/>
      <c r="FX190" s="505"/>
      <c r="FY190" s="505"/>
      <c r="FZ190" s="505"/>
      <c r="GA190" s="505"/>
      <c r="GB190" s="505"/>
      <c r="GC190" s="505"/>
      <c r="GD190" s="505"/>
      <c r="GE190" s="505"/>
      <c r="GF190" s="505"/>
      <c r="GG190" s="505"/>
      <c r="GH190" s="505"/>
      <c r="GI190" s="505"/>
      <c r="GJ190" s="505"/>
      <c r="GK190" s="505"/>
      <c r="GL190" s="505"/>
      <c r="GM190" s="505"/>
      <c r="GN190" s="505"/>
      <c r="GO190" s="505"/>
      <c r="GP190" s="505"/>
      <c r="GQ190" s="505"/>
      <c r="GR190" s="505"/>
      <c r="GS190" s="505"/>
      <c r="GT190" s="506"/>
      <c r="GU190" s="505"/>
      <c r="GV190" s="505"/>
      <c r="GW190" s="505"/>
      <c r="GX190" s="505"/>
      <c r="GY190" s="506"/>
      <c r="GZ190" s="506"/>
      <c r="HA190" s="506"/>
      <c r="HB190" s="506"/>
      <c r="HC190" s="506"/>
      <c r="HD190" s="506"/>
      <c r="HE190" s="506"/>
      <c r="HF190" s="506"/>
      <c r="HG190" s="506"/>
      <c r="HH190" s="506"/>
      <c r="HI190" s="506"/>
      <c r="HJ190" s="506"/>
      <c r="HK190" s="506"/>
      <c r="HL190" s="506"/>
      <c r="HM190" s="506"/>
      <c r="HN190" s="506"/>
      <c r="HO190" s="506"/>
      <c r="HP190" s="506"/>
      <c r="HQ190" s="506"/>
      <c r="HR190" s="506"/>
      <c r="HS190" s="506"/>
      <c r="HT190" s="506"/>
      <c r="HU190" s="506"/>
      <c r="HV190" s="506"/>
      <c r="HW190" s="506"/>
      <c r="HX190" s="506"/>
      <c r="HY190" s="506"/>
      <c r="HZ190" s="506"/>
      <c r="IA190" s="506"/>
      <c r="IB190" s="506"/>
      <c r="IC190" s="506"/>
      <c r="ID190" s="506"/>
      <c r="IE190" s="505"/>
      <c r="IF190" s="505"/>
      <c r="IG190" s="505"/>
      <c r="IH190" s="505"/>
      <c r="II190" s="505"/>
      <c r="IJ190" s="505"/>
      <c r="IK190" s="507"/>
      <c r="IL190" s="505"/>
      <c r="IM190" s="505"/>
      <c r="IN190" s="505"/>
      <c r="IO190" s="505"/>
      <c r="IP190" s="505"/>
      <c r="IQ190" s="505"/>
      <c r="IR190" s="505"/>
      <c r="IS190" s="505"/>
      <c r="IT190" s="505"/>
      <c r="IU190" s="505"/>
      <c r="IV190" s="505"/>
      <c r="IW190" s="505"/>
      <c r="IX190" s="505"/>
      <c r="IY190" s="505"/>
      <c r="IZ190" s="505"/>
      <c r="JA190" s="507"/>
      <c r="JB190" s="507"/>
      <c r="JC190" s="505"/>
      <c r="JD190" s="505"/>
      <c r="JE190" s="505"/>
      <c r="JF190" s="505"/>
      <c r="JG190" s="505"/>
      <c r="JH190" s="505"/>
      <c r="JI190" s="505"/>
      <c r="JJ190" s="505"/>
      <c r="JK190" s="505"/>
      <c r="JL190" s="505"/>
      <c r="JM190" s="505"/>
      <c r="JN190" s="505"/>
      <c r="JO190" s="505"/>
      <c r="JP190" s="505"/>
      <c r="JQ190" s="505"/>
      <c r="JR190" s="100"/>
      <c r="JS190" s="100"/>
      <c r="JT190" s="505"/>
      <c r="JU190" s="505"/>
      <c r="JV190" s="505"/>
      <c r="JW190" s="505"/>
      <c r="JX190" s="505"/>
      <c r="JY190" s="505"/>
      <c r="JZ190" s="505"/>
      <c r="KA190" s="505"/>
      <c r="KB190" s="505"/>
      <c r="KC190" s="505"/>
      <c r="KD190" s="505"/>
      <c r="KE190" s="505"/>
      <c r="KF190" s="505"/>
      <c r="KG190" s="505"/>
      <c r="KH190" s="505"/>
      <c r="KI190" s="505"/>
      <c r="KJ190" s="505"/>
    </row>
    <row r="191" spans="1:296" ht="12" customHeight="1">
      <c r="A191" s="14" t="s">
        <v>1870</v>
      </c>
      <c r="B191" s="14" t="s">
        <v>599</v>
      </c>
      <c r="K191" s="14" t="s">
        <v>555</v>
      </c>
      <c r="L191" s="14" t="s">
        <v>1925</v>
      </c>
    </row>
    <row r="192" spans="1:296" ht="145.5" customHeight="1">
      <c r="A192" s="2980" t="s">
        <v>4754</v>
      </c>
      <c r="B192" s="2981"/>
      <c r="C192" s="2981"/>
      <c r="D192" s="2981"/>
      <c r="E192" s="2981"/>
      <c r="F192" s="2981"/>
      <c r="G192" s="2981"/>
      <c r="H192" s="2981"/>
      <c r="I192" s="2981"/>
      <c r="J192" s="2982"/>
      <c r="K192" s="2983"/>
      <c r="L192" s="2984"/>
      <c r="M192" s="2984"/>
      <c r="N192" s="2984"/>
      <c r="O192" s="2984"/>
      <c r="P192" s="2985"/>
      <c r="Q192" s="3271"/>
      <c r="U192" s="2291" t="s">
        <v>2811</v>
      </c>
      <c r="V192" s="229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5"/>
      <c r="EY197" s="505"/>
      <c r="EZ197" s="505"/>
      <c r="FA197" s="505"/>
      <c r="FB197" s="505"/>
      <c r="FC197" s="505"/>
      <c r="FD197" s="505"/>
      <c r="FE197" s="505"/>
      <c r="FF197" s="505"/>
      <c r="FG197" s="505"/>
      <c r="FH197" s="505"/>
      <c r="FI197" s="505"/>
      <c r="FJ197" s="505"/>
      <c r="FK197" s="505"/>
      <c r="FL197" s="505"/>
      <c r="FM197" s="505"/>
      <c r="FN197" s="505"/>
      <c r="FO197" s="505"/>
      <c r="FP197" s="505"/>
      <c r="FQ197" s="505"/>
      <c r="FR197" s="505"/>
      <c r="FS197" s="505"/>
      <c r="FT197" s="505"/>
      <c r="FU197" s="505"/>
      <c r="FV197" s="505"/>
      <c r="FW197" s="505"/>
      <c r="FX197" s="505"/>
      <c r="FY197" s="505"/>
      <c r="FZ197" s="505"/>
      <c r="GA197" s="505"/>
      <c r="GB197" s="505"/>
      <c r="GC197" s="505"/>
      <c r="GD197" s="505"/>
      <c r="GE197" s="505"/>
      <c r="GF197" s="505"/>
      <c r="GG197" s="505"/>
      <c r="GH197" s="505"/>
      <c r="GI197" s="505"/>
      <c r="GJ197" s="505"/>
      <c r="GK197" s="505"/>
      <c r="GL197" s="505"/>
      <c r="GM197" s="505"/>
      <c r="GN197" s="505"/>
      <c r="GO197" s="505"/>
      <c r="GP197" s="505"/>
      <c r="GQ197" s="505"/>
      <c r="GR197" s="505"/>
      <c r="GS197" s="505"/>
      <c r="GT197" s="506"/>
      <c r="GU197" s="505"/>
      <c r="GV197" s="505"/>
      <c r="GW197" s="505"/>
      <c r="GX197" s="505"/>
      <c r="GY197" s="506"/>
      <c r="GZ197" s="506"/>
      <c r="HA197" s="506"/>
      <c r="HB197" s="506"/>
      <c r="HC197" s="506"/>
      <c r="HD197" s="506"/>
      <c r="HE197" s="506"/>
      <c r="HF197" s="506"/>
      <c r="HG197" s="506"/>
      <c r="HH197" s="506"/>
      <c r="HI197" s="506"/>
      <c r="HJ197" s="506"/>
      <c r="HK197" s="506"/>
      <c r="HL197" s="506"/>
      <c r="HM197" s="506"/>
      <c r="HN197" s="506"/>
      <c r="HO197" s="506"/>
      <c r="HP197" s="506"/>
      <c r="HQ197" s="506"/>
      <c r="HR197" s="506"/>
      <c r="HS197" s="506"/>
      <c r="HT197" s="506"/>
      <c r="HU197" s="506"/>
      <c r="HV197" s="506"/>
      <c r="HW197" s="506"/>
      <c r="HX197" s="506"/>
      <c r="HY197" s="506"/>
      <c r="HZ197" s="506"/>
      <c r="IA197" s="506"/>
      <c r="IB197" s="506"/>
      <c r="IC197" s="506"/>
      <c r="ID197" s="506"/>
      <c r="IE197" s="505"/>
      <c r="IF197" s="505"/>
      <c r="IG197" s="505"/>
      <c r="IH197" s="505"/>
      <c r="II197" s="505"/>
      <c r="IJ197" s="505"/>
      <c r="IK197" s="507"/>
      <c r="IL197" s="505"/>
      <c r="IM197" s="505"/>
      <c r="IN197" s="505"/>
      <c r="IO197" s="505"/>
      <c r="IP197" s="505"/>
      <c r="IQ197" s="505"/>
      <c r="IR197" s="505"/>
      <c r="IS197" s="505"/>
      <c r="IT197" s="505"/>
      <c r="IU197" s="505"/>
      <c r="IV197" s="505"/>
      <c r="IW197" s="505"/>
      <c r="IX197" s="505"/>
      <c r="IY197" s="505"/>
      <c r="IZ197" s="505"/>
      <c r="JA197" s="507"/>
      <c r="JB197" s="507"/>
      <c r="JC197" s="505"/>
      <c r="JD197" s="505"/>
      <c r="JE197" s="505"/>
      <c r="JF197" s="505"/>
      <c r="JG197" s="505"/>
      <c r="JH197" s="505"/>
      <c r="JI197" s="505"/>
      <c r="JJ197" s="505"/>
      <c r="JK197" s="505"/>
      <c r="JL197" s="505"/>
      <c r="JM197" s="505"/>
      <c r="JN197" s="505"/>
      <c r="JO197" s="505"/>
      <c r="JP197" s="505"/>
      <c r="JQ197" s="505"/>
      <c r="JR197" s="100"/>
      <c r="JS197" s="100"/>
      <c r="JT197" s="505"/>
      <c r="JU197" s="505"/>
      <c r="JV197" s="505"/>
      <c r="JW197" s="505"/>
      <c r="JX197" s="505"/>
      <c r="JY197" s="505"/>
      <c r="JZ197" s="505"/>
      <c r="KA197" s="505"/>
      <c r="KB197" s="505"/>
      <c r="KC197" s="505"/>
      <c r="KD197" s="505"/>
      <c r="KE197" s="505"/>
      <c r="KF197" s="505"/>
      <c r="KG197" s="505"/>
      <c r="KH197" s="505"/>
      <c r="KI197" s="505"/>
      <c r="KJ197" s="505"/>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5"/>
      <c r="EY198" s="505"/>
      <c r="EZ198" s="505"/>
      <c r="FA198" s="505"/>
      <c r="FB198" s="505"/>
      <c r="FC198" s="505"/>
      <c r="FD198" s="505"/>
      <c r="FE198" s="505"/>
      <c r="FF198" s="505"/>
      <c r="FG198" s="505"/>
      <c r="FH198" s="505"/>
      <c r="FI198" s="505"/>
      <c r="FJ198" s="505"/>
      <c r="FK198" s="505"/>
      <c r="FL198" s="505"/>
      <c r="FM198" s="505"/>
      <c r="FN198" s="505"/>
      <c r="FO198" s="505"/>
      <c r="FP198" s="505"/>
      <c r="FQ198" s="505"/>
      <c r="FR198" s="505"/>
      <c r="FS198" s="505"/>
      <c r="FT198" s="505"/>
      <c r="FU198" s="505"/>
      <c r="FV198" s="505"/>
      <c r="FW198" s="505"/>
      <c r="FX198" s="505"/>
      <c r="FY198" s="505"/>
      <c r="FZ198" s="505"/>
      <c r="GA198" s="505"/>
      <c r="GB198" s="505"/>
      <c r="GC198" s="505"/>
      <c r="GD198" s="505"/>
      <c r="GE198" s="505"/>
      <c r="GF198" s="505"/>
      <c r="GG198" s="505"/>
      <c r="GH198" s="505"/>
      <c r="GI198" s="505"/>
      <c r="GJ198" s="505"/>
      <c r="GK198" s="505"/>
      <c r="GL198" s="505"/>
      <c r="GM198" s="505"/>
      <c r="GN198" s="505"/>
      <c r="GO198" s="505"/>
      <c r="GP198" s="505"/>
      <c r="GQ198" s="505"/>
      <c r="GR198" s="505"/>
      <c r="GS198" s="505"/>
      <c r="GT198" s="506"/>
      <c r="GU198" s="505"/>
      <c r="GV198" s="505"/>
      <c r="GW198" s="505"/>
      <c r="GX198" s="505"/>
      <c r="GY198" s="506"/>
      <c r="GZ198" s="506"/>
      <c r="HA198" s="506"/>
      <c r="HB198" s="506"/>
      <c r="HC198" s="506"/>
      <c r="HD198" s="506"/>
      <c r="HE198" s="506"/>
      <c r="HF198" s="506"/>
      <c r="HG198" s="506"/>
      <c r="HH198" s="506"/>
      <c r="HI198" s="506"/>
      <c r="HJ198" s="506"/>
      <c r="HK198" s="506"/>
      <c r="HL198" s="506"/>
      <c r="HM198" s="506"/>
      <c r="HN198" s="506"/>
      <c r="HO198" s="506"/>
      <c r="HP198" s="506"/>
      <c r="HQ198" s="506"/>
      <c r="HR198" s="506"/>
      <c r="HS198" s="506"/>
      <c r="HT198" s="506"/>
      <c r="HU198" s="506"/>
      <c r="HV198" s="506"/>
      <c r="HW198" s="506"/>
      <c r="HX198" s="506"/>
      <c r="HY198" s="506"/>
      <c r="HZ198" s="506"/>
      <c r="IA198" s="506"/>
      <c r="IB198" s="506"/>
      <c r="IC198" s="506"/>
      <c r="ID198" s="506"/>
      <c r="IE198" s="505"/>
      <c r="IF198" s="505"/>
      <c r="IG198" s="505"/>
      <c r="IH198" s="505"/>
      <c r="II198" s="505"/>
      <c r="IJ198" s="505"/>
      <c r="IK198" s="507"/>
      <c r="IL198" s="505"/>
      <c r="IM198" s="505"/>
      <c r="IN198" s="505"/>
      <c r="IO198" s="505"/>
      <c r="IP198" s="505"/>
      <c r="IQ198" s="505"/>
      <c r="IR198" s="505"/>
      <c r="IS198" s="505"/>
      <c r="IT198" s="505"/>
      <c r="IU198" s="505"/>
      <c r="IV198" s="505"/>
      <c r="IW198" s="505"/>
      <c r="IX198" s="505"/>
      <c r="IY198" s="505"/>
      <c r="IZ198" s="505"/>
      <c r="JA198" s="507"/>
      <c r="JB198" s="507"/>
      <c r="JC198" s="505"/>
      <c r="JD198" s="505"/>
      <c r="JE198" s="505"/>
      <c r="JF198" s="505"/>
      <c r="JG198" s="505"/>
      <c r="JH198" s="505"/>
      <c r="JI198" s="505"/>
      <c r="JJ198" s="505"/>
      <c r="JK198" s="505"/>
      <c r="JL198" s="505"/>
      <c r="JM198" s="505"/>
      <c r="JN198" s="505"/>
      <c r="JO198" s="505"/>
      <c r="JP198" s="505"/>
      <c r="JQ198" s="505"/>
      <c r="JR198" s="100"/>
      <c r="JS198" s="100"/>
      <c r="JT198" s="505"/>
      <c r="JU198" s="505"/>
      <c r="JV198" s="505"/>
      <c r="JW198" s="505"/>
      <c r="JX198" s="505"/>
      <c r="JY198" s="505"/>
      <c r="JZ198" s="505"/>
      <c r="KA198" s="505"/>
      <c r="KB198" s="505"/>
      <c r="KC198" s="505"/>
      <c r="KD198" s="505"/>
      <c r="KE198" s="505"/>
      <c r="KF198" s="505"/>
      <c r="KG198" s="505"/>
      <c r="KH198" s="505"/>
      <c r="KI198" s="505"/>
      <c r="KJ198" s="505"/>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5"/>
      <c r="EY199" s="505"/>
      <c r="EZ199" s="505"/>
      <c r="FA199" s="505"/>
      <c r="FB199" s="505"/>
      <c r="FC199" s="505"/>
      <c r="FD199" s="505"/>
      <c r="FE199" s="505"/>
      <c r="FF199" s="505"/>
      <c r="FG199" s="505"/>
      <c r="FH199" s="505"/>
      <c r="FI199" s="505"/>
      <c r="FJ199" s="505"/>
      <c r="FK199" s="505"/>
      <c r="FL199" s="505"/>
      <c r="FM199" s="505"/>
      <c r="FN199" s="505"/>
      <c r="FO199" s="505"/>
      <c r="FP199" s="505"/>
      <c r="FQ199" s="505"/>
      <c r="FR199" s="505"/>
      <c r="FS199" s="505"/>
      <c r="FT199" s="505"/>
      <c r="FU199" s="505"/>
      <c r="FV199" s="505"/>
      <c r="FW199" s="505"/>
      <c r="FX199" s="505"/>
      <c r="FY199" s="505"/>
      <c r="FZ199" s="505"/>
      <c r="GA199" s="505"/>
      <c r="GB199" s="505"/>
      <c r="GC199" s="505"/>
      <c r="GD199" s="505"/>
      <c r="GE199" s="505"/>
      <c r="GF199" s="505"/>
      <c r="GG199" s="505"/>
      <c r="GH199" s="505"/>
      <c r="GI199" s="505"/>
      <c r="GJ199" s="505"/>
      <c r="GK199" s="505"/>
      <c r="GL199" s="505"/>
      <c r="GM199" s="505"/>
      <c r="GN199" s="505"/>
      <c r="GO199" s="505"/>
      <c r="GP199" s="505"/>
      <c r="GQ199" s="505"/>
      <c r="GR199" s="505"/>
      <c r="GS199" s="505"/>
      <c r="GT199" s="506"/>
      <c r="GU199" s="505"/>
      <c r="GV199" s="505"/>
      <c r="GW199" s="505"/>
      <c r="GX199" s="505"/>
      <c r="GY199" s="506"/>
      <c r="GZ199" s="506"/>
      <c r="HA199" s="506"/>
      <c r="HB199" s="506"/>
      <c r="HC199" s="506"/>
      <c r="HD199" s="506"/>
      <c r="HE199" s="506"/>
      <c r="HF199" s="506"/>
      <c r="HG199" s="506"/>
      <c r="HH199" s="506"/>
      <c r="HI199" s="506"/>
      <c r="HJ199" s="506"/>
      <c r="HK199" s="506"/>
      <c r="HL199" s="506"/>
      <c r="HM199" s="506"/>
      <c r="HN199" s="506"/>
      <c r="HO199" s="506"/>
      <c r="HP199" s="506"/>
      <c r="HQ199" s="506"/>
      <c r="HR199" s="506"/>
      <c r="HS199" s="506"/>
      <c r="HT199" s="506"/>
      <c r="HU199" s="506"/>
      <c r="HV199" s="506"/>
      <c r="HW199" s="506"/>
      <c r="HX199" s="506"/>
      <c r="HY199" s="506"/>
      <c r="HZ199" s="506"/>
      <c r="IA199" s="506"/>
      <c r="IB199" s="506"/>
      <c r="IC199" s="506"/>
      <c r="ID199" s="506"/>
      <c r="IE199" s="505"/>
      <c r="IF199" s="505"/>
      <c r="IG199" s="505"/>
      <c r="IH199" s="505"/>
      <c r="II199" s="505"/>
      <c r="IJ199" s="505"/>
      <c r="IK199" s="507"/>
      <c r="IL199" s="505"/>
      <c r="IM199" s="505"/>
      <c r="IN199" s="505"/>
      <c r="IO199" s="505"/>
      <c r="IP199" s="505"/>
      <c r="IQ199" s="505"/>
      <c r="IR199" s="505"/>
      <c r="IS199" s="505"/>
      <c r="IT199" s="505"/>
      <c r="IU199" s="505"/>
      <c r="IV199" s="505"/>
      <c r="IW199" s="505"/>
      <c r="IX199" s="505"/>
      <c r="IY199" s="505"/>
      <c r="IZ199" s="505"/>
      <c r="JA199" s="507"/>
      <c r="JB199" s="507"/>
      <c r="JC199" s="505"/>
      <c r="JD199" s="505"/>
      <c r="JE199" s="505"/>
      <c r="JF199" s="505"/>
      <c r="JG199" s="505"/>
      <c r="JH199" s="505"/>
      <c r="JI199" s="505"/>
      <c r="JJ199" s="505"/>
      <c r="JK199" s="505"/>
      <c r="JL199" s="505"/>
      <c r="JM199" s="505"/>
      <c r="JN199" s="505"/>
      <c r="JO199" s="505"/>
      <c r="JP199" s="505"/>
      <c r="JQ199" s="505"/>
      <c r="JR199" s="100"/>
      <c r="JS199" s="100"/>
      <c r="JT199" s="505"/>
      <c r="JU199" s="505"/>
      <c r="JV199" s="505"/>
      <c r="JW199" s="505"/>
      <c r="JX199" s="505"/>
      <c r="JY199" s="505"/>
      <c r="JZ199" s="505"/>
      <c r="KA199" s="505"/>
      <c r="KB199" s="505"/>
      <c r="KC199" s="505"/>
      <c r="KD199" s="505"/>
      <c r="KE199" s="505"/>
      <c r="KF199" s="505"/>
      <c r="KG199" s="505"/>
      <c r="KH199" s="505"/>
      <c r="KI199" s="505"/>
      <c r="KJ199" s="505"/>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5"/>
      <c r="EY200" s="505"/>
      <c r="EZ200" s="505"/>
      <c r="FA200" s="505"/>
      <c r="FB200" s="505"/>
      <c r="FC200" s="505"/>
      <c r="FD200" s="505"/>
      <c r="FE200" s="505"/>
      <c r="FF200" s="505"/>
      <c r="FG200" s="505"/>
      <c r="FH200" s="505"/>
      <c r="FI200" s="505"/>
      <c r="FJ200" s="505"/>
      <c r="FK200" s="505"/>
      <c r="FL200" s="505"/>
      <c r="FM200" s="505"/>
      <c r="FN200" s="505"/>
      <c r="FO200" s="505"/>
      <c r="FP200" s="505"/>
      <c r="FQ200" s="505"/>
      <c r="FR200" s="505"/>
      <c r="FS200" s="505"/>
      <c r="FT200" s="505"/>
      <c r="FU200" s="505"/>
      <c r="FV200" s="505"/>
      <c r="FW200" s="505"/>
      <c r="FX200" s="505"/>
      <c r="FY200" s="505"/>
      <c r="FZ200" s="505"/>
      <c r="GA200" s="505"/>
      <c r="GB200" s="505"/>
      <c r="GC200" s="505"/>
      <c r="GD200" s="505"/>
      <c r="GE200" s="505"/>
      <c r="GF200" s="505"/>
      <c r="GG200" s="505"/>
      <c r="GH200" s="505"/>
      <c r="GI200" s="505"/>
      <c r="GJ200" s="505"/>
      <c r="GK200" s="505"/>
      <c r="GL200" s="505"/>
      <c r="GM200" s="505"/>
      <c r="GN200" s="505"/>
      <c r="GO200" s="505"/>
      <c r="GP200" s="505"/>
      <c r="GQ200" s="505"/>
      <c r="GR200" s="505"/>
      <c r="GS200" s="505"/>
      <c r="GT200" s="506"/>
      <c r="GU200" s="505"/>
      <c r="GV200" s="505"/>
      <c r="GW200" s="505"/>
      <c r="GX200" s="505"/>
      <c r="GY200" s="506"/>
      <c r="GZ200" s="506"/>
      <c r="HA200" s="506"/>
      <c r="HB200" s="506"/>
      <c r="HC200" s="506"/>
      <c r="HD200" s="506"/>
      <c r="HE200" s="506"/>
      <c r="HF200" s="506"/>
      <c r="HG200" s="506"/>
      <c r="HH200" s="506"/>
      <c r="HI200" s="506"/>
      <c r="HJ200" s="506"/>
      <c r="HK200" s="506"/>
      <c r="HL200" s="506"/>
      <c r="HM200" s="506"/>
      <c r="HN200" s="506"/>
      <c r="HO200" s="506"/>
      <c r="HP200" s="506"/>
      <c r="HQ200" s="506"/>
      <c r="HR200" s="506"/>
      <c r="HS200" s="506"/>
      <c r="HT200" s="506"/>
      <c r="HU200" s="506"/>
      <c r="HV200" s="506"/>
      <c r="HW200" s="506"/>
      <c r="HX200" s="506"/>
      <c r="HY200" s="506"/>
      <c r="HZ200" s="506"/>
      <c r="IA200" s="506"/>
      <c r="IB200" s="506"/>
      <c r="IC200" s="506"/>
      <c r="ID200" s="506"/>
      <c r="IE200" s="505"/>
      <c r="IF200" s="505"/>
      <c r="IG200" s="505"/>
      <c r="IH200" s="505"/>
      <c r="II200" s="505"/>
      <c r="IJ200" s="505"/>
      <c r="IK200" s="507"/>
      <c r="IL200" s="505"/>
      <c r="IM200" s="505"/>
      <c r="IN200" s="505"/>
      <c r="IO200" s="505"/>
      <c r="IP200" s="505"/>
      <c r="IQ200" s="505"/>
      <c r="IR200" s="505"/>
      <c r="IS200" s="505"/>
      <c r="IT200" s="505"/>
      <c r="IU200" s="505"/>
      <c r="IV200" s="505"/>
      <c r="IW200" s="505"/>
      <c r="IX200" s="505"/>
      <c r="IY200" s="505"/>
      <c r="IZ200" s="505"/>
      <c r="JA200" s="507"/>
      <c r="JB200" s="507"/>
      <c r="JC200" s="505"/>
      <c r="JD200" s="505"/>
      <c r="JE200" s="505"/>
      <c r="JF200" s="505"/>
      <c r="JG200" s="505"/>
      <c r="JH200" s="505"/>
      <c r="JI200" s="505"/>
      <c r="JJ200" s="505"/>
      <c r="JK200" s="505"/>
      <c r="JL200" s="505"/>
      <c r="JM200" s="505"/>
      <c r="JN200" s="505"/>
      <c r="JO200" s="505"/>
      <c r="JP200" s="505"/>
      <c r="JQ200" s="505"/>
      <c r="JR200" s="100"/>
      <c r="JS200" s="100"/>
      <c r="JT200" s="505"/>
      <c r="JU200" s="505"/>
      <c r="JV200" s="505"/>
      <c r="JW200" s="505"/>
      <c r="JX200" s="505"/>
      <c r="JY200" s="505"/>
      <c r="JZ200" s="505"/>
      <c r="KA200" s="505"/>
      <c r="KB200" s="505"/>
      <c r="KC200" s="505"/>
      <c r="KD200" s="505"/>
      <c r="KE200" s="505"/>
      <c r="KF200" s="505"/>
      <c r="KG200" s="505"/>
      <c r="KH200" s="505"/>
      <c r="KI200" s="505"/>
      <c r="KJ200" s="505"/>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5"/>
      <c r="EY201" s="505"/>
      <c r="EZ201" s="505"/>
      <c r="FA201" s="505"/>
      <c r="FB201" s="505"/>
      <c r="FC201" s="505"/>
      <c r="FD201" s="505"/>
      <c r="FE201" s="505"/>
      <c r="FF201" s="505"/>
      <c r="FG201" s="505"/>
      <c r="FH201" s="505"/>
      <c r="FI201" s="505"/>
      <c r="FJ201" s="505"/>
      <c r="FK201" s="505"/>
      <c r="FL201" s="505"/>
      <c r="FM201" s="505"/>
      <c r="FN201" s="505"/>
      <c r="FO201" s="505"/>
      <c r="FP201" s="505"/>
      <c r="FQ201" s="505"/>
      <c r="FR201" s="505"/>
      <c r="FS201" s="505"/>
      <c r="FT201" s="505"/>
      <c r="FU201" s="505"/>
      <c r="FV201" s="505"/>
      <c r="FW201" s="505"/>
      <c r="FX201" s="505"/>
      <c r="FY201" s="505"/>
      <c r="FZ201" s="505"/>
      <c r="GA201" s="505"/>
      <c r="GB201" s="505"/>
      <c r="GC201" s="505"/>
      <c r="GD201" s="505"/>
      <c r="GE201" s="505"/>
      <c r="GF201" s="505"/>
      <c r="GG201" s="505"/>
      <c r="GH201" s="505"/>
      <c r="GI201" s="505"/>
      <c r="GJ201" s="505"/>
      <c r="GK201" s="505"/>
      <c r="GL201" s="505"/>
      <c r="GM201" s="505"/>
      <c r="GN201" s="505"/>
      <c r="GO201" s="505"/>
      <c r="GP201" s="505"/>
      <c r="GQ201" s="505"/>
      <c r="GR201" s="505"/>
      <c r="GS201" s="505"/>
      <c r="GT201" s="506"/>
      <c r="GU201" s="505"/>
      <c r="GV201" s="505"/>
      <c r="GW201" s="505"/>
      <c r="GX201" s="505"/>
      <c r="GY201" s="506"/>
      <c r="GZ201" s="506"/>
      <c r="HA201" s="506"/>
      <c r="HB201" s="506"/>
      <c r="HC201" s="506"/>
      <c r="HD201" s="506"/>
      <c r="HE201" s="506"/>
      <c r="HF201" s="506"/>
      <c r="HG201" s="506"/>
      <c r="HH201" s="506"/>
      <c r="HI201" s="506"/>
      <c r="HJ201" s="506"/>
      <c r="HK201" s="506"/>
      <c r="HL201" s="506"/>
      <c r="HM201" s="506"/>
      <c r="HN201" s="506"/>
      <c r="HO201" s="506"/>
      <c r="HP201" s="506"/>
      <c r="HQ201" s="506"/>
      <c r="HR201" s="506"/>
      <c r="HS201" s="506"/>
      <c r="HT201" s="506"/>
      <c r="HU201" s="506"/>
      <c r="HV201" s="506"/>
      <c r="HW201" s="506"/>
      <c r="HX201" s="506"/>
      <c r="HY201" s="506"/>
      <c r="HZ201" s="506"/>
      <c r="IA201" s="506"/>
      <c r="IB201" s="506"/>
      <c r="IC201" s="506"/>
      <c r="ID201" s="506"/>
      <c r="IE201" s="505"/>
      <c r="IF201" s="505"/>
      <c r="IG201" s="505"/>
      <c r="IH201" s="505"/>
      <c r="II201" s="505"/>
      <c r="IJ201" s="505"/>
      <c r="IK201" s="507"/>
      <c r="IL201" s="505"/>
      <c r="IM201" s="505"/>
      <c r="IN201" s="505"/>
      <c r="IO201" s="505"/>
      <c r="IP201" s="505"/>
      <c r="IQ201" s="505"/>
      <c r="IR201" s="505"/>
      <c r="IS201" s="505"/>
      <c r="IT201" s="505"/>
      <c r="IU201" s="505"/>
      <c r="IV201" s="505"/>
      <c r="IW201" s="505"/>
      <c r="IX201" s="505"/>
      <c r="IY201" s="505"/>
      <c r="IZ201" s="505"/>
      <c r="JA201" s="507"/>
      <c r="JB201" s="507"/>
      <c r="JC201" s="505"/>
      <c r="JD201" s="505"/>
      <c r="JE201" s="505"/>
      <c r="JF201" s="505"/>
      <c r="JG201" s="505"/>
      <c r="JH201" s="505"/>
      <c r="JI201" s="505"/>
      <c r="JJ201" s="505"/>
      <c r="JK201" s="505"/>
      <c r="JL201" s="505"/>
      <c r="JM201" s="505"/>
      <c r="JN201" s="505"/>
      <c r="JO201" s="505"/>
      <c r="JP201" s="505"/>
      <c r="JQ201" s="505"/>
      <c r="JR201" s="100"/>
      <c r="JS201" s="100"/>
      <c r="JT201" s="505"/>
      <c r="JU201" s="505"/>
      <c r="JV201" s="505"/>
      <c r="JW201" s="505"/>
      <c r="JX201" s="505"/>
      <c r="JY201" s="505"/>
      <c r="JZ201" s="505"/>
      <c r="KA201" s="505"/>
      <c r="KB201" s="505"/>
      <c r="KC201" s="505"/>
      <c r="KD201" s="505"/>
      <c r="KE201" s="505"/>
      <c r="KF201" s="505"/>
      <c r="KG201" s="505"/>
      <c r="KH201" s="505"/>
      <c r="KI201" s="505"/>
      <c r="KJ201" s="505"/>
    </row>
    <row r="202" spans="1:296" s="96" customFormat="1" ht="13.9" customHeight="1">
      <c r="A202" s="202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5"/>
      <c r="EY202" s="505"/>
      <c r="EZ202" s="505"/>
      <c r="FA202" s="505"/>
      <c r="FB202" s="505"/>
      <c r="FC202" s="505"/>
      <c r="FD202" s="505"/>
      <c r="FE202" s="505"/>
      <c r="FF202" s="505"/>
      <c r="FG202" s="505"/>
      <c r="FH202" s="505"/>
      <c r="FI202" s="505"/>
      <c r="FJ202" s="505"/>
      <c r="FK202" s="505"/>
      <c r="FL202" s="505"/>
      <c r="FM202" s="505"/>
      <c r="FN202" s="505"/>
      <c r="FO202" s="505"/>
      <c r="FP202" s="505"/>
      <c r="FQ202" s="505"/>
      <c r="FR202" s="505"/>
      <c r="FS202" s="505"/>
      <c r="FT202" s="505"/>
      <c r="FU202" s="505"/>
      <c r="FV202" s="505"/>
      <c r="FW202" s="505"/>
      <c r="FX202" s="505"/>
      <c r="FY202" s="505"/>
      <c r="FZ202" s="505"/>
      <c r="GA202" s="505"/>
      <c r="GB202" s="505"/>
      <c r="GC202" s="505"/>
      <c r="GD202" s="505"/>
      <c r="GE202" s="505"/>
      <c r="GF202" s="505"/>
      <c r="GG202" s="505"/>
      <c r="GH202" s="505"/>
      <c r="GI202" s="505"/>
      <c r="GJ202" s="505"/>
      <c r="GK202" s="505"/>
      <c r="GL202" s="505"/>
      <c r="GM202" s="505"/>
      <c r="GN202" s="505"/>
      <c r="GO202" s="505"/>
      <c r="GP202" s="505"/>
      <c r="GQ202" s="505"/>
      <c r="GR202" s="505"/>
      <c r="GS202" s="505"/>
      <c r="GT202" s="506"/>
      <c r="GU202" s="505"/>
      <c r="GV202" s="505"/>
      <c r="GW202" s="505"/>
      <c r="GX202" s="505"/>
      <c r="GY202" s="506"/>
      <c r="GZ202" s="506"/>
      <c r="HA202" s="506"/>
      <c r="HB202" s="506"/>
      <c r="HC202" s="506"/>
      <c r="HD202" s="506"/>
      <c r="HE202" s="506"/>
      <c r="HF202" s="506"/>
      <c r="HG202" s="506"/>
      <c r="HH202" s="506"/>
      <c r="HI202" s="506"/>
      <c r="HJ202" s="506"/>
      <c r="HK202" s="506"/>
      <c r="HL202" s="506"/>
      <c r="HM202" s="506"/>
      <c r="HN202" s="506"/>
      <c r="HO202" s="506"/>
      <c r="HP202" s="506"/>
      <c r="HQ202" s="506"/>
      <c r="HR202" s="506"/>
      <c r="HS202" s="506"/>
      <c r="HT202" s="506"/>
      <c r="HU202" s="506"/>
      <c r="HV202" s="506"/>
      <c r="HW202" s="506"/>
      <c r="HX202" s="506"/>
      <c r="HY202" s="506"/>
      <c r="HZ202" s="506"/>
      <c r="IA202" s="506"/>
      <c r="IB202" s="506"/>
      <c r="IC202" s="506"/>
      <c r="ID202" s="506"/>
      <c r="IE202" s="505"/>
      <c r="IF202" s="505"/>
      <c r="IG202" s="505"/>
      <c r="IH202" s="505"/>
      <c r="II202" s="505"/>
      <c r="IJ202" s="505"/>
      <c r="IK202" s="507"/>
      <c r="IL202" s="505"/>
      <c r="IM202" s="505"/>
      <c r="IN202" s="505"/>
      <c r="IO202" s="505"/>
      <c r="IP202" s="505"/>
      <c r="IQ202" s="505"/>
      <c r="IR202" s="505"/>
      <c r="IS202" s="505"/>
      <c r="IT202" s="505"/>
      <c r="IU202" s="505"/>
      <c r="IV202" s="505"/>
      <c r="IW202" s="505"/>
      <c r="IX202" s="505"/>
      <c r="IY202" s="505"/>
      <c r="IZ202" s="505"/>
      <c r="JA202" s="507"/>
      <c r="JB202" s="507"/>
      <c r="JC202" s="505"/>
      <c r="JD202" s="505"/>
      <c r="JE202" s="505"/>
      <c r="JF202" s="505"/>
      <c r="JG202" s="505"/>
      <c r="JH202" s="505"/>
      <c r="JI202" s="505"/>
      <c r="JJ202" s="505"/>
      <c r="JK202" s="505"/>
      <c r="JL202" s="505"/>
      <c r="JM202" s="505"/>
      <c r="JN202" s="505"/>
      <c r="JO202" s="505"/>
      <c r="JP202" s="505"/>
      <c r="JQ202" s="505"/>
      <c r="JR202" s="100"/>
      <c r="JS202" s="100"/>
      <c r="JT202" s="505"/>
      <c r="JU202" s="505"/>
      <c r="JV202" s="505"/>
      <c r="JW202" s="505"/>
      <c r="JX202" s="505"/>
      <c r="JY202" s="505"/>
      <c r="JZ202" s="505"/>
      <c r="KA202" s="505"/>
      <c r="KB202" s="505"/>
      <c r="KC202" s="505"/>
      <c r="KD202" s="505"/>
      <c r="KE202" s="505"/>
      <c r="KF202" s="505"/>
      <c r="KG202" s="505"/>
      <c r="KH202" s="505"/>
      <c r="KI202" s="505"/>
      <c r="KJ202" s="505"/>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5"/>
      <c r="EY203" s="505"/>
      <c r="EZ203" s="505"/>
      <c r="FA203" s="505"/>
      <c r="FB203" s="505"/>
      <c r="FC203" s="505"/>
      <c r="FD203" s="505"/>
      <c r="FE203" s="505"/>
      <c r="FF203" s="505"/>
      <c r="FG203" s="505"/>
      <c r="FH203" s="505"/>
      <c r="FI203" s="505"/>
      <c r="FJ203" s="505"/>
      <c r="FK203" s="505"/>
      <c r="FL203" s="505"/>
      <c r="FM203" s="505"/>
      <c r="FN203" s="505"/>
      <c r="FO203" s="505"/>
      <c r="FP203" s="505"/>
      <c r="FQ203" s="505"/>
      <c r="FR203" s="505"/>
      <c r="FS203" s="505"/>
      <c r="FT203" s="505"/>
      <c r="FU203" s="505"/>
      <c r="FV203" s="505"/>
      <c r="FW203" s="505"/>
      <c r="FX203" s="505"/>
      <c r="FY203" s="505"/>
      <c r="FZ203" s="505"/>
      <c r="GA203" s="505"/>
      <c r="GB203" s="505"/>
      <c r="GC203" s="505"/>
      <c r="GD203" s="505"/>
      <c r="GE203" s="505"/>
      <c r="GF203" s="505"/>
      <c r="GG203" s="505"/>
      <c r="GH203" s="505"/>
      <c r="GI203" s="505"/>
      <c r="GJ203" s="505"/>
      <c r="GK203" s="505"/>
      <c r="GL203" s="505"/>
      <c r="GM203" s="505"/>
      <c r="GN203" s="505"/>
      <c r="GO203" s="505"/>
      <c r="GP203" s="505"/>
      <c r="GQ203" s="505"/>
      <c r="GR203" s="505"/>
      <c r="GS203" s="505"/>
      <c r="GT203" s="506"/>
      <c r="GU203" s="505"/>
      <c r="GV203" s="505"/>
      <c r="GW203" s="505"/>
      <c r="GX203" s="505"/>
      <c r="GY203" s="506"/>
      <c r="GZ203" s="506"/>
      <c r="HA203" s="506"/>
      <c r="HB203" s="506"/>
      <c r="HC203" s="506"/>
      <c r="HD203" s="506"/>
      <c r="HE203" s="506"/>
      <c r="HF203" s="506"/>
      <c r="HG203" s="506"/>
      <c r="HH203" s="506"/>
      <c r="HI203" s="506"/>
      <c r="HJ203" s="506"/>
      <c r="HK203" s="506"/>
      <c r="HL203" s="506"/>
      <c r="HM203" s="506"/>
      <c r="HN203" s="506"/>
      <c r="HO203" s="506"/>
      <c r="HP203" s="506"/>
      <c r="HQ203" s="506"/>
      <c r="HR203" s="506"/>
      <c r="HS203" s="506"/>
      <c r="HT203" s="506"/>
      <c r="HU203" s="506"/>
      <c r="HV203" s="506"/>
      <c r="HW203" s="506"/>
      <c r="HX203" s="506"/>
      <c r="HY203" s="506"/>
      <c r="HZ203" s="506"/>
      <c r="IA203" s="506"/>
      <c r="IB203" s="506"/>
      <c r="IC203" s="506"/>
      <c r="ID203" s="506"/>
      <c r="IE203" s="505"/>
      <c r="IF203" s="505"/>
      <c r="IG203" s="505"/>
      <c r="IH203" s="505"/>
      <c r="II203" s="505"/>
      <c r="IJ203" s="505"/>
      <c r="IK203" s="507"/>
      <c r="IL203" s="505"/>
      <c r="IM203" s="505"/>
      <c r="IN203" s="505"/>
      <c r="IO203" s="505"/>
      <c r="IP203" s="505"/>
      <c r="IQ203" s="505"/>
      <c r="IR203" s="505"/>
      <c r="IS203" s="505"/>
      <c r="IT203" s="505"/>
      <c r="IU203" s="505"/>
      <c r="IV203" s="505"/>
      <c r="IW203" s="505"/>
      <c r="IX203" s="505"/>
      <c r="IY203" s="505"/>
      <c r="IZ203" s="505"/>
      <c r="JA203" s="507"/>
      <c r="JB203" s="507"/>
      <c r="JC203" s="505"/>
      <c r="JD203" s="505"/>
      <c r="JE203" s="505"/>
      <c r="JF203" s="505"/>
      <c r="JG203" s="505"/>
      <c r="JH203" s="505"/>
      <c r="JI203" s="505"/>
      <c r="JJ203" s="505"/>
      <c r="JK203" s="505"/>
      <c r="JL203" s="505"/>
      <c r="JM203" s="505"/>
      <c r="JN203" s="505"/>
      <c r="JO203" s="505"/>
      <c r="JP203" s="505"/>
      <c r="JQ203" s="505"/>
      <c r="JR203" s="100"/>
      <c r="JS203" s="100"/>
      <c r="JT203" s="505"/>
      <c r="JU203" s="505"/>
      <c r="JV203" s="505"/>
      <c r="JW203" s="505"/>
      <c r="JX203" s="505"/>
      <c r="JY203" s="505"/>
      <c r="JZ203" s="505"/>
      <c r="KA203" s="505"/>
      <c r="KB203" s="505"/>
      <c r="KC203" s="505"/>
      <c r="KD203" s="505"/>
      <c r="KE203" s="505"/>
      <c r="KF203" s="505"/>
      <c r="KG203" s="505"/>
      <c r="KH203" s="505"/>
      <c r="KI203" s="505"/>
      <c r="KJ203" s="505"/>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5"/>
      <c r="EY208" s="505"/>
      <c r="EZ208" s="505"/>
      <c r="FA208" s="505"/>
      <c r="FB208" s="505"/>
      <c r="FC208" s="505"/>
      <c r="FD208" s="505"/>
      <c r="FE208" s="505"/>
      <c r="FF208" s="505"/>
      <c r="FG208" s="505"/>
      <c r="FH208" s="505"/>
      <c r="FI208" s="505"/>
      <c r="FJ208" s="505"/>
      <c r="FK208" s="505"/>
      <c r="FL208" s="505"/>
      <c r="FM208" s="505"/>
      <c r="FN208" s="505"/>
      <c r="FO208" s="505"/>
      <c r="FP208" s="505"/>
      <c r="FQ208" s="505"/>
      <c r="FR208" s="505"/>
      <c r="FS208" s="505"/>
      <c r="FT208" s="505"/>
      <c r="FU208" s="505"/>
      <c r="FV208" s="505"/>
      <c r="FW208" s="505"/>
      <c r="FX208" s="505"/>
      <c r="FY208" s="505"/>
      <c r="FZ208" s="505"/>
      <c r="GA208" s="505"/>
      <c r="GB208" s="505"/>
      <c r="GC208" s="505"/>
      <c r="GD208" s="505"/>
      <c r="GE208" s="505"/>
      <c r="GF208" s="505"/>
      <c r="GG208" s="505"/>
      <c r="GH208" s="505"/>
      <c r="GI208" s="505"/>
      <c r="GJ208" s="505"/>
      <c r="GK208" s="505"/>
      <c r="GL208" s="505"/>
      <c r="GM208" s="505"/>
      <c r="GN208" s="505"/>
      <c r="GO208" s="505"/>
      <c r="GP208" s="505"/>
      <c r="GQ208" s="505"/>
      <c r="GR208" s="505"/>
      <c r="GS208" s="505"/>
      <c r="GT208" s="506"/>
      <c r="GU208" s="505"/>
      <c r="GV208" s="505"/>
      <c r="GW208" s="505"/>
      <c r="GX208" s="505"/>
      <c r="GY208" s="506"/>
      <c r="GZ208" s="506"/>
      <c r="HA208" s="506"/>
      <c r="HB208" s="506"/>
      <c r="HC208" s="506"/>
      <c r="HD208" s="506"/>
      <c r="HE208" s="506"/>
      <c r="HF208" s="506"/>
      <c r="HG208" s="506"/>
      <c r="HH208" s="506"/>
      <c r="HI208" s="506"/>
      <c r="HJ208" s="506"/>
      <c r="HK208" s="506"/>
      <c r="HL208" s="506"/>
      <c r="HM208" s="506"/>
      <c r="HN208" s="506"/>
      <c r="HO208" s="506"/>
      <c r="HP208" s="506"/>
      <c r="HQ208" s="506"/>
      <c r="HR208" s="506"/>
      <c r="HS208" s="506"/>
      <c r="HT208" s="506"/>
      <c r="HU208" s="506"/>
      <c r="HV208" s="506"/>
      <c r="HW208" s="506"/>
      <c r="HX208" s="506"/>
      <c r="HY208" s="506"/>
      <c r="HZ208" s="506"/>
      <c r="IA208" s="506"/>
      <c r="IB208" s="506"/>
      <c r="IC208" s="506"/>
      <c r="ID208" s="506"/>
      <c r="IE208" s="505"/>
      <c r="IF208" s="505"/>
      <c r="IG208" s="505"/>
      <c r="IH208" s="505"/>
      <c r="II208" s="505"/>
      <c r="IJ208" s="505"/>
      <c r="IK208" s="507"/>
      <c r="IL208" s="505"/>
      <c r="IM208" s="505"/>
      <c r="IN208" s="505"/>
      <c r="IO208" s="505"/>
      <c r="IP208" s="505"/>
      <c r="IQ208" s="505"/>
      <c r="IR208" s="505"/>
      <c r="IS208" s="505"/>
      <c r="IT208" s="505"/>
      <c r="IU208" s="505"/>
      <c r="IV208" s="505"/>
      <c r="IW208" s="505"/>
      <c r="IX208" s="505"/>
      <c r="IY208" s="505"/>
      <c r="IZ208" s="505"/>
      <c r="JA208" s="507"/>
      <c r="JB208" s="507"/>
      <c r="JC208" s="505"/>
      <c r="JD208" s="505"/>
      <c r="JE208" s="505"/>
      <c r="JF208" s="505"/>
      <c r="JG208" s="505"/>
      <c r="JH208" s="505"/>
      <c r="JI208" s="505"/>
      <c r="JJ208" s="505"/>
      <c r="JK208" s="505"/>
      <c r="JL208" s="505"/>
      <c r="JM208" s="505"/>
      <c r="JN208" s="505"/>
      <c r="JO208" s="505"/>
      <c r="JP208" s="505"/>
      <c r="JQ208" s="505"/>
      <c r="JR208" s="100"/>
      <c r="JS208" s="100"/>
      <c r="JT208" s="505"/>
      <c r="JU208" s="505"/>
      <c r="JV208" s="505"/>
      <c r="JW208" s="505"/>
      <c r="JX208" s="505"/>
      <c r="JY208" s="505"/>
      <c r="JZ208" s="505"/>
      <c r="KA208" s="505"/>
      <c r="KB208" s="505"/>
      <c r="KC208" s="505"/>
      <c r="KD208" s="505"/>
      <c r="KE208" s="505"/>
      <c r="KF208" s="505"/>
      <c r="KG208" s="505"/>
      <c r="KH208" s="505"/>
      <c r="KI208" s="505"/>
      <c r="KJ208" s="505"/>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5"/>
      <c r="EY209" s="505"/>
      <c r="EZ209" s="505"/>
      <c r="FA209" s="505"/>
      <c r="FB209" s="505"/>
      <c r="FC209" s="505"/>
      <c r="FD209" s="505"/>
      <c r="FE209" s="505"/>
      <c r="FF209" s="505"/>
      <c r="FG209" s="505"/>
      <c r="FH209" s="505"/>
      <c r="FI209" s="505"/>
      <c r="FJ209" s="505"/>
      <c r="FK209" s="505"/>
      <c r="FL209" s="505"/>
      <c r="FM209" s="505"/>
      <c r="FN209" s="505"/>
      <c r="FO209" s="505"/>
      <c r="FP209" s="505"/>
      <c r="FQ209" s="505"/>
      <c r="FR209" s="505"/>
      <c r="FS209" s="505"/>
      <c r="FT209" s="505"/>
      <c r="FU209" s="505"/>
      <c r="FV209" s="505"/>
      <c r="FW209" s="505"/>
      <c r="FX209" s="505"/>
      <c r="FY209" s="505"/>
      <c r="FZ209" s="505"/>
      <c r="GA209" s="505"/>
      <c r="GB209" s="505"/>
      <c r="GC209" s="505"/>
      <c r="GD209" s="505"/>
      <c r="GE209" s="505"/>
      <c r="GF209" s="505"/>
      <c r="GG209" s="505"/>
      <c r="GH209" s="505"/>
      <c r="GI209" s="505"/>
      <c r="GJ209" s="505"/>
      <c r="GK209" s="505"/>
      <c r="GL209" s="505"/>
      <c r="GM209" s="505"/>
      <c r="GN209" s="505"/>
      <c r="GO209" s="505"/>
      <c r="GP209" s="505"/>
      <c r="GQ209" s="505"/>
      <c r="GR209" s="505"/>
      <c r="GS209" s="505"/>
      <c r="GT209" s="506"/>
      <c r="GU209" s="505"/>
      <c r="GV209" s="505"/>
      <c r="GW209" s="505"/>
      <c r="GX209" s="505"/>
      <c r="GY209" s="506"/>
      <c r="GZ209" s="506"/>
      <c r="HA209" s="506"/>
      <c r="HB209" s="506"/>
      <c r="HC209" s="506"/>
      <c r="HD209" s="506"/>
      <c r="HE209" s="506"/>
      <c r="HF209" s="506"/>
      <c r="HG209" s="506"/>
      <c r="HH209" s="506"/>
      <c r="HI209" s="506"/>
      <c r="HJ209" s="506"/>
      <c r="HK209" s="506"/>
      <c r="HL209" s="506"/>
      <c r="HM209" s="506"/>
      <c r="HN209" s="506"/>
      <c r="HO209" s="506"/>
      <c r="HP209" s="506"/>
      <c r="HQ209" s="506"/>
      <c r="HR209" s="506"/>
      <c r="HS209" s="506"/>
      <c r="HT209" s="506"/>
      <c r="HU209" s="506"/>
      <c r="HV209" s="506"/>
      <c r="HW209" s="506"/>
      <c r="HX209" s="506"/>
      <c r="HY209" s="506"/>
      <c r="HZ209" s="506"/>
      <c r="IA209" s="506"/>
      <c r="IB209" s="506"/>
      <c r="IC209" s="506"/>
      <c r="ID209" s="506"/>
      <c r="IE209" s="505"/>
      <c r="IF209" s="505"/>
      <c r="IG209" s="505"/>
      <c r="IH209" s="505"/>
      <c r="II209" s="505"/>
      <c r="IJ209" s="505"/>
      <c r="IK209" s="507"/>
      <c r="IL209" s="505"/>
      <c r="IM209" s="505"/>
      <c r="IN209" s="505"/>
      <c r="IO209" s="505"/>
      <c r="IP209" s="505"/>
      <c r="IQ209" s="505"/>
      <c r="IR209" s="505"/>
      <c r="IS209" s="505"/>
      <c r="IT209" s="505"/>
      <c r="IU209" s="505"/>
      <c r="IV209" s="505"/>
      <c r="IW209" s="505"/>
      <c r="IX209" s="505"/>
      <c r="IY209" s="505"/>
      <c r="IZ209" s="505"/>
      <c r="JA209" s="507"/>
      <c r="JB209" s="507"/>
      <c r="JC209" s="505"/>
      <c r="JD209" s="505"/>
      <c r="JE209" s="505"/>
      <c r="JF209" s="505"/>
      <c r="JG209" s="505"/>
      <c r="JH209" s="505"/>
      <c r="JI209" s="505"/>
      <c r="JJ209" s="505"/>
      <c r="JK209" s="505"/>
      <c r="JL209" s="505"/>
      <c r="JM209" s="505"/>
      <c r="JN209" s="505"/>
      <c r="JO209" s="505"/>
      <c r="JP209" s="505"/>
      <c r="JQ209" s="505"/>
      <c r="JR209" s="100"/>
      <c r="JS209" s="100"/>
      <c r="JT209" s="505"/>
      <c r="JU209" s="505"/>
      <c r="JV209" s="505"/>
      <c r="JW209" s="505"/>
      <c r="JX209" s="505"/>
      <c r="JY209" s="505"/>
      <c r="JZ209" s="505"/>
      <c r="KA209" s="505"/>
      <c r="KB209" s="505"/>
      <c r="KC209" s="505"/>
      <c r="KD209" s="505"/>
      <c r="KE209" s="505"/>
      <c r="KF209" s="505"/>
      <c r="KG209" s="505"/>
      <c r="KH209" s="505"/>
      <c r="KI209" s="505"/>
      <c r="KJ209" s="505"/>
    </row>
    <row r="210" spans="1:296" s="96" customFormat="1" ht="13.9" customHeight="1">
      <c r="A210" s="202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5"/>
      <c r="EY210" s="505"/>
      <c r="EZ210" s="505"/>
      <c r="FA210" s="505"/>
      <c r="FB210" s="505"/>
      <c r="FC210" s="505"/>
      <c r="FD210" s="505"/>
      <c r="FE210" s="505"/>
      <c r="FF210" s="505"/>
      <c r="FG210" s="505"/>
      <c r="FH210" s="505"/>
      <c r="FI210" s="505"/>
      <c r="FJ210" s="505"/>
      <c r="FK210" s="505"/>
      <c r="FL210" s="505"/>
      <c r="FM210" s="505"/>
      <c r="FN210" s="505"/>
      <c r="FO210" s="505"/>
      <c r="FP210" s="505"/>
      <c r="FQ210" s="505"/>
      <c r="FR210" s="505"/>
      <c r="FS210" s="505"/>
      <c r="FT210" s="505"/>
      <c r="FU210" s="505"/>
      <c r="FV210" s="505"/>
      <c r="FW210" s="505"/>
      <c r="FX210" s="505"/>
      <c r="FY210" s="505"/>
      <c r="FZ210" s="505"/>
      <c r="GA210" s="505"/>
      <c r="GB210" s="505"/>
      <c r="GC210" s="505"/>
      <c r="GD210" s="505"/>
      <c r="GE210" s="505"/>
      <c r="GF210" s="505"/>
      <c r="GG210" s="505"/>
      <c r="GH210" s="505"/>
      <c r="GI210" s="505"/>
      <c r="GJ210" s="505"/>
      <c r="GK210" s="505"/>
      <c r="GL210" s="505"/>
      <c r="GM210" s="505"/>
      <c r="GN210" s="505"/>
      <c r="GO210" s="505"/>
      <c r="GP210" s="505"/>
      <c r="GQ210" s="505"/>
      <c r="GR210" s="505"/>
      <c r="GS210" s="505"/>
      <c r="GT210" s="506"/>
      <c r="GU210" s="505"/>
      <c r="GV210" s="505"/>
      <c r="GW210" s="505"/>
      <c r="GX210" s="505"/>
      <c r="GY210" s="506"/>
      <c r="GZ210" s="506"/>
      <c r="HA210" s="506"/>
      <c r="HB210" s="506"/>
      <c r="HC210" s="506"/>
      <c r="HD210" s="506"/>
      <c r="HE210" s="506"/>
      <c r="HF210" s="506"/>
      <c r="HG210" s="506"/>
      <c r="HH210" s="506"/>
      <c r="HI210" s="506"/>
      <c r="HJ210" s="506"/>
      <c r="HK210" s="506"/>
      <c r="HL210" s="506"/>
      <c r="HM210" s="506"/>
      <c r="HN210" s="506"/>
      <c r="HO210" s="506"/>
      <c r="HP210" s="506"/>
      <c r="HQ210" s="506"/>
      <c r="HR210" s="506"/>
      <c r="HS210" s="506"/>
      <c r="HT210" s="506"/>
      <c r="HU210" s="506"/>
      <c r="HV210" s="506"/>
      <c r="HW210" s="506"/>
      <c r="HX210" s="506"/>
      <c r="HY210" s="506"/>
      <c r="HZ210" s="506"/>
      <c r="IA210" s="506"/>
      <c r="IB210" s="506"/>
      <c r="IC210" s="506"/>
      <c r="ID210" s="506"/>
      <c r="IE210" s="505"/>
      <c r="IF210" s="505"/>
      <c r="IG210" s="505"/>
      <c r="IH210" s="505"/>
      <c r="II210" s="505"/>
      <c r="IJ210" s="505"/>
      <c r="IK210" s="507"/>
      <c r="IL210" s="505"/>
      <c r="IM210" s="505"/>
      <c r="IN210" s="505"/>
      <c r="IO210" s="505"/>
      <c r="IP210" s="505"/>
      <c r="IQ210" s="505"/>
      <c r="IR210" s="505"/>
      <c r="IS210" s="505"/>
      <c r="IT210" s="505"/>
      <c r="IU210" s="505"/>
      <c r="IV210" s="505"/>
      <c r="IW210" s="505"/>
      <c r="IX210" s="505"/>
      <c r="IY210" s="505"/>
      <c r="IZ210" s="505"/>
      <c r="JA210" s="507"/>
      <c r="JB210" s="507"/>
      <c r="JC210" s="505"/>
      <c r="JD210" s="505"/>
      <c r="JE210" s="505"/>
      <c r="JF210" s="505"/>
      <c r="JG210" s="505"/>
      <c r="JH210" s="505"/>
      <c r="JI210" s="505"/>
      <c r="JJ210" s="505"/>
      <c r="JK210" s="505"/>
      <c r="JL210" s="505"/>
      <c r="JM210" s="505"/>
      <c r="JN210" s="505"/>
      <c r="JO210" s="505"/>
      <c r="JP210" s="505"/>
      <c r="JQ210" s="505"/>
      <c r="JR210" s="100"/>
      <c r="JS210" s="100"/>
      <c r="JT210" s="505"/>
      <c r="JU210" s="505"/>
      <c r="JV210" s="505"/>
      <c r="JW210" s="505"/>
      <c r="JX210" s="505"/>
      <c r="JY210" s="505"/>
      <c r="JZ210" s="505"/>
      <c r="KA210" s="505"/>
      <c r="KB210" s="505"/>
      <c r="KC210" s="505"/>
      <c r="KD210" s="505"/>
      <c r="KE210" s="505"/>
      <c r="KF210" s="505"/>
      <c r="KG210" s="505"/>
      <c r="KH210" s="505"/>
      <c r="KI210" s="505"/>
      <c r="KJ210" s="505"/>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5"/>
      <c r="EY211" s="505"/>
      <c r="EZ211" s="505"/>
      <c r="FA211" s="505"/>
      <c r="FB211" s="505"/>
      <c r="FC211" s="505"/>
      <c r="FD211" s="505"/>
      <c r="FE211" s="505"/>
      <c r="FF211" s="505"/>
      <c r="FG211" s="505"/>
      <c r="FH211" s="505"/>
      <c r="FI211" s="505"/>
      <c r="FJ211" s="505"/>
      <c r="FK211" s="505"/>
      <c r="FL211" s="505"/>
      <c r="FM211" s="505"/>
      <c r="FN211" s="505"/>
      <c r="FO211" s="505"/>
      <c r="FP211" s="505"/>
      <c r="FQ211" s="505"/>
      <c r="FR211" s="505"/>
      <c r="FS211" s="505"/>
      <c r="FT211" s="505"/>
      <c r="FU211" s="505"/>
      <c r="FV211" s="505"/>
      <c r="FW211" s="505"/>
      <c r="FX211" s="505"/>
      <c r="FY211" s="505"/>
      <c r="FZ211" s="505"/>
      <c r="GA211" s="505"/>
      <c r="GB211" s="505"/>
      <c r="GC211" s="505"/>
      <c r="GD211" s="505"/>
      <c r="GE211" s="505"/>
      <c r="GF211" s="505"/>
      <c r="GG211" s="505"/>
      <c r="GH211" s="505"/>
      <c r="GI211" s="505"/>
      <c r="GJ211" s="505"/>
      <c r="GK211" s="505"/>
      <c r="GL211" s="505"/>
      <c r="GM211" s="505"/>
      <c r="GN211" s="505"/>
      <c r="GO211" s="505"/>
      <c r="GP211" s="505"/>
      <c r="GQ211" s="505"/>
      <c r="GR211" s="505"/>
      <c r="GS211" s="505"/>
      <c r="GT211" s="506"/>
      <c r="GU211" s="505"/>
      <c r="GV211" s="505"/>
      <c r="GW211" s="505"/>
      <c r="GX211" s="505"/>
      <c r="GY211" s="506"/>
      <c r="GZ211" s="506"/>
      <c r="HA211" s="506"/>
      <c r="HB211" s="506"/>
      <c r="HC211" s="506"/>
      <c r="HD211" s="506"/>
      <c r="HE211" s="506"/>
      <c r="HF211" s="506"/>
      <c r="HG211" s="506"/>
      <c r="HH211" s="506"/>
      <c r="HI211" s="506"/>
      <c r="HJ211" s="506"/>
      <c r="HK211" s="506"/>
      <c r="HL211" s="506"/>
      <c r="HM211" s="506"/>
      <c r="HN211" s="506"/>
      <c r="HO211" s="506"/>
      <c r="HP211" s="506"/>
      <c r="HQ211" s="506"/>
      <c r="HR211" s="506"/>
      <c r="HS211" s="506"/>
      <c r="HT211" s="506"/>
      <c r="HU211" s="506"/>
      <c r="HV211" s="506"/>
      <c r="HW211" s="506"/>
      <c r="HX211" s="506"/>
      <c r="HY211" s="506"/>
      <c r="HZ211" s="506"/>
      <c r="IA211" s="506"/>
      <c r="IB211" s="506"/>
      <c r="IC211" s="506"/>
      <c r="ID211" s="506"/>
      <c r="IE211" s="505"/>
      <c r="IF211" s="505"/>
      <c r="IG211" s="505"/>
      <c r="IH211" s="505"/>
      <c r="II211" s="505"/>
      <c r="IJ211" s="505"/>
      <c r="IK211" s="507"/>
      <c r="IL211" s="505"/>
      <c r="IM211" s="505"/>
      <c r="IN211" s="505"/>
      <c r="IO211" s="505"/>
      <c r="IP211" s="505"/>
      <c r="IQ211" s="505"/>
      <c r="IR211" s="505"/>
      <c r="IS211" s="505"/>
      <c r="IT211" s="505"/>
      <c r="IU211" s="505"/>
      <c r="IV211" s="505"/>
      <c r="IW211" s="505"/>
      <c r="IX211" s="505"/>
      <c r="IY211" s="505"/>
      <c r="IZ211" s="505"/>
      <c r="JA211" s="507"/>
      <c r="JB211" s="507"/>
      <c r="JC211" s="505"/>
      <c r="JD211" s="505"/>
      <c r="JE211" s="505"/>
      <c r="JF211" s="505"/>
      <c r="JG211" s="505"/>
      <c r="JH211" s="505"/>
      <c r="JI211" s="505"/>
      <c r="JJ211" s="505"/>
      <c r="JK211" s="505"/>
      <c r="JL211" s="505"/>
      <c r="JM211" s="505"/>
      <c r="JN211" s="505"/>
      <c r="JO211" s="505"/>
      <c r="JP211" s="505"/>
      <c r="JQ211" s="505"/>
      <c r="JR211" s="100"/>
      <c r="JS211" s="100"/>
      <c r="JT211" s="505"/>
      <c r="JU211" s="505"/>
      <c r="JV211" s="505"/>
      <c r="JW211" s="505"/>
      <c r="JX211" s="505"/>
      <c r="JY211" s="505"/>
      <c r="JZ211" s="505"/>
      <c r="KA211" s="505"/>
      <c r="KB211" s="505"/>
      <c r="KC211" s="505"/>
      <c r="KD211" s="505"/>
      <c r="KE211" s="505"/>
      <c r="KF211" s="505"/>
      <c r="KG211" s="505"/>
      <c r="KH211" s="505"/>
      <c r="KI211" s="505"/>
      <c r="KJ211" s="505"/>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5"/>
      <c r="EY212" s="505"/>
      <c r="EZ212" s="505"/>
      <c r="FA212" s="505"/>
      <c r="FB212" s="505"/>
      <c r="FC212" s="505"/>
      <c r="FD212" s="505"/>
      <c r="FE212" s="505"/>
      <c r="FF212" s="505"/>
      <c r="FG212" s="505"/>
      <c r="FH212" s="505"/>
      <c r="FI212" s="505"/>
      <c r="FJ212" s="505"/>
      <c r="FK212" s="505"/>
      <c r="FL212" s="505"/>
      <c r="FM212" s="505"/>
      <c r="FN212" s="505"/>
      <c r="FO212" s="505"/>
      <c r="FP212" s="505"/>
      <c r="FQ212" s="505"/>
      <c r="FR212" s="505"/>
      <c r="FS212" s="505"/>
      <c r="FT212" s="505"/>
      <c r="FU212" s="505"/>
      <c r="FV212" s="505"/>
      <c r="FW212" s="505"/>
      <c r="FX212" s="505"/>
      <c r="FY212" s="505"/>
      <c r="FZ212" s="505"/>
      <c r="GA212" s="505"/>
      <c r="GB212" s="505"/>
      <c r="GC212" s="505"/>
      <c r="GD212" s="505"/>
      <c r="GE212" s="505"/>
      <c r="GF212" s="505"/>
      <c r="GG212" s="505"/>
      <c r="GH212" s="505"/>
      <c r="GI212" s="505"/>
      <c r="GJ212" s="505"/>
      <c r="GK212" s="505"/>
      <c r="GL212" s="505"/>
      <c r="GM212" s="505"/>
      <c r="GN212" s="505"/>
      <c r="GO212" s="505"/>
      <c r="GP212" s="505"/>
      <c r="GQ212" s="505"/>
      <c r="GR212" s="505"/>
      <c r="GS212" s="505"/>
      <c r="GT212" s="506"/>
      <c r="GU212" s="505"/>
      <c r="GV212" s="505"/>
      <c r="GW212" s="505"/>
      <c r="GX212" s="505"/>
      <c r="GY212" s="506"/>
      <c r="GZ212" s="506"/>
      <c r="HA212" s="506"/>
      <c r="HB212" s="506"/>
      <c r="HC212" s="506"/>
      <c r="HD212" s="506"/>
      <c r="HE212" s="506"/>
      <c r="HF212" s="506"/>
      <c r="HG212" s="506"/>
      <c r="HH212" s="506"/>
      <c r="HI212" s="506"/>
      <c r="HJ212" s="506"/>
      <c r="HK212" s="506"/>
      <c r="HL212" s="506"/>
      <c r="HM212" s="506"/>
      <c r="HN212" s="506"/>
      <c r="HO212" s="506"/>
      <c r="HP212" s="506"/>
      <c r="HQ212" s="506"/>
      <c r="HR212" s="506"/>
      <c r="HS212" s="506"/>
      <c r="HT212" s="506"/>
      <c r="HU212" s="506"/>
      <c r="HV212" s="506"/>
      <c r="HW212" s="506"/>
      <c r="HX212" s="506"/>
      <c r="HY212" s="506"/>
      <c r="HZ212" s="506"/>
      <c r="IA212" s="506"/>
      <c r="IB212" s="506"/>
      <c r="IC212" s="506"/>
      <c r="ID212" s="506"/>
      <c r="IE212" s="505"/>
      <c r="IF212" s="505"/>
      <c r="IG212" s="505"/>
      <c r="IH212" s="505"/>
      <c r="II212" s="505"/>
      <c r="IJ212" s="505"/>
      <c r="IK212" s="507"/>
      <c r="IL212" s="505"/>
      <c r="IM212" s="505"/>
      <c r="IN212" s="505"/>
      <c r="IO212" s="505"/>
      <c r="IP212" s="505"/>
      <c r="IQ212" s="505"/>
      <c r="IR212" s="505"/>
      <c r="IS212" s="505"/>
      <c r="IT212" s="505"/>
      <c r="IU212" s="505"/>
      <c r="IV212" s="505"/>
      <c r="IW212" s="505"/>
      <c r="IX212" s="505"/>
      <c r="IY212" s="505"/>
      <c r="IZ212" s="505"/>
      <c r="JA212" s="507"/>
      <c r="JB212" s="507"/>
      <c r="JC212" s="505"/>
      <c r="JD212" s="505"/>
      <c r="JE212" s="505"/>
      <c r="JF212" s="505"/>
      <c r="JG212" s="505"/>
      <c r="JH212" s="505"/>
      <c r="JI212" s="505"/>
      <c r="JJ212" s="505"/>
      <c r="JK212" s="505"/>
      <c r="JL212" s="505"/>
      <c r="JM212" s="505"/>
      <c r="JN212" s="505"/>
      <c r="JO212" s="505"/>
      <c r="JP212" s="505"/>
      <c r="JQ212" s="505"/>
      <c r="JR212" s="100"/>
      <c r="JS212" s="100"/>
      <c r="JT212" s="505"/>
      <c r="JU212" s="505"/>
      <c r="JV212" s="505"/>
      <c r="JW212" s="505"/>
      <c r="JX212" s="505"/>
      <c r="JY212" s="505"/>
      <c r="JZ212" s="505"/>
      <c r="KA212" s="505"/>
      <c r="KB212" s="505"/>
      <c r="KC212" s="505"/>
      <c r="KD212" s="505"/>
      <c r="KE212" s="505"/>
      <c r="KF212" s="505"/>
      <c r="KG212" s="505"/>
      <c r="KH212" s="505"/>
      <c r="KI212" s="505"/>
      <c r="KJ212" s="505"/>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c r="FV220" s="505"/>
      <c r="FW220" s="505"/>
      <c r="FX220" s="505"/>
      <c r="FY220" s="505"/>
      <c r="FZ220" s="505"/>
      <c r="GA220" s="505"/>
      <c r="GB220" s="505"/>
      <c r="GC220" s="505"/>
      <c r="GD220" s="505"/>
      <c r="GE220" s="505"/>
      <c r="GF220" s="505"/>
      <c r="GG220" s="505"/>
      <c r="GH220" s="505"/>
      <c r="GI220" s="505"/>
      <c r="GJ220" s="505"/>
      <c r="GK220" s="505"/>
      <c r="GL220" s="505"/>
      <c r="GM220" s="505"/>
      <c r="GN220" s="505"/>
      <c r="GO220" s="505"/>
      <c r="GP220" s="505"/>
      <c r="GQ220" s="505"/>
      <c r="GR220" s="505"/>
      <c r="GS220" s="505"/>
      <c r="GT220" s="506"/>
      <c r="GU220" s="505"/>
      <c r="GV220" s="505"/>
      <c r="GW220" s="505"/>
      <c r="GX220" s="505"/>
      <c r="GY220" s="506"/>
      <c r="GZ220" s="506"/>
      <c r="HA220" s="506"/>
      <c r="HB220" s="506"/>
      <c r="HC220" s="506"/>
      <c r="HD220" s="506"/>
      <c r="HE220" s="506"/>
      <c r="HF220" s="506"/>
      <c r="HG220" s="506"/>
      <c r="HH220" s="506"/>
      <c r="HI220" s="506"/>
      <c r="HJ220" s="506"/>
      <c r="HK220" s="506"/>
      <c r="HL220" s="506"/>
      <c r="HM220" s="506"/>
      <c r="HN220" s="506"/>
      <c r="HO220" s="506"/>
      <c r="HP220" s="506"/>
      <c r="HQ220" s="506"/>
      <c r="HR220" s="506"/>
      <c r="HS220" s="506"/>
      <c r="HT220" s="506"/>
      <c r="HU220" s="506"/>
      <c r="HV220" s="506"/>
      <c r="HW220" s="506"/>
      <c r="HX220" s="506"/>
      <c r="HY220" s="506"/>
      <c r="HZ220" s="506"/>
      <c r="IA220" s="506"/>
      <c r="IB220" s="506"/>
      <c r="IC220" s="506"/>
      <c r="ID220" s="506"/>
      <c r="IE220" s="505"/>
      <c r="IF220" s="505"/>
      <c r="IG220" s="505"/>
      <c r="IH220" s="505"/>
      <c r="II220" s="505"/>
      <c r="IJ220" s="505"/>
      <c r="IK220" s="507"/>
      <c r="IL220" s="505"/>
      <c r="IM220" s="505"/>
      <c r="IN220" s="505"/>
      <c r="IO220" s="505"/>
      <c r="IP220" s="505"/>
      <c r="IQ220" s="505"/>
      <c r="IR220" s="505"/>
      <c r="IS220" s="505"/>
      <c r="IT220" s="505"/>
      <c r="IU220" s="505"/>
      <c r="IV220" s="505"/>
      <c r="IW220" s="505"/>
      <c r="IX220" s="505"/>
      <c r="IY220" s="505"/>
      <c r="IZ220" s="505"/>
      <c r="JA220" s="507"/>
      <c r="JB220" s="507"/>
      <c r="JC220" s="505"/>
      <c r="JD220" s="505"/>
      <c r="JE220" s="505"/>
      <c r="JF220" s="505"/>
      <c r="JG220" s="505"/>
      <c r="JH220" s="505"/>
      <c r="JI220" s="505"/>
      <c r="JJ220" s="505"/>
      <c r="JK220" s="505"/>
      <c r="JL220" s="505"/>
      <c r="JM220" s="505"/>
      <c r="JN220" s="505"/>
      <c r="JO220" s="505"/>
      <c r="JP220" s="505"/>
      <c r="JQ220" s="505"/>
      <c r="JR220" s="100"/>
      <c r="JS220" s="100"/>
      <c r="JT220" s="505"/>
      <c r="JU220" s="505"/>
      <c r="JV220" s="505"/>
      <c r="JW220" s="505"/>
      <c r="JX220" s="505"/>
      <c r="JY220" s="505"/>
      <c r="JZ220" s="505"/>
      <c r="KA220" s="505"/>
      <c r="KB220" s="505"/>
      <c r="KC220" s="505"/>
      <c r="KD220" s="505"/>
      <c r="KE220" s="505"/>
      <c r="KF220" s="505"/>
      <c r="KG220" s="505"/>
      <c r="KH220" s="505"/>
      <c r="KI220" s="505"/>
      <c r="KJ220" s="505"/>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c r="FV221" s="505"/>
      <c r="FW221" s="505"/>
      <c r="FX221" s="505"/>
      <c r="FY221" s="505"/>
      <c r="FZ221" s="505"/>
      <c r="GA221" s="505"/>
      <c r="GB221" s="505"/>
      <c r="GC221" s="505"/>
      <c r="GD221" s="505"/>
      <c r="GE221" s="505"/>
      <c r="GF221" s="505"/>
      <c r="GG221" s="505"/>
      <c r="GH221" s="505"/>
      <c r="GI221" s="505"/>
      <c r="GJ221" s="505"/>
      <c r="GK221" s="505"/>
      <c r="GL221" s="505"/>
      <c r="GM221" s="505"/>
      <c r="GN221" s="505"/>
      <c r="GO221" s="505"/>
      <c r="GP221" s="505"/>
      <c r="GQ221" s="505"/>
      <c r="GR221" s="505"/>
      <c r="GS221" s="505"/>
      <c r="GT221" s="506"/>
      <c r="GU221" s="505"/>
      <c r="GV221" s="505"/>
      <c r="GW221" s="505"/>
      <c r="GX221" s="505"/>
      <c r="GY221" s="506"/>
      <c r="GZ221" s="506"/>
      <c r="HA221" s="506"/>
      <c r="HB221" s="506"/>
      <c r="HC221" s="506"/>
      <c r="HD221" s="506"/>
      <c r="HE221" s="506"/>
      <c r="HF221" s="506"/>
      <c r="HG221" s="506"/>
      <c r="HH221" s="506"/>
      <c r="HI221" s="506"/>
      <c r="HJ221" s="506"/>
      <c r="HK221" s="506"/>
      <c r="HL221" s="506"/>
      <c r="HM221" s="506"/>
      <c r="HN221" s="506"/>
      <c r="HO221" s="506"/>
      <c r="HP221" s="506"/>
      <c r="HQ221" s="506"/>
      <c r="HR221" s="506"/>
      <c r="HS221" s="506"/>
      <c r="HT221" s="506"/>
      <c r="HU221" s="506"/>
      <c r="HV221" s="506"/>
      <c r="HW221" s="506"/>
      <c r="HX221" s="506"/>
      <c r="HY221" s="506"/>
      <c r="HZ221" s="506"/>
      <c r="IA221" s="506"/>
      <c r="IB221" s="506"/>
      <c r="IC221" s="506"/>
      <c r="ID221" s="506"/>
      <c r="IE221" s="505"/>
      <c r="IF221" s="505"/>
      <c r="IG221" s="505"/>
      <c r="IH221" s="505"/>
      <c r="II221" s="505"/>
      <c r="IJ221" s="505"/>
      <c r="IK221" s="507"/>
      <c r="IL221" s="505"/>
      <c r="IM221" s="505"/>
      <c r="IN221" s="505"/>
      <c r="IO221" s="505"/>
      <c r="IP221" s="505"/>
      <c r="IQ221" s="505"/>
      <c r="IR221" s="505"/>
      <c r="IS221" s="505"/>
      <c r="IT221" s="505"/>
      <c r="IU221" s="505"/>
      <c r="IV221" s="505"/>
      <c r="IW221" s="505"/>
      <c r="IX221" s="505"/>
      <c r="IY221" s="505"/>
      <c r="IZ221" s="505"/>
      <c r="JA221" s="507"/>
      <c r="JB221" s="507"/>
      <c r="JC221" s="505"/>
      <c r="JD221" s="505"/>
      <c r="JE221" s="505"/>
      <c r="JF221" s="505"/>
      <c r="JG221" s="505"/>
      <c r="JH221" s="505"/>
      <c r="JI221" s="505"/>
      <c r="JJ221" s="505"/>
      <c r="JK221" s="505"/>
      <c r="JL221" s="505"/>
      <c r="JM221" s="505"/>
      <c r="JN221" s="505"/>
      <c r="JO221" s="505"/>
      <c r="JP221" s="505"/>
      <c r="JQ221" s="505"/>
      <c r="JR221" s="100"/>
      <c r="JS221" s="100"/>
      <c r="JT221" s="505"/>
      <c r="JU221" s="505"/>
      <c r="JV221" s="505"/>
      <c r="JW221" s="505"/>
      <c r="JX221" s="505"/>
      <c r="JY221" s="505"/>
      <c r="JZ221" s="505"/>
      <c r="KA221" s="505"/>
      <c r="KB221" s="505"/>
      <c r="KC221" s="505"/>
      <c r="KD221" s="505"/>
      <c r="KE221" s="505"/>
      <c r="KF221" s="505"/>
      <c r="KG221" s="505"/>
      <c r="KH221" s="505"/>
      <c r="KI221" s="505"/>
      <c r="KJ221" s="505"/>
    </row>
    <row r="222" spans="1:296" s="96" customFormat="1" ht="13.9" customHeight="1">
      <c r="A222" s="202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c r="FV222" s="505"/>
      <c r="FW222" s="505"/>
      <c r="FX222" s="505"/>
      <c r="FY222" s="505"/>
      <c r="FZ222" s="505"/>
      <c r="GA222" s="505"/>
      <c r="GB222" s="505"/>
      <c r="GC222" s="505"/>
      <c r="GD222" s="505"/>
      <c r="GE222" s="505"/>
      <c r="GF222" s="505"/>
      <c r="GG222" s="505"/>
      <c r="GH222" s="505"/>
      <c r="GI222" s="505"/>
      <c r="GJ222" s="505"/>
      <c r="GK222" s="505"/>
      <c r="GL222" s="505"/>
      <c r="GM222" s="505"/>
      <c r="GN222" s="505"/>
      <c r="GO222" s="505"/>
      <c r="GP222" s="505"/>
      <c r="GQ222" s="505"/>
      <c r="GR222" s="505"/>
      <c r="GS222" s="505"/>
      <c r="GT222" s="506"/>
      <c r="GU222" s="505"/>
      <c r="GV222" s="505"/>
      <c r="GW222" s="505"/>
      <c r="GX222" s="505"/>
      <c r="GY222" s="506"/>
      <c r="GZ222" s="506"/>
      <c r="HA222" s="506"/>
      <c r="HB222" s="506"/>
      <c r="HC222" s="506"/>
      <c r="HD222" s="506"/>
      <c r="HE222" s="506"/>
      <c r="HF222" s="506"/>
      <c r="HG222" s="506"/>
      <c r="HH222" s="506"/>
      <c r="HI222" s="506"/>
      <c r="HJ222" s="506"/>
      <c r="HK222" s="506"/>
      <c r="HL222" s="506"/>
      <c r="HM222" s="506"/>
      <c r="HN222" s="506"/>
      <c r="HO222" s="506"/>
      <c r="HP222" s="506"/>
      <c r="HQ222" s="506"/>
      <c r="HR222" s="506"/>
      <c r="HS222" s="506"/>
      <c r="HT222" s="506"/>
      <c r="HU222" s="506"/>
      <c r="HV222" s="506"/>
      <c r="HW222" s="506"/>
      <c r="HX222" s="506"/>
      <c r="HY222" s="506"/>
      <c r="HZ222" s="506"/>
      <c r="IA222" s="506"/>
      <c r="IB222" s="506"/>
      <c r="IC222" s="506"/>
      <c r="ID222" s="506"/>
      <c r="IE222" s="505"/>
      <c r="IF222" s="505"/>
      <c r="IG222" s="505"/>
      <c r="IH222" s="505"/>
      <c r="II222" s="505"/>
      <c r="IJ222" s="505"/>
      <c r="IK222" s="507"/>
      <c r="IL222" s="505"/>
      <c r="IM222" s="505"/>
      <c r="IN222" s="505"/>
      <c r="IO222" s="505"/>
      <c r="IP222" s="505"/>
      <c r="IQ222" s="505"/>
      <c r="IR222" s="505"/>
      <c r="IS222" s="505"/>
      <c r="IT222" s="505"/>
      <c r="IU222" s="505"/>
      <c r="IV222" s="505"/>
      <c r="IW222" s="505"/>
      <c r="IX222" s="505"/>
      <c r="IY222" s="505"/>
      <c r="IZ222" s="505"/>
      <c r="JA222" s="507"/>
      <c r="JB222" s="507"/>
      <c r="JC222" s="505"/>
      <c r="JD222" s="505"/>
      <c r="JE222" s="505"/>
      <c r="JF222" s="505"/>
      <c r="JG222" s="505"/>
      <c r="JH222" s="505"/>
      <c r="JI222" s="505"/>
      <c r="JJ222" s="505"/>
      <c r="JK222" s="505"/>
      <c r="JL222" s="505"/>
      <c r="JM222" s="505"/>
      <c r="JN222" s="505"/>
      <c r="JO222" s="505"/>
      <c r="JP222" s="505"/>
      <c r="JQ222" s="505"/>
      <c r="JR222" s="100"/>
      <c r="JS222" s="100"/>
      <c r="JT222" s="505"/>
      <c r="JU222" s="505"/>
      <c r="JV222" s="505"/>
      <c r="JW222" s="505"/>
      <c r="JX222" s="505"/>
      <c r="JY222" s="505"/>
      <c r="JZ222" s="505"/>
      <c r="KA222" s="505"/>
      <c r="KB222" s="505"/>
      <c r="KC222" s="505"/>
      <c r="KD222" s="505"/>
      <c r="KE222" s="505"/>
      <c r="KF222" s="505"/>
      <c r="KG222" s="505"/>
      <c r="KH222" s="505"/>
      <c r="KI222" s="505"/>
      <c r="KJ222" s="505"/>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c r="FV223" s="505"/>
      <c r="FW223" s="505"/>
      <c r="FX223" s="505"/>
      <c r="FY223" s="505"/>
      <c r="FZ223" s="505"/>
      <c r="GA223" s="505"/>
      <c r="GB223" s="505"/>
      <c r="GC223" s="505"/>
      <c r="GD223" s="505"/>
      <c r="GE223" s="505"/>
      <c r="GF223" s="505"/>
      <c r="GG223" s="505"/>
      <c r="GH223" s="505"/>
      <c r="GI223" s="505"/>
      <c r="GJ223" s="505"/>
      <c r="GK223" s="505"/>
      <c r="GL223" s="505"/>
      <c r="GM223" s="505"/>
      <c r="GN223" s="505"/>
      <c r="GO223" s="505"/>
      <c r="GP223" s="505"/>
      <c r="GQ223" s="505"/>
      <c r="GR223" s="505"/>
      <c r="GS223" s="505"/>
      <c r="GT223" s="506"/>
      <c r="GU223" s="505"/>
      <c r="GV223" s="505"/>
      <c r="GW223" s="505"/>
      <c r="GX223" s="505"/>
      <c r="GY223" s="506"/>
      <c r="GZ223" s="506"/>
      <c r="HA223" s="506"/>
      <c r="HB223" s="506"/>
      <c r="HC223" s="506"/>
      <c r="HD223" s="506"/>
      <c r="HE223" s="506"/>
      <c r="HF223" s="506"/>
      <c r="HG223" s="506"/>
      <c r="HH223" s="506"/>
      <c r="HI223" s="506"/>
      <c r="HJ223" s="506"/>
      <c r="HK223" s="506"/>
      <c r="HL223" s="506"/>
      <c r="HM223" s="506"/>
      <c r="HN223" s="506"/>
      <c r="HO223" s="506"/>
      <c r="HP223" s="506"/>
      <c r="HQ223" s="506"/>
      <c r="HR223" s="506"/>
      <c r="HS223" s="506"/>
      <c r="HT223" s="506"/>
      <c r="HU223" s="506"/>
      <c r="HV223" s="506"/>
      <c r="HW223" s="506"/>
      <c r="HX223" s="506"/>
      <c r="HY223" s="506"/>
      <c r="HZ223" s="506"/>
      <c r="IA223" s="506"/>
      <c r="IB223" s="506"/>
      <c r="IC223" s="506"/>
      <c r="ID223" s="506"/>
      <c r="IE223" s="505"/>
      <c r="IF223" s="505"/>
      <c r="IG223" s="505"/>
      <c r="IH223" s="505"/>
      <c r="II223" s="505"/>
      <c r="IJ223" s="505"/>
      <c r="IK223" s="507"/>
      <c r="IL223" s="505"/>
      <c r="IM223" s="505"/>
      <c r="IN223" s="505"/>
      <c r="IO223" s="505"/>
      <c r="IP223" s="505"/>
      <c r="IQ223" s="505"/>
      <c r="IR223" s="505"/>
      <c r="IS223" s="505"/>
      <c r="IT223" s="505"/>
      <c r="IU223" s="505"/>
      <c r="IV223" s="505"/>
      <c r="IW223" s="505"/>
      <c r="IX223" s="505"/>
      <c r="IY223" s="505"/>
      <c r="IZ223" s="505"/>
      <c r="JA223" s="507"/>
      <c r="JB223" s="507"/>
      <c r="JC223" s="505"/>
      <c r="JD223" s="505"/>
      <c r="JE223" s="505"/>
      <c r="JF223" s="505"/>
      <c r="JG223" s="505"/>
      <c r="JH223" s="505"/>
      <c r="JI223" s="505"/>
      <c r="JJ223" s="505"/>
      <c r="JK223" s="505"/>
      <c r="JL223" s="505"/>
      <c r="JM223" s="505"/>
      <c r="JN223" s="505"/>
      <c r="JO223" s="505"/>
      <c r="JP223" s="505"/>
      <c r="JQ223" s="505"/>
      <c r="JR223" s="100"/>
      <c r="JS223" s="100"/>
      <c r="JT223" s="505"/>
      <c r="JU223" s="505"/>
      <c r="JV223" s="505"/>
      <c r="JW223" s="505"/>
      <c r="JX223" s="505"/>
      <c r="JY223" s="505"/>
      <c r="JZ223" s="505"/>
      <c r="KA223" s="505"/>
      <c r="KB223" s="505"/>
      <c r="KC223" s="505"/>
      <c r="KD223" s="505"/>
      <c r="KE223" s="505"/>
      <c r="KF223" s="505"/>
      <c r="KG223" s="505"/>
      <c r="KH223" s="505"/>
      <c r="KI223" s="505"/>
      <c r="KJ223" s="505"/>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c r="FV224" s="505"/>
      <c r="FW224" s="505"/>
      <c r="FX224" s="505"/>
      <c r="FY224" s="505"/>
      <c r="FZ224" s="505"/>
      <c r="GA224" s="505"/>
      <c r="GB224" s="505"/>
      <c r="GC224" s="505"/>
      <c r="GD224" s="505"/>
      <c r="GE224" s="505"/>
      <c r="GF224" s="505"/>
      <c r="GG224" s="505"/>
      <c r="GH224" s="505"/>
      <c r="GI224" s="505"/>
      <c r="GJ224" s="505"/>
      <c r="GK224" s="505"/>
      <c r="GL224" s="505"/>
      <c r="GM224" s="505"/>
      <c r="GN224" s="505"/>
      <c r="GO224" s="505"/>
      <c r="GP224" s="505"/>
      <c r="GQ224" s="505"/>
      <c r="GR224" s="505"/>
      <c r="GS224" s="505"/>
      <c r="GT224" s="506"/>
      <c r="GU224" s="505"/>
      <c r="GV224" s="505"/>
      <c r="GW224" s="505"/>
      <c r="GX224" s="505"/>
      <c r="GY224" s="506"/>
      <c r="GZ224" s="506"/>
      <c r="HA224" s="506"/>
      <c r="HB224" s="506"/>
      <c r="HC224" s="506"/>
      <c r="HD224" s="506"/>
      <c r="HE224" s="506"/>
      <c r="HF224" s="506"/>
      <c r="HG224" s="506"/>
      <c r="HH224" s="506"/>
      <c r="HI224" s="506"/>
      <c r="HJ224" s="506"/>
      <c r="HK224" s="506"/>
      <c r="HL224" s="506"/>
      <c r="HM224" s="506"/>
      <c r="HN224" s="506"/>
      <c r="HO224" s="506"/>
      <c r="HP224" s="506"/>
      <c r="HQ224" s="506"/>
      <c r="HR224" s="506"/>
      <c r="HS224" s="506"/>
      <c r="HT224" s="506"/>
      <c r="HU224" s="506"/>
      <c r="HV224" s="506"/>
      <c r="HW224" s="506"/>
      <c r="HX224" s="506"/>
      <c r="HY224" s="506"/>
      <c r="HZ224" s="506"/>
      <c r="IA224" s="506"/>
      <c r="IB224" s="506"/>
      <c r="IC224" s="506"/>
      <c r="ID224" s="506"/>
      <c r="IE224" s="505"/>
      <c r="IF224" s="505"/>
      <c r="IG224" s="505"/>
      <c r="IH224" s="505"/>
      <c r="II224" s="505"/>
      <c r="IJ224" s="505"/>
      <c r="IK224" s="507"/>
      <c r="IL224" s="505"/>
      <c r="IM224" s="505"/>
      <c r="IN224" s="505"/>
      <c r="IO224" s="505"/>
      <c r="IP224" s="505"/>
      <c r="IQ224" s="505"/>
      <c r="IR224" s="505"/>
      <c r="IS224" s="505"/>
      <c r="IT224" s="505"/>
      <c r="IU224" s="505"/>
      <c r="IV224" s="505"/>
      <c r="IW224" s="505"/>
      <c r="IX224" s="505"/>
      <c r="IY224" s="505"/>
      <c r="IZ224" s="505"/>
      <c r="JA224" s="507"/>
      <c r="JB224" s="507"/>
      <c r="JC224" s="505"/>
      <c r="JD224" s="505"/>
      <c r="JE224" s="505"/>
      <c r="JF224" s="505"/>
      <c r="JG224" s="505"/>
      <c r="JH224" s="505"/>
      <c r="JI224" s="505"/>
      <c r="JJ224" s="505"/>
      <c r="JK224" s="505"/>
      <c r="JL224" s="505"/>
      <c r="JM224" s="505"/>
      <c r="JN224" s="505"/>
      <c r="JO224" s="505"/>
      <c r="JP224" s="505"/>
      <c r="JQ224" s="505"/>
      <c r="JR224" s="100"/>
      <c r="JS224" s="100"/>
      <c r="JT224" s="505"/>
      <c r="JU224" s="505"/>
      <c r="JV224" s="505"/>
      <c r="JW224" s="505"/>
      <c r="JX224" s="505"/>
      <c r="JY224" s="505"/>
      <c r="JZ224" s="505"/>
      <c r="KA224" s="505"/>
      <c r="KB224" s="505"/>
      <c r="KC224" s="505"/>
      <c r="KD224" s="505"/>
      <c r="KE224" s="505"/>
      <c r="KF224" s="505"/>
      <c r="KG224" s="505"/>
      <c r="KH224" s="505"/>
      <c r="KI224" s="505"/>
      <c r="KJ224" s="505"/>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LtiGsxJV1bxCP8RWlbdmX5e+p6SD3r33cuqOSvgHqeUZlUcIwspWRle4B67KOyuwk2QgDjg3pp4K1jSPLDg5KA==" saltValue="sGGLniGVOAWXn9nAbHXjtA=="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H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topLeftCell="A52" zoomScale="90" zoomScaleNormal="90" workbookViewId="0">
      <selection activeCell="A52"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430" t="str">
        <f>CONCATENATE("PART SEVEN - OPERATING PRO FORMA","  -  ",'Part I-Project Information'!$O$4," ",'Part I-Project Information'!$F$24,", ",'Part I-Project Information'!F28,", ",'Part I-Project Information'!J29," County")</f>
        <v>PART SEVEN - OPERATING PRO FORMA  -  2016-508 Gateway Capitol View, Atlanta, Fulton County</v>
      </c>
      <c r="B1" s="3272"/>
      <c r="C1" s="3272"/>
      <c r="D1" s="3272"/>
      <c r="E1" s="3272"/>
      <c r="F1" s="3272"/>
      <c r="G1" s="3272"/>
      <c r="H1" s="3272"/>
      <c r="I1" s="3272"/>
      <c r="J1" s="3272"/>
      <c r="K1" s="3273"/>
      <c r="L1" s="10"/>
      <c r="M1" s="2428" t="str">
        <f>A1</f>
        <v>PART SEVEN - OPERATING PRO FORMA  -  2016-508 Gateway Capitol View, Atlanta, Fulton County</v>
      </c>
      <c r="N1" s="2428"/>
      <c r="O1" s="10"/>
    </row>
    <row r="2" spans="1:15" ht="13.5" customHeight="1">
      <c r="A2" s="567"/>
      <c r="B2" s="567"/>
      <c r="C2" s="567"/>
      <c r="D2" s="567"/>
      <c r="E2" s="567"/>
      <c r="F2" s="567"/>
      <c r="G2" s="567"/>
      <c r="H2" s="567"/>
      <c r="I2" s="567"/>
      <c r="J2" s="567"/>
      <c r="K2" s="567"/>
      <c r="M2" s="2429" t="s">
        <v>1925</v>
      </c>
      <c r="N2" s="2429"/>
    </row>
    <row r="3" spans="1:15" ht="13.5">
      <c r="A3" s="14" t="s">
        <v>92</v>
      </c>
      <c r="D3" s="14" t="s">
        <v>82</v>
      </c>
      <c r="E3" s="237"/>
      <c r="F3" s="298" t="s">
        <v>1089</v>
      </c>
      <c r="M3" s="14" t="str">
        <f>A3</f>
        <v>I.  OPERATING ASSUMPTIONS</v>
      </c>
      <c r="N3" s="32"/>
    </row>
    <row r="4" spans="1:15" ht="2.4500000000000002" customHeight="1">
      <c r="A4" s="17"/>
      <c r="B4" s="17"/>
      <c r="C4" s="17"/>
      <c r="H4" s="17"/>
      <c r="I4" s="17"/>
    </row>
    <row r="5" spans="1:15" ht="13.5" customHeight="1">
      <c r="A5" s="17" t="s">
        <v>2277</v>
      </c>
      <c r="B5" s="82">
        <v>0.02</v>
      </c>
      <c r="C5" s="17"/>
      <c r="D5" s="2431" t="s">
        <v>3966</v>
      </c>
      <c r="E5" s="2431"/>
      <c r="F5" s="2431"/>
      <c r="G5" s="3274">
        <v>7500</v>
      </c>
      <c r="H5" s="102" t="s">
        <v>1991</v>
      </c>
      <c r="K5" s="107">
        <f>IF(($B$14+$B$15+$B$16+$B$17)=0,"",B28/($B$14+$B$15+$B$16+$B$17))</f>
        <v>-5.5624420367952534E-3</v>
      </c>
      <c r="M5" s="3153"/>
      <c r="N5" s="3154"/>
    </row>
    <row r="6" spans="1:15">
      <c r="A6" s="17" t="s">
        <v>2278</v>
      </c>
      <c r="B6" s="82">
        <v>0.03</v>
      </c>
      <c r="C6" s="17"/>
      <c r="D6" s="2431"/>
      <c r="E6" s="2431"/>
      <c r="F6" s="2431"/>
      <c r="G6" s="17"/>
      <c r="H6" s="17"/>
      <c r="I6" s="17"/>
      <c r="J6" s="17"/>
      <c r="K6" s="17"/>
      <c r="M6" s="3155"/>
      <c r="N6" s="3156"/>
    </row>
    <row r="7" spans="1:15">
      <c r="A7" s="17" t="s">
        <v>2280</v>
      </c>
      <c r="B7" s="82">
        <v>0.03</v>
      </c>
      <c r="C7" s="17"/>
      <c r="D7" s="84" t="s">
        <v>283</v>
      </c>
      <c r="G7" s="86"/>
      <c r="H7" s="102" t="s">
        <v>2470</v>
      </c>
      <c r="K7" s="107">
        <f>IF(($B$14+$B$15+$B$16+$B$17)=0,"",-B20/($B$14+$B$15+$B$16+$B$17))</f>
        <v>4.9999678980345172E-2</v>
      </c>
      <c r="M7" s="3155"/>
      <c r="N7" s="3156"/>
    </row>
    <row r="8" spans="1:15" ht="13.15" customHeight="1">
      <c r="A8" s="17" t="s">
        <v>2279</v>
      </c>
      <c r="B8" s="3275">
        <v>7.0000000000000007E-2</v>
      </c>
      <c r="C8" s="17"/>
      <c r="D8" s="83" t="s">
        <v>2607</v>
      </c>
      <c r="G8" s="3276" t="s">
        <v>3297</v>
      </c>
      <c r="H8" s="177" t="s">
        <v>1508</v>
      </c>
      <c r="K8" s="3277">
        <v>67416</v>
      </c>
      <c r="M8" s="3155"/>
      <c r="N8" s="3156"/>
    </row>
    <row r="9" spans="1:15">
      <c r="A9" s="17" t="s">
        <v>1479</v>
      </c>
      <c r="B9" s="82">
        <v>0.02</v>
      </c>
      <c r="D9" s="83" t="s">
        <v>1794</v>
      </c>
      <c r="G9" s="3276" t="s">
        <v>3300</v>
      </c>
      <c r="H9" s="177" t="s">
        <v>2450</v>
      </c>
      <c r="K9" s="3278"/>
      <c r="M9" s="3158"/>
      <c r="N9" s="3159"/>
    </row>
    <row r="10" spans="1:15" ht="13.5" customHeight="1"/>
    <row r="11" spans="1:15">
      <c r="A11" s="14" t="s">
        <v>93</v>
      </c>
      <c r="M11" s="14" t="str">
        <f>A11</f>
        <v>II.  OPERATING PRO FORMA</v>
      </c>
    </row>
    <row r="12" spans="1:15" ht="2.4500000000000002" customHeight="1"/>
    <row r="13" spans="1:15" ht="14.45" customHeight="1">
      <c r="A13" s="14" t="s">
        <v>2578</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293" t="s">
        <v>2724</v>
      </c>
      <c r="N13" s="2293"/>
    </row>
    <row r="14" spans="1:15" ht="13.15" customHeight="1">
      <c r="A14" s="19" t="s">
        <v>2500</v>
      </c>
      <c r="B14" s="20">
        <f>'Part VI-Revenues &amp; Expenses'!$L$49</f>
        <v>1421388</v>
      </c>
      <c r="C14" s="20">
        <f t="shared" ref="C14:K14" si="1">$B$14*(1+$B$5)^(C13-1)</f>
        <v>1449815.76</v>
      </c>
      <c r="D14" s="20">
        <f t="shared" si="1"/>
        <v>1478812.0752000001</v>
      </c>
      <c r="E14" s="20">
        <f t="shared" si="1"/>
        <v>1508388.3167039999</v>
      </c>
      <c r="F14" s="20">
        <f t="shared" si="1"/>
        <v>1538556.08303808</v>
      </c>
      <c r="G14" s="20">
        <f t="shared" si="1"/>
        <v>1569327.2046988416</v>
      </c>
      <c r="H14" s="20">
        <f t="shared" si="1"/>
        <v>1600713.7487928185</v>
      </c>
      <c r="I14" s="20">
        <f t="shared" si="1"/>
        <v>1632728.0237686746</v>
      </c>
      <c r="J14" s="20">
        <f t="shared" si="1"/>
        <v>1665382.5842440482</v>
      </c>
      <c r="K14" s="21">
        <f t="shared" si="1"/>
        <v>1698690.2359289292</v>
      </c>
      <c r="M14" s="3153"/>
      <c r="N14" s="3154"/>
    </row>
    <row r="15" spans="1:15" ht="13.15" customHeight="1">
      <c r="A15" s="22" t="s">
        <v>1060</v>
      </c>
      <c r="B15" s="23">
        <f>MIN(B14*B9,'Part VI-Revenues &amp; Expenses'!$H$122)</f>
        <v>28427.760000000002</v>
      </c>
      <c r="C15" s="23">
        <f t="shared" ref="C15:K15" si="2">$B$15*(1+$B$5)^(C13-1)</f>
        <v>28996.315200000001</v>
      </c>
      <c r="D15" s="23">
        <f t="shared" si="2"/>
        <v>29576.241504000001</v>
      </c>
      <c r="E15" s="23">
        <f t="shared" si="2"/>
        <v>30167.766334079999</v>
      </c>
      <c r="F15" s="23">
        <f t="shared" si="2"/>
        <v>30771.121660761601</v>
      </c>
      <c r="G15" s="23">
        <f t="shared" si="2"/>
        <v>31386.544093976834</v>
      </c>
      <c r="H15" s="23">
        <f t="shared" si="2"/>
        <v>32014.274975856373</v>
      </c>
      <c r="I15" s="23">
        <f t="shared" si="2"/>
        <v>32654.560475373491</v>
      </c>
      <c r="J15" s="23">
        <f t="shared" si="2"/>
        <v>33307.65168488097</v>
      </c>
      <c r="K15" s="24">
        <f t="shared" si="2"/>
        <v>33973.804718578584</v>
      </c>
      <c r="M15" s="3155"/>
      <c r="N15" s="3156"/>
    </row>
    <row r="16" spans="1:15" ht="13.15" customHeight="1">
      <c r="A16" s="22" t="s">
        <v>2501</v>
      </c>
      <c r="B16" s="23">
        <f t="shared" ref="B16:K16" si="3">-(B14+B15)*$B$8</f>
        <v>-101487.10320000001</v>
      </c>
      <c r="C16" s="23">
        <f t="shared" si="3"/>
        <v>-103516.84526400002</v>
      </c>
      <c r="D16" s="23">
        <f t="shared" si="3"/>
        <v>-105587.18216928001</v>
      </c>
      <c r="E16" s="23">
        <f t="shared" si="3"/>
        <v>-107698.92581266559</v>
      </c>
      <c r="F16" s="23">
        <f t="shared" si="3"/>
        <v>-109852.90432891891</v>
      </c>
      <c r="G16" s="23">
        <f t="shared" si="3"/>
        <v>-112049.96241549728</v>
      </c>
      <c r="H16" s="23">
        <f t="shared" si="3"/>
        <v>-114290.96166380725</v>
      </c>
      <c r="I16" s="23">
        <f t="shared" si="3"/>
        <v>-116576.78089708337</v>
      </c>
      <c r="J16" s="23">
        <f t="shared" si="3"/>
        <v>-118908.31651502506</v>
      </c>
      <c r="K16" s="24">
        <f t="shared" si="3"/>
        <v>-121286.48284532555</v>
      </c>
      <c r="M16" s="3155"/>
      <c r="N16" s="3156"/>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3155"/>
      <c r="N17" s="3156"/>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3155"/>
      <c r="N18" s="3156"/>
    </row>
    <row r="19" spans="1:14" ht="13.15" customHeight="1">
      <c r="A19" s="22" t="s">
        <v>644</v>
      </c>
      <c r="B19" s="23">
        <f>-('Part VI-Revenues &amp; Expenses'!$P$176-'Part VI-Revenues &amp; Expenses'!$P$170)</f>
        <v>-703820</v>
      </c>
      <c r="C19" s="23">
        <f t="shared" ref="C19:K19" si="4">$B$19*(1+$B$6)^(C13-1)</f>
        <v>-724934.6</v>
      </c>
      <c r="D19" s="23">
        <f t="shared" si="4"/>
        <v>-746682.63799999992</v>
      </c>
      <c r="E19" s="23">
        <f t="shared" si="4"/>
        <v>-769083.11713999999</v>
      </c>
      <c r="F19" s="23">
        <f t="shared" si="4"/>
        <v>-792155.61065419996</v>
      </c>
      <c r="G19" s="23">
        <f t="shared" si="4"/>
        <v>-815920.27897382586</v>
      </c>
      <c r="H19" s="23">
        <f t="shared" si="4"/>
        <v>-840397.88734304067</v>
      </c>
      <c r="I19" s="23">
        <f t="shared" si="4"/>
        <v>-865609.82396333199</v>
      </c>
      <c r="J19" s="23">
        <f t="shared" si="4"/>
        <v>-891578.11868223187</v>
      </c>
      <c r="K19" s="24">
        <f t="shared" si="4"/>
        <v>-918325.46224269888</v>
      </c>
      <c r="M19" s="3155"/>
      <c r="N19" s="3156"/>
    </row>
    <row r="20" spans="1:14" ht="13.15" customHeight="1">
      <c r="A20" s="22" t="s">
        <v>1160</v>
      </c>
      <c r="B20" s="23">
        <f>IF(AND('Part VII-Pro Forma'!$G$8="Yes",'Part VII-Pro Forma'!$G$9="Yes"),"Choose One!",IF('Part VII-Pro Forma'!$G$8="Yes",ROUND((-$K$8*(1+'Part VII-Pro Forma'!$B$6)^('Part VII-Pro Forma'!B13-1)),),IF('Part VII-Pro Forma'!$G$9="Yes",ROUND((-(SUM(B14:B17)*'Part VII-Pro Forma'!$K$9)),),"Choose mgt fee")))</f>
        <v>-67416</v>
      </c>
      <c r="C20" s="23">
        <f>IF(AND('Part VII-Pro Forma'!$G$8="Yes",'Part VII-Pro Forma'!$G$9="Yes"),"Choose One!",IF('Part VII-Pro Forma'!$G$8="Yes",ROUND((-$K$8*(1+'Part VII-Pro Forma'!$B$6)^('Part VII-Pro Forma'!C13-1)),),IF('Part VII-Pro Forma'!$G$9="Yes",ROUND((-(SUM(C14:C17)*'Part VII-Pro Forma'!$K$9)),),"Choose mgt fee")))</f>
        <v>-69438</v>
      </c>
      <c r="D20" s="23">
        <f>IF(AND('Part VII-Pro Forma'!$G$8="Yes",'Part VII-Pro Forma'!$G$9="Yes"),"Choose One!",IF('Part VII-Pro Forma'!$G$8="Yes",ROUND((-$K$8*(1+'Part VII-Pro Forma'!$B$6)^('Part VII-Pro Forma'!D13-1)),),IF('Part VII-Pro Forma'!$G$9="Yes",ROUND((-(SUM(D14:D17)*'Part VII-Pro Forma'!$K$9)),),"Choose mgt fee")))</f>
        <v>-71522</v>
      </c>
      <c r="E20" s="23">
        <f>IF(AND('Part VII-Pro Forma'!$G$8="Yes",'Part VII-Pro Forma'!$G$9="Yes"),"Choose One!",IF('Part VII-Pro Forma'!$G$8="Yes",ROUND((-$K$8*(1+'Part VII-Pro Forma'!$B$6)^('Part VII-Pro Forma'!E13-1)),),IF('Part VII-Pro Forma'!$G$9="Yes",ROUND((-(SUM(E14:E17)*'Part VII-Pro Forma'!$K$9)),),"Choose mgt fee")))</f>
        <v>-73667</v>
      </c>
      <c r="F20" s="23">
        <f>IF(AND('Part VII-Pro Forma'!$G$8="Yes",'Part VII-Pro Forma'!$G$9="Yes"),"Choose One!",IF('Part VII-Pro Forma'!$G$8="Yes",ROUND((-$K$8*(1+'Part VII-Pro Forma'!$B$6)^('Part VII-Pro Forma'!F13-1)),),IF('Part VII-Pro Forma'!$G$9="Yes",ROUND((-(SUM(F14:F17)*'Part VII-Pro Forma'!$K$9)),),"Choose mgt fee")))</f>
        <v>-75877</v>
      </c>
      <c r="G20" s="23">
        <f>IF(AND('Part VII-Pro Forma'!$G$8="Yes",'Part VII-Pro Forma'!$G$9="Yes"),"Choose One!",IF('Part VII-Pro Forma'!$G$8="Yes",ROUND((-$K$8*(1+'Part VII-Pro Forma'!$B$6)^('Part VII-Pro Forma'!G13-1)),),IF('Part VII-Pro Forma'!$G$9="Yes",ROUND((-(SUM(G14:G17)*'Part VII-Pro Forma'!$K$9)),),"Choose mgt fee")))</f>
        <v>-78154</v>
      </c>
      <c r="H20" s="23">
        <f>IF(AND('Part VII-Pro Forma'!$G$8="Yes",'Part VII-Pro Forma'!$G$9="Yes"),"Choose One!",IF('Part VII-Pro Forma'!$G$8="Yes",ROUND((-$K$8*(1+'Part VII-Pro Forma'!$B$6)^('Part VII-Pro Forma'!H13-1)),),IF('Part VII-Pro Forma'!$G$9="Yes",ROUND((-(SUM(H14:H17)*'Part VII-Pro Forma'!$K$9)),),"Choose mgt fee")))</f>
        <v>-80498</v>
      </c>
      <c r="I20" s="23">
        <f>IF(AND('Part VII-Pro Forma'!$G$8="Yes",'Part VII-Pro Forma'!$G$9="Yes"),"Choose One!",IF('Part VII-Pro Forma'!$G$8="Yes",ROUND((-$K$8*(1+'Part VII-Pro Forma'!$B$6)^('Part VII-Pro Forma'!I13-1)),),IF('Part VII-Pro Forma'!$G$9="Yes",ROUND((-(SUM(I14:I17)*'Part VII-Pro Forma'!$K$9)),),"Choose mgt fee")))</f>
        <v>-82913</v>
      </c>
      <c r="J20" s="23">
        <f>IF(AND('Part VII-Pro Forma'!$G$8="Yes",'Part VII-Pro Forma'!$G$9="Yes"),"Choose One!",IF('Part VII-Pro Forma'!$G$8="Yes",ROUND((-$K$8*(1+'Part VII-Pro Forma'!$B$6)^('Part VII-Pro Forma'!J13-1)),),IF('Part VII-Pro Forma'!$G$9="Yes",ROUND((-(SUM(J14:J17)*'Part VII-Pro Forma'!$K$9)),),"Choose mgt fee")))</f>
        <v>-85401</v>
      </c>
      <c r="K20" s="23">
        <f>IF(AND('Part VII-Pro Forma'!$G$8="Yes",'Part VII-Pro Forma'!$G$9="Yes"),"Choose One!",IF('Part VII-Pro Forma'!$G$8="Yes",ROUND((-$K$8*(1+'Part VII-Pro Forma'!$B$6)^('Part VII-Pro Forma'!K13-1)),),IF('Part VII-Pro Forma'!$G$9="Yes",ROUND((-(SUM(K14:K17)*'Part VII-Pro Forma'!$K$9)),),"Choose mgt fee")))</f>
        <v>-87963</v>
      </c>
      <c r="M20" s="3155"/>
      <c r="N20" s="3156"/>
    </row>
    <row r="21" spans="1:14" ht="13.15" customHeight="1">
      <c r="A21" s="22" t="s">
        <v>1254</v>
      </c>
      <c r="B21" s="23">
        <f>-('Part VI-Revenues &amp; Expenses'!$P$179)</f>
        <v>-40500</v>
      </c>
      <c r="C21" s="23">
        <f t="shared" ref="C21:K21" si="5">$B$21*(1+$B$7)^(C13-1)</f>
        <v>-41715</v>
      </c>
      <c r="D21" s="23">
        <f t="shared" si="5"/>
        <v>-42966.45</v>
      </c>
      <c r="E21" s="23">
        <f t="shared" si="5"/>
        <v>-44255.443500000001</v>
      </c>
      <c r="F21" s="23">
        <f t="shared" si="5"/>
        <v>-45583.106804999996</v>
      </c>
      <c r="G21" s="23">
        <f t="shared" si="5"/>
        <v>-46950.600009149995</v>
      </c>
      <c r="H21" s="23">
        <f t="shared" si="5"/>
        <v>-48359.118009424499</v>
      </c>
      <c r="I21" s="23">
        <f t="shared" si="5"/>
        <v>-49809.891549707238</v>
      </c>
      <c r="J21" s="23">
        <f t="shared" si="5"/>
        <v>-51304.188296198445</v>
      </c>
      <c r="K21" s="24">
        <f t="shared" si="5"/>
        <v>-52843.313945084403</v>
      </c>
      <c r="M21" s="3155"/>
      <c r="N21" s="3156"/>
    </row>
    <row r="22" spans="1:14" ht="13.15" customHeight="1">
      <c r="A22" s="22" t="s">
        <v>1255</v>
      </c>
      <c r="B22" s="23">
        <f t="shared" ref="B22:K22" si="6">SUM(B14:B21)</f>
        <v>536592.6568</v>
      </c>
      <c r="C22" s="23">
        <f t="shared" si="6"/>
        <v>539207.62993599998</v>
      </c>
      <c r="D22" s="23">
        <f t="shared" si="6"/>
        <v>541630.04653472023</v>
      </c>
      <c r="E22" s="23">
        <f t="shared" si="6"/>
        <v>543851.59658541414</v>
      </c>
      <c r="F22" s="23">
        <f t="shared" si="6"/>
        <v>545858.58291072259</v>
      </c>
      <c r="G22" s="23">
        <f t="shared" si="6"/>
        <v>547638.90739434515</v>
      </c>
      <c r="H22" s="23">
        <f t="shared" si="6"/>
        <v>549182.05675240234</v>
      </c>
      <c r="I22" s="23">
        <f t="shared" si="6"/>
        <v>550473.08783392527</v>
      </c>
      <c r="J22" s="23">
        <f t="shared" si="6"/>
        <v>551498.61243547383</v>
      </c>
      <c r="K22" s="24">
        <f t="shared" si="6"/>
        <v>552245.78161439882</v>
      </c>
      <c r="M22" s="3155"/>
      <c r="N22" s="3156"/>
    </row>
    <row r="23" spans="1:14" ht="13.15" customHeight="1">
      <c r="A23" s="468" t="s">
        <v>1658</v>
      </c>
      <c r="B23" s="3279">
        <f>IF('Part III-Sources of Funds'!$N$37="", 0,-'Part III-Sources of Funds'!$N$37)</f>
        <v>-361987.34381576651</v>
      </c>
      <c r="C23" s="3279">
        <f>IF('Part III-Sources of Funds'!$N$37="", 0,-'Part III-Sources of Funds'!$N$37)</f>
        <v>-361987.34381576651</v>
      </c>
      <c r="D23" s="3279">
        <f>IF('Part III-Sources of Funds'!$N$37="", 0,-'Part III-Sources of Funds'!$N$37)</f>
        <v>-361987.34381576651</v>
      </c>
      <c r="E23" s="3279">
        <f>IF('Part III-Sources of Funds'!$N$37="", 0,-'Part III-Sources of Funds'!$N$37)</f>
        <v>-361987.34381576651</v>
      </c>
      <c r="F23" s="3279">
        <f>IF('Part III-Sources of Funds'!$N$37="", 0,-'Part III-Sources of Funds'!$N$37)</f>
        <v>-361987.34381576651</v>
      </c>
      <c r="G23" s="3279">
        <f>IF('Part III-Sources of Funds'!$N$37="", 0,-'Part III-Sources of Funds'!$N$37)</f>
        <v>-361987.34381576651</v>
      </c>
      <c r="H23" s="3279">
        <f>IF('Part III-Sources of Funds'!$N$37="", 0,-'Part III-Sources of Funds'!$N$37)</f>
        <v>-361987.34381576651</v>
      </c>
      <c r="I23" s="3279">
        <f>IF('Part III-Sources of Funds'!$N$37="", 0,-'Part III-Sources of Funds'!$N$37)</f>
        <v>-361987.34381576651</v>
      </c>
      <c r="J23" s="3279">
        <f>IF('Part III-Sources of Funds'!$N$37="", 0,-'Part III-Sources of Funds'!$N$37)</f>
        <v>-361987.34381576651</v>
      </c>
      <c r="K23" s="3279">
        <f>IF('Part III-Sources of Funds'!$N$37="", 0,-'Part III-Sources of Funds'!$N$37)</f>
        <v>-361987.34381576651</v>
      </c>
      <c r="M23" s="3155"/>
      <c r="N23" s="3156"/>
    </row>
    <row r="24" spans="1:14" ht="13.15" customHeight="1">
      <c r="A24" s="468" t="s">
        <v>1659</v>
      </c>
      <c r="B24" s="3280">
        <f>IF('Part III-Sources of Funds'!$N$38="", 0,-'Part III-Sources of Funds'!$N$38)</f>
        <v>-101622.85161720682</v>
      </c>
      <c r="C24" s="3280">
        <f>IF('Part III-Sources of Funds'!$N$38="", 0,-'Part III-Sources of Funds'!$N$38)</f>
        <v>-101622.85161720682</v>
      </c>
      <c r="D24" s="3280">
        <f>IF('Part III-Sources of Funds'!$N$38="", 0,-'Part III-Sources of Funds'!$N$38)</f>
        <v>-101622.85161720682</v>
      </c>
      <c r="E24" s="3280">
        <f>IF('Part III-Sources of Funds'!$N$38="", 0,-'Part III-Sources of Funds'!$N$38)</f>
        <v>-101622.85161720682</v>
      </c>
      <c r="F24" s="3280">
        <f>IF('Part III-Sources of Funds'!$N$38="", 0,-'Part III-Sources of Funds'!$N$38)</f>
        <v>-101622.85161720682</v>
      </c>
      <c r="G24" s="3280">
        <f>IF('Part III-Sources of Funds'!$N$38="", 0,-'Part III-Sources of Funds'!$N$38)</f>
        <v>-101622.85161720682</v>
      </c>
      <c r="H24" s="3280">
        <f>IF('Part III-Sources of Funds'!$N$38="", 0,-'Part III-Sources of Funds'!$N$38)</f>
        <v>-101622.85161720682</v>
      </c>
      <c r="I24" s="3280">
        <f>IF('Part III-Sources of Funds'!$N$38="", 0,-'Part III-Sources of Funds'!$N$38)</f>
        <v>-101622.85161720682</v>
      </c>
      <c r="J24" s="3280">
        <f>IF('Part III-Sources of Funds'!$N$38="", 0,-'Part III-Sources of Funds'!$N$38)</f>
        <v>-101622.85161720682</v>
      </c>
      <c r="K24" s="3280">
        <f>IF('Part III-Sources of Funds'!$N$38="", 0,-'Part III-Sources of Funds'!$N$38)</f>
        <v>-101622.85161720682</v>
      </c>
      <c r="M24" s="3155"/>
      <c r="N24" s="3156"/>
    </row>
    <row r="25" spans="1:14" ht="13.15" customHeight="1">
      <c r="A25" s="468" t="s">
        <v>1660</v>
      </c>
      <c r="B25" s="3280">
        <f>IF('Part III-Sources of Funds'!$N$39="", 0,-'Part III-Sources of Funds'!$N$39)</f>
        <v>0</v>
      </c>
      <c r="C25" s="3280">
        <f>IF('Part III-Sources of Funds'!$N$39="", 0,-'Part III-Sources of Funds'!$N$39)</f>
        <v>0</v>
      </c>
      <c r="D25" s="3280">
        <f>IF('Part III-Sources of Funds'!$N$39="", 0,-'Part III-Sources of Funds'!$N$39)</f>
        <v>0</v>
      </c>
      <c r="E25" s="3280">
        <f>IF('Part III-Sources of Funds'!$N$39="", 0,-'Part III-Sources of Funds'!$N$39)</f>
        <v>0</v>
      </c>
      <c r="F25" s="3280">
        <f>IF('Part III-Sources of Funds'!$N$39="", 0,-'Part III-Sources of Funds'!$N$39)</f>
        <v>0</v>
      </c>
      <c r="G25" s="3280">
        <f>IF('Part III-Sources of Funds'!$N$39="", 0,-'Part III-Sources of Funds'!$N$39)</f>
        <v>0</v>
      </c>
      <c r="H25" s="3280">
        <f>IF('Part III-Sources of Funds'!$N$39="", 0,-'Part III-Sources of Funds'!$N$39)</f>
        <v>0</v>
      </c>
      <c r="I25" s="3280">
        <f>IF('Part III-Sources of Funds'!$N$39="", 0,-'Part III-Sources of Funds'!$N$39)</f>
        <v>0</v>
      </c>
      <c r="J25" s="3280">
        <f>IF('Part III-Sources of Funds'!$N$39="", 0,-'Part III-Sources of Funds'!$N$39)</f>
        <v>0</v>
      </c>
      <c r="K25" s="3280">
        <f>IF('Part III-Sources of Funds'!$N$39="", 0,-'Part III-Sources of Funds'!$N$39)</f>
        <v>0</v>
      </c>
      <c r="M25" s="3155"/>
      <c r="N25" s="3156"/>
    </row>
    <row r="26" spans="1:14" ht="13.15" customHeight="1">
      <c r="A26" s="22" t="s">
        <v>821</v>
      </c>
      <c r="B26" s="3280">
        <f>IF('Part III-Sources of Funds'!$N$40="", 0,-'Part III-Sources of Funds'!$N$40)</f>
        <v>0</v>
      </c>
      <c r="C26" s="3280">
        <f>IF('Part III-Sources of Funds'!$N$40="", 0,-'Part III-Sources of Funds'!$N$40)</f>
        <v>0</v>
      </c>
      <c r="D26" s="3280">
        <f>IF('Part III-Sources of Funds'!$N$40="", 0,-'Part III-Sources of Funds'!$N$40)</f>
        <v>0</v>
      </c>
      <c r="E26" s="3280">
        <f>IF('Part III-Sources of Funds'!$N$40="", 0,-'Part III-Sources of Funds'!$N$40)</f>
        <v>0</v>
      </c>
      <c r="F26" s="3280">
        <f>IF('Part III-Sources of Funds'!$N$40="", 0,-'Part III-Sources of Funds'!$N$40)</f>
        <v>0</v>
      </c>
      <c r="G26" s="3280">
        <f>IF('Part III-Sources of Funds'!$N$40="", 0,-'Part III-Sources of Funds'!$N$40)</f>
        <v>0</v>
      </c>
      <c r="H26" s="3280">
        <f>IF('Part III-Sources of Funds'!$N$40="", 0,-'Part III-Sources of Funds'!$N$40)</f>
        <v>0</v>
      </c>
      <c r="I26" s="3280">
        <f>IF('Part III-Sources of Funds'!$N$40="", 0,-'Part III-Sources of Funds'!$N$40)</f>
        <v>0</v>
      </c>
      <c r="J26" s="3280">
        <f>IF('Part III-Sources of Funds'!$N$40="", 0,-'Part III-Sources of Funds'!$N$40)</f>
        <v>0</v>
      </c>
      <c r="K26" s="3280">
        <f>IF('Part III-Sources of Funds'!$N$40="", 0,-'Part III-Sources of Funds'!$N$40)</f>
        <v>0</v>
      </c>
      <c r="M26" s="3155"/>
      <c r="N26" s="3156"/>
    </row>
    <row r="27" spans="1:14" ht="13.15" customHeight="1">
      <c r="A27" s="22" t="s">
        <v>801</v>
      </c>
      <c r="B27" s="3281"/>
      <c r="C27" s="3281"/>
      <c r="D27" s="3281"/>
      <c r="E27" s="3281"/>
      <c r="F27" s="3281"/>
      <c r="G27" s="3281"/>
      <c r="H27" s="3281"/>
      <c r="I27" s="3281"/>
      <c r="J27" s="3281"/>
      <c r="K27" s="3281"/>
      <c r="M27" s="3155"/>
      <c r="N27" s="3156"/>
    </row>
    <row r="28" spans="1:14" ht="13.15" customHeight="1">
      <c r="A28" s="22" t="s">
        <v>1213</v>
      </c>
      <c r="B28" s="3280">
        <f>-$G$5</f>
        <v>-7500</v>
      </c>
      <c r="C28" s="3280">
        <f t="shared" ref="C28:K28" si="7">+B28</f>
        <v>-7500</v>
      </c>
      <c r="D28" s="3280">
        <f t="shared" si="7"/>
        <v>-7500</v>
      </c>
      <c r="E28" s="3280">
        <f t="shared" si="7"/>
        <v>-7500</v>
      </c>
      <c r="F28" s="3280">
        <f t="shared" si="7"/>
        <v>-7500</v>
      </c>
      <c r="G28" s="3280">
        <f t="shared" si="7"/>
        <v>-7500</v>
      </c>
      <c r="H28" s="3280">
        <f t="shared" si="7"/>
        <v>-7500</v>
      </c>
      <c r="I28" s="3280">
        <f t="shared" si="7"/>
        <v>-7500</v>
      </c>
      <c r="J28" s="3280">
        <f t="shared" si="7"/>
        <v>-7500</v>
      </c>
      <c r="K28" s="3280">
        <f t="shared" si="7"/>
        <v>-7500</v>
      </c>
      <c r="M28" s="3155"/>
      <c r="N28" s="3156"/>
    </row>
    <row r="29" spans="1:14" ht="13.15" customHeight="1">
      <c r="A29" s="22" t="s">
        <v>1256</v>
      </c>
      <c r="B29" s="3282">
        <f>IF('Part III-Sources of Funds'!$N$42="", 0,-'Part III-Sources of Funds'!$N$42)</f>
        <v>-41602.75</v>
      </c>
      <c r="C29" s="3282">
        <f>IF('Part III-Sources of Funds'!$N$42="", 0,-'Part III-Sources of Funds'!$N$42)</f>
        <v>-41602.75</v>
      </c>
      <c r="D29" s="3282">
        <f>IF('Part III-Sources of Funds'!$N$42="", 0,-'Part III-Sources of Funds'!$N$42)</f>
        <v>-41602.75</v>
      </c>
      <c r="E29" s="3282">
        <f>IF('Part III-Sources of Funds'!$N$42="", 0,-'Part III-Sources of Funds'!$N$42)</f>
        <v>-41602.75</v>
      </c>
      <c r="F29" s="3282">
        <f>IF('Part III-Sources of Funds'!$N$42="", 0,-'Part III-Sources of Funds'!$N$42)</f>
        <v>-41602.75</v>
      </c>
      <c r="G29" s="3282">
        <f>IF('Part III-Sources of Funds'!$N$42="", 0,-'Part III-Sources of Funds'!$N$42)</f>
        <v>-41602.75</v>
      </c>
      <c r="H29" s="3282">
        <f>IF('Part III-Sources of Funds'!$N$42="", 0,-'Part III-Sources of Funds'!$N$42)</f>
        <v>-41602.75</v>
      </c>
      <c r="I29" s="3282">
        <f>IF('Part III-Sources of Funds'!$N$42="", 0,-'Part III-Sources of Funds'!$N$42)</f>
        <v>-41602.75</v>
      </c>
      <c r="J29" s="3282">
        <f>IF('Part III-Sources of Funds'!$N$42="", 0,-'Part III-Sources of Funds'!$N$42)</f>
        <v>-41602.75</v>
      </c>
      <c r="K29" s="3282">
        <f>IF('Part III-Sources of Funds'!$N$42="", 0,-'Part III-Sources of Funds'!$N$42)</f>
        <v>-41602.75</v>
      </c>
      <c r="M29" s="3155"/>
      <c r="N29" s="3156"/>
    </row>
    <row r="30" spans="1:14" ht="13.15" customHeight="1">
      <c r="A30" s="22" t="s">
        <v>1214</v>
      </c>
      <c r="B30" s="23">
        <f t="shared" ref="B30:K30" si="8">SUM(B22:B29)</f>
        <v>23879.71136702667</v>
      </c>
      <c r="C30" s="23">
        <f t="shared" si="8"/>
        <v>26494.684503026656</v>
      </c>
      <c r="D30" s="23">
        <f t="shared" si="8"/>
        <v>28917.101101746899</v>
      </c>
      <c r="E30" s="23">
        <f t="shared" si="8"/>
        <v>31138.651152440812</v>
      </c>
      <c r="F30" s="23">
        <f t="shared" si="8"/>
        <v>33145.63747774926</v>
      </c>
      <c r="G30" s="23">
        <f t="shared" si="8"/>
        <v>34925.961961371824</v>
      </c>
      <c r="H30" s="23">
        <f t="shared" si="8"/>
        <v>36469.111319429008</v>
      </c>
      <c r="I30" s="23">
        <f t="shared" si="8"/>
        <v>37760.14240095194</v>
      </c>
      <c r="J30" s="23">
        <f t="shared" si="8"/>
        <v>38785.667002500501</v>
      </c>
      <c r="K30" s="24">
        <f t="shared" si="8"/>
        <v>39532.836181425489</v>
      </c>
      <c r="M30" s="3155"/>
      <c r="N30" s="3156"/>
    </row>
    <row r="31" spans="1:14" ht="13.15" customHeight="1">
      <c r="A31" s="22" t="str">
        <f>IF('Part III-Sources of Funds'!$E$37 = "Neither", "", "DCR Mortgage A")</f>
        <v>DCR Mortgage A</v>
      </c>
      <c r="B31" s="25">
        <f>IF(B23=0,"",-B22/B23)</f>
        <v>1.4823519826513571</v>
      </c>
      <c r="C31" s="25">
        <f t="shared" ref="C31:K31" si="9">IF(C23=0,"",-C22/C23)</f>
        <v>1.4895759179095216</v>
      </c>
      <c r="D31" s="25">
        <f t="shared" si="9"/>
        <v>1.4962679104338601</v>
      </c>
      <c r="E31" s="25">
        <f t="shared" si="9"/>
        <v>1.5024050035909748</v>
      </c>
      <c r="F31" s="25">
        <f t="shared" si="9"/>
        <v>1.5079493585514343</v>
      </c>
      <c r="G31" s="25">
        <f t="shared" si="9"/>
        <v>1.5128675539359908</v>
      </c>
      <c r="H31" s="25">
        <f t="shared" si="9"/>
        <v>1.5171305465085778</v>
      </c>
      <c r="I31" s="25">
        <f t="shared" si="9"/>
        <v>1.5206970554033752</v>
      </c>
      <c r="J31" s="25">
        <f t="shared" si="9"/>
        <v>1.5235300953399054</v>
      </c>
      <c r="K31" s="26">
        <f t="shared" si="9"/>
        <v>1.5255941707604683</v>
      </c>
      <c r="M31" s="3155"/>
      <c r="N31" s="3156"/>
    </row>
    <row r="32" spans="1:14" ht="13.15" customHeight="1">
      <c r="A32" s="22" t="str">
        <f>IF('Part III-Sources of Funds'!$E$37 = "Neither", "", "DCR Mortgage B")</f>
        <v>DCR Mortgage B</v>
      </c>
      <c r="B32" s="25">
        <f t="shared" ref="B32:K32" si="10">IF(OR(B24=0,AND(B24=0,B23=0)),"",-B22/(B23+B24))</f>
        <v>1.1574220370603954</v>
      </c>
      <c r="C32" s="25">
        <f t="shared" si="10"/>
        <v>1.1630624935511285</v>
      </c>
      <c r="D32" s="25">
        <f t="shared" si="10"/>
        <v>1.1682876085778977</v>
      </c>
      <c r="E32" s="25">
        <f t="shared" si="10"/>
        <v>1.1730794575764281</v>
      </c>
      <c r="F32" s="25">
        <f t="shared" si="10"/>
        <v>1.1774084959476272</v>
      </c>
      <c r="G32" s="25">
        <f t="shared" si="10"/>
        <v>1.1812486282423018</v>
      </c>
      <c r="H32" s="25">
        <f t="shared" si="10"/>
        <v>1.1845771774702065</v>
      </c>
      <c r="I32" s="25">
        <f t="shared" si="10"/>
        <v>1.1873619114865004</v>
      </c>
      <c r="J32" s="25">
        <f t="shared" si="10"/>
        <v>1.189573952144042</v>
      </c>
      <c r="K32" s="26">
        <f t="shared" si="10"/>
        <v>1.1911855844728505</v>
      </c>
      <c r="M32" s="3155"/>
      <c r="N32" s="3156"/>
    </row>
    <row r="33" spans="1:14" ht="13.15" customHeight="1">
      <c r="A33" s="22" t="str">
        <f>IF('Part III-Sources of Funds'!$E$37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3155"/>
      <c r="N33" s="3156"/>
    </row>
    <row r="34" spans="1:14" ht="13.15" customHeight="1">
      <c r="A34" s="22" t="s">
        <v>822</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3155"/>
      <c r="N34" s="3156"/>
    </row>
    <row r="35" spans="1:14" ht="13.15" customHeight="1">
      <c r="A35" s="22" t="s">
        <v>808</v>
      </c>
      <c r="B35" s="293">
        <f>IF(OR(B20="Choose mgt fee",B20="Choose One!"),"",(B14+B15+B16+B17+B18) / -(B19+B20+B21))</f>
        <v>1.6610433155607243</v>
      </c>
      <c r="C35" s="293">
        <f t="shared" ref="C35:K35" si="13">IF(OR(C20="Choose mgt fee",C20="Choose One!"),"",(C14+C15+C16+C17+C18) / -(C19+C20+C21))</f>
        <v>1.6449176257798823</v>
      </c>
      <c r="D35" s="293">
        <f t="shared" si="13"/>
        <v>1.6289459250108038</v>
      </c>
      <c r="E35" s="293">
        <f t="shared" si="13"/>
        <v>1.6131321163229344</v>
      </c>
      <c r="F35" s="293">
        <f t="shared" si="13"/>
        <v>1.5974706569505788</v>
      </c>
      <c r="G35" s="293">
        <f t="shared" si="13"/>
        <v>1.5819600731345302</v>
      </c>
      <c r="H35" s="293">
        <f t="shared" si="13"/>
        <v>1.5666022395754302</v>
      </c>
      <c r="I35" s="293">
        <f t="shared" si="13"/>
        <v>1.5513924158551082</v>
      </c>
      <c r="J35" s="293">
        <f t="shared" si="13"/>
        <v>1.5363294421807066</v>
      </c>
      <c r="K35" s="294">
        <f t="shared" si="13"/>
        <v>1.5214136654478829</v>
      </c>
      <c r="M35" s="3155"/>
      <c r="N35" s="3156"/>
    </row>
    <row r="36" spans="1:14" ht="13.15" customHeight="1">
      <c r="A36" s="468" t="s">
        <v>2717</v>
      </c>
      <c r="B36" s="3283">
        <f>IF('Part III-Sources of Funds'!$I$37="","",-FV('Part III-Sources of Funds'!$K$37/12,12,B23/12,'Part III-Sources of Funds'!$I$37))</f>
        <v>6589969.1680769362</v>
      </c>
      <c r="C36" s="3283">
        <f>IF('Part III-Sources of Funds'!$I$37="","",-FV('Part III-Sources of Funds'!$K$37/12,12,C23/12,B36))</f>
        <v>6499762.5742183244</v>
      </c>
      <c r="D36" s="3283">
        <f>IF('Part III-Sources of Funds'!$I$37="","",-FV('Part III-Sources of Funds'!$K$37/12,12,D23/12,C36))</f>
        <v>6405740.3735558335</v>
      </c>
      <c r="E36" s="3283">
        <f>IF('Part III-Sources of Funds'!$I$37="","",-FV('Part III-Sources of Funds'!$K$37/12,12,E23/12,D36))</f>
        <v>6307741.1715099867</v>
      </c>
      <c r="F36" s="3283">
        <f>IF('Part III-Sources of Funds'!$I$37="","",-FV('Part III-Sources of Funds'!$K$37/12,12,F23/12,E36))</f>
        <v>6205596.746746975</v>
      </c>
      <c r="G36" s="3283">
        <f>IF('Part III-Sources of Funds'!$I$37="","",-FV('Part III-Sources of Funds'!$K$37/12,12,G23/12,F36))</f>
        <v>6099131.762416943</v>
      </c>
      <c r="H36" s="3283">
        <f>IF('Part III-Sources of Funds'!$I$37="","",-FV('Part III-Sources of Funds'!$K$37/12,12,H23/12,G36))</f>
        <v>5988163.4651780864</v>
      </c>
      <c r="I36" s="3283">
        <f>IF('Part III-Sources of Funds'!$I$37="","",-FV('Part III-Sources of Funds'!$K$37/12,12,I23/12,H36))</f>
        <v>5872501.371489903</v>
      </c>
      <c r="J36" s="3283">
        <f>IF('Part III-Sources of Funds'!$I$37="","",-FV('Part III-Sources of Funds'!$K$37/12,12,J23/12,I36))</f>
        <v>5751946.940637107</v>
      </c>
      <c r="K36" s="3283">
        <f>IF('Part III-Sources of Funds'!$I$37="","",-FV('Part III-Sources of Funds'!$K$37/12,12,K23/12,J36))</f>
        <v>5626293.2339229407</v>
      </c>
      <c r="M36" s="3155"/>
      <c r="N36" s="3156"/>
    </row>
    <row r="37" spans="1:14" ht="13.15" customHeight="1">
      <c r="A37" s="468" t="s">
        <v>2718</v>
      </c>
      <c r="B37" s="3280">
        <f>IF('Part III-Sources of Funds'!$I$38="","",-FV('Part III-Sources of Funds'!$K$38/12,12,B24/12,'Part III-Sources of Funds'!$I$38))</f>
        <v>2928047.9634025204</v>
      </c>
      <c r="C37" s="3280">
        <f>IF('Part III-Sources of Funds'!$I$38="","",-FV('Part III-Sources of Funds'!$K$38/12,12,C24/12,B37))</f>
        <v>2855373.0994596295</v>
      </c>
      <c r="D37" s="3280">
        <f>IF('Part III-Sources of Funds'!$I$38="","",-FV('Part III-Sources of Funds'!$K$38/12,12,D24/12,C37))</f>
        <v>2781968.1466760868</v>
      </c>
      <c r="E37" s="3280">
        <f>IF('Part III-Sources of Funds'!$I$38="","",-FV('Part III-Sources of Funds'!$K$38/12,12,E24/12,D37))</f>
        <v>2707825.7706079553</v>
      </c>
      <c r="F37" s="3280">
        <f>IF('Part III-Sources of Funds'!$I$38="","",-FV('Part III-Sources of Funds'!$K$38/12,12,F24/12,E37))</f>
        <v>2632938.5631297608</v>
      </c>
      <c r="G37" s="3280">
        <f>IF('Part III-Sources of Funds'!$I$38="","",-FV('Part III-Sources of Funds'!$K$38/12,12,G24/12,F37))</f>
        <v>2557299.0416942905</v>
      </c>
      <c r="H37" s="3280">
        <f>IF('Part III-Sources of Funds'!$I$38="","",-FV('Part III-Sources of Funds'!$K$38/12,12,H24/12,G37))</f>
        <v>2480899.648584954</v>
      </c>
      <c r="I37" s="3280">
        <f>IF('Part III-Sources of Funds'!$I$38="","",-FV('Part III-Sources of Funds'!$K$38/12,12,I24/12,H37))</f>
        <v>2403732.7501606368</v>
      </c>
      <c r="J37" s="3280">
        <f>IF('Part III-Sources of Funds'!$I$38="","",-FV('Part III-Sources of Funds'!$K$38/12,12,J24/12,I37))</f>
        <v>2325790.6360929641</v>
      </c>
      <c r="K37" s="3280">
        <f>IF('Part III-Sources of Funds'!$I$38="","",-FV('Part III-Sources of Funds'!$K$38/12,12,K24/12,J37))</f>
        <v>2247065.5185959032</v>
      </c>
      <c r="M37" s="3155"/>
      <c r="N37" s="3156"/>
    </row>
    <row r="38" spans="1:14" ht="13.15" customHeight="1">
      <c r="A38" s="468" t="s">
        <v>2719</v>
      </c>
      <c r="B38" s="3280" t="str">
        <f>IF('Part III-Sources of Funds'!$I$39="","",-FV('Part III-Sources of Funds'!$K$39/12,12,B25/12,'Part III-Sources of Funds'!$I$39))</f>
        <v/>
      </c>
      <c r="C38" s="3280" t="str">
        <f>IF('Part III-Sources of Funds'!$I$39="","",-FV('Part III-Sources of Funds'!$K$39/12,12,C25/12,B38))</f>
        <v/>
      </c>
      <c r="D38" s="3280" t="str">
        <f>IF('Part III-Sources of Funds'!$I$39="","",-FV('Part III-Sources of Funds'!$K$39/12,12,D25/12,C38))</f>
        <v/>
      </c>
      <c r="E38" s="3280" t="str">
        <f>IF('Part III-Sources of Funds'!$I$39="","",-FV('Part III-Sources of Funds'!$K$39/12,12,E25/12,D38))</f>
        <v/>
      </c>
      <c r="F38" s="3280" t="str">
        <f>IF('Part III-Sources of Funds'!$I$39="","",-FV('Part III-Sources of Funds'!$K$39/12,12,F25/12,E38))</f>
        <v/>
      </c>
      <c r="G38" s="3280" t="str">
        <f>IF('Part III-Sources of Funds'!$I$39="","",-FV('Part III-Sources of Funds'!$K$39/12,12,G25/12,F38))</f>
        <v/>
      </c>
      <c r="H38" s="3280" t="str">
        <f>IF('Part III-Sources of Funds'!$I$39="","",-FV('Part III-Sources of Funds'!$K$39/12,12,H25/12,G38))</f>
        <v/>
      </c>
      <c r="I38" s="3280" t="str">
        <f>IF('Part III-Sources of Funds'!$I$39="","",-FV('Part III-Sources of Funds'!$K$39/12,12,I25/12,H38))</f>
        <v/>
      </c>
      <c r="J38" s="3280" t="str">
        <f>IF('Part III-Sources of Funds'!$I$39="","",-FV('Part III-Sources of Funds'!$K$39/12,12,J25/12,I38))</f>
        <v/>
      </c>
      <c r="K38" s="3280" t="str">
        <f>IF('Part III-Sources of Funds'!$I$39="","",-FV('Part III-Sources of Funds'!$K$39/12,12,K25/12,J38))</f>
        <v/>
      </c>
      <c r="M38" s="3155"/>
      <c r="N38" s="3156"/>
    </row>
    <row r="39" spans="1:14" ht="13.15" customHeight="1">
      <c r="A39" s="22" t="s">
        <v>823</v>
      </c>
      <c r="B39" s="3280" t="str">
        <f>IF('Part III-Sources of Funds'!$I$40="","",-FV('Part III-Sources of Funds'!$K$40/12,12,B24/12,'Part III-Sources of Funds'!$I$40))</f>
        <v/>
      </c>
      <c r="C39" s="3280" t="str">
        <f>IF('Part III-Sources of Funds'!$I$40="","",-FV('Part III-Sources of Funds'!$K$40/12,12,C26/12,B39))</f>
        <v/>
      </c>
      <c r="D39" s="3280" t="str">
        <f>IF('Part III-Sources of Funds'!$I$40="","",-FV('Part III-Sources of Funds'!$K$40/12,12,D26/12,C39))</f>
        <v/>
      </c>
      <c r="E39" s="3280" t="str">
        <f>IF('Part III-Sources of Funds'!$I$40="","",-FV('Part III-Sources of Funds'!$K$40/12,12,E26/12,D39))</f>
        <v/>
      </c>
      <c r="F39" s="3280" t="str">
        <f>IF('Part III-Sources of Funds'!$I$40="","",-FV('Part III-Sources of Funds'!$K$40/12,12,F26/12,E39))</f>
        <v/>
      </c>
      <c r="G39" s="3280" t="str">
        <f>IF('Part III-Sources of Funds'!$I$40="","",-FV('Part III-Sources of Funds'!$K$40/12,12,G26/12,F39))</f>
        <v/>
      </c>
      <c r="H39" s="3280" t="str">
        <f>IF('Part III-Sources of Funds'!$I$40="","",-FV('Part III-Sources of Funds'!$K$40/12,12,H26/12,G39))</f>
        <v/>
      </c>
      <c r="I39" s="3280" t="str">
        <f>IF('Part III-Sources of Funds'!$I$40="","",-FV('Part III-Sources of Funds'!$K$40/12,12,I26/12,H39))</f>
        <v/>
      </c>
      <c r="J39" s="3280" t="str">
        <f>IF('Part III-Sources of Funds'!$I$40="","",-FV('Part III-Sources of Funds'!$K$40/12,12,J26/12,I39))</f>
        <v/>
      </c>
      <c r="K39" s="3280" t="str">
        <f>IF('Part III-Sources of Funds'!$I$40="","",-FV('Part III-Sources of Funds'!$K$40/12,12,K26/12,J39))</f>
        <v/>
      </c>
      <c r="M39" s="3155"/>
      <c r="N39" s="3156"/>
    </row>
    <row r="40" spans="1:14" ht="13.15" customHeight="1">
      <c r="A40" s="27" t="s">
        <v>1291</v>
      </c>
      <c r="B40" s="3282">
        <f>IF('Part III-Sources of Funds'!$I$42="","",-FV('Part III-Sources of Funds'!$K$42/12,12,B29/12,'Part III-Sources of Funds'!$I$42))</f>
        <v>374424.75</v>
      </c>
      <c r="C40" s="3282">
        <f>IF('Part III-Sources of Funds'!$I$42="","",-FV('Part III-Sources of Funds'!$K$42/12,12,C29/12,B40))</f>
        <v>332822</v>
      </c>
      <c r="D40" s="3282">
        <f>IF('Part III-Sources of Funds'!$I$42="","",-FV('Part III-Sources of Funds'!$K$42/12,12,D29/12,C40))</f>
        <v>291219.25</v>
      </c>
      <c r="E40" s="3282">
        <f>IF('Part III-Sources of Funds'!$I$42="","",-FV('Part III-Sources of Funds'!$K$42/12,12,E29/12,D40))</f>
        <v>249616.5</v>
      </c>
      <c r="F40" s="3282">
        <f>IF('Part III-Sources of Funds'!$I$42="","",-FV('Part III-Sources of Funds'!$K$42/12,12,F29/12,E40))</f>
        <v>208013.75</v>
      </c>
      <c r="G40" s="3282">
        <f>IF('Part III-Sources of Funds'!$I$42="","",-FV('Part III-Sources of Funds'!$K$42/12,12,G29/12,F40))</f>
        <v>166411</v>
      </c>
      <c r="H40" s="3282">
        <f>IF('Part III-Sources of Funds'!$I$42="","",-FV('Part III-Sources of Funds'!$K$42/12,12,H29/12,G40))</f>
        <v>124808.25</v>
      </c>
      <c r="I40" s="3282">
        <f>IF('Part III-Sources of Funds'!$I$42="","",-FV('Part III-Sources of Funds'!$K$42/12,12,I29/12,H40))</f>
        <v>83205.5</v>
      </c>
      <c r="J40" s="3282">
        <f>IF('Part III-Sources of Funds'!$I$42="","",-FV('Part III-Sources of Funds'!$K$42/12,12,J29/12,I40))</f>
        <v>41602.75</v>
      </c>
      <c r="K40" s="3282">
        <f>IF('Part III-Sources of Funds'!$I$42="","",-FV('Part III-Sources of Funds'!$K$42/12,12,K29/12,J40))</f>
        <v>0</v>
      </c>
      <c r="M40" s="3158"/>
      <c r="N40" s="3159"/>
    </row>
    <row r="41" spans="1:14" ht="4.1500000000000004" customHeight="1">
      <c r="B41" s="18"/>
      <c r="C41" s="18"/>
      <c r="D41" s="18"/>
      <c r="E41" s="18"/>
      <c r="F41" s="18"/>
      <c r="G41" s="18"/>
      <c r="H41" s="18"/>
      <c r="I41" s="18"/>
      <c r="J41" s="18"/>
      <c r="K41" s="18"/>
    </row>
    <row r="42" spans="1:14" ht="14.45" customHeight="1">
      <c r="A42" s="14" t="s">
        <v>2578</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2293" t="s">
        <v>2722</v>
      </c>
      <c r="N42" s="2293"/>
    </row>
    <row r="43" spans="1:14" ht="13.15" customHeight="1">
      <c r="A43" s="19" t="s">
        <v>2500</v>
      </c>
      <c r="B43" s="20">
        <f t="shared" ref="B43:K43" si="15">$B$14*(1+$B$5)^(B42-1)</f>
        <v>1732664.0406475079</v>
      </c>
      <c r="C43" s="20">
        <f t="shared" si="15"/>
        <v>1767317.3214604578</v>
      </c>
      <c r="D43" s="20">
        <f t="shared" si="15"/>
        <v>1802663.667889667</v>
      </c>
      <c r="E43" s="20">
        <f t="shared" si="15"/>
        <v>1838716.9412474604</v>
      </c>
      <c r="F43" s="20">
        <f t="shared" si="15"/>
        <v>1875491.2800724097</v>
      </c>
      <c r="G43" s="20">
        <f t="shared" si="15"/>
        <v>1913001.1056738575</v>
      </c>
      <c r="H43" s="20">
        <f t="shared" si="15"/>
        <v>1951261.1277873348</v>
      </c>
      <c r="I43" s="20">
        <f t="shared" si="15"/>
        <v>1990286.3503430816</v>
      </c>
      <c r="J43" s="20">
        <f t="shared" si="15"/>
        <v>2030092.0773499431</v>
      </c>
      <c r="K43" s="21">
        <f t="shared" si="15"/>
        <v>2070693.9188969419</v>
      </c>
      <c r="M43" s="3153"/>
      <c r="N43" s="3154"/>
    </row>
    <row r="44" spans="1:14" ht="13.15" customHeight="1">
      <c r="A44" s="22" t="s">
        <v>1060</v>
      </c>
      <c r="B44" s="23">
        <f t="shared" ref="B44:K44" si="16">$B$15*(1+$B$5)^(B42-1)</f>
        <v>34653.280812950157</v>
      </c>
      <c r="C44" s="23">
        <f t="shared" si="16"/>
        <v>35346.346429209152</v>
      </c>
      <c r="D44" s="23">
        <f t="shared" si="16"/>
        <v>36053.273357793347</v>
      </c>
      <c r="E44" s="23">
        <f t="shared" si="16"/>
        <v>36774.338824949205</v>
      </c>
      <c r="F44" s="23">
        <f t="shared" si="16"/>
        <v>37509.825601448196</v>
      </c>
      <c r="G44" s="23">
        <f t="shared" si="16"/>
        <v>38260.022113477149</v>
      </c>
      <c r="H44" s="23">
        <f t="shared" si="16"/>
        <v>39025.222555746703</v>
      </c>
      <c r="I44" s="23">
        <f t="shared" si="16"/>
        <v>39805.727006861634</v>
      </c>
      <c r="J44" s="23">
        <f t="shared" si="16"/>
        <v>40601.841546998869</v>
      </c>
      <c r="K44" s="24">
        <f t="shared" si="16"/>
        <v>41413.87837793884</v>
      </c>
      <c r="M44" s="3155"/>
      <c r="N44" s="3156"/>
    </row>
    <row r="45" spans="1:14" ht="13.15" customHeight="1">
      <c r="A45" s="22" t="s">
        <v>2501</v>
      </c>
      <c r="B45" s="23">
        <f t="shared" ref="B45:K45" si="17">-(B43+B44)*$B$8</f>
        <v>-123712.21250223207</v>
      </c>
      <c r="C45" s="23">
        <f t="shared" si="17"/>
        <v>-126186.4567522767</v>
      </c>
      <c r="D45" s="23">
        <f t="shared" si="17"/>
        <v>-128710.18588732224</v>
      </c>
      <c r="E45" s="23">
        <f t="shared" si="17"/>
        <v>-131284.38960506869</v>
      </c>
      <c r="F45" s="23">
        <f t="shared" si="17"/>
        <v>-133910.07739717007</v>
      </c>
      <c r="G45" s="23">
        <f t="shared" si="17"/>
        <v>-136588.27894511344</v>
      </c>
      <c r="H45" s="23">
        <f t="shared" si="17"/>
        <v>-139320.04452401571</v>
      </c>
      <c r="I45" s="23">
        <f t="shared" si="17"/>
        <v>-142106.44541449606</v>
      </c>
      <c r="J45" s="23">
        <f t="shared" si="17"/>
        <v>-144948.57432278595</v>
      </c>
      <c r="K45" s="24">
        <f t="shared" si="17"/>
        <v>-147847.54580924165</v>
      </c>
      <c r="M45" s="3155"/>
      <c r="N45" s="3156"/>
    </row>
    <row r="46" spans="1:14" ht="13.15" customHeight="1">
      <c r="A46" s="22" t="s">
        <v>54</v>
      </c>
      <c r="B46" s="23">
        <f>'Part VI-Revenues &amp; Expenses'!G137</f>
        <v>0</v>
      </c>
      <c r="C46" s="23">
        <f>'Part VI-Revenues &amp; Expenses'!H137</f>
        <v>0</v>
      </c>
      <c r="D46" s="23">
        <f>'Part VI-Revenues &amp; Expenses'!I137</f>
        <v>0</v>
      </c>
      <c r="E46" s="23">
        <f>'Part VI-Revenues &amp; Expenses'!J137</f>
        <v>0</v>
      </c>
      <c r="F46" s="23">
        <f>'Part VI-Revenues &amp; Expenses'!K137</f>
        <v>0</v>
      </c>
      <c r="G46" s="23">
        <f>'Part VI-Revenues &amp; Expenses'!L137</f>
        <v>0</v>
      </c>
      <c r="H46" s="23">
        <f>'Part VI-Revenues &amp; Expenses'!M137</f>
        <v>0</v>
      </c>
      <c r="I46" s="23">
        <f>'Part VI-Revenues &amp; Expenses'!N137</f>
        <v>0</v>
      </c>
      <c r="J46" s="23">
        <f>'Part VI-Revenues &amp; Expenses'!O137</f>
        <v>0</v>
      </c>
      <c r="K46" s="24">
        <f>'Part VI-Revenues &amp; Expenses'!P137</f>
        <v>0</v>
      </c>
      <c r="M46" s="3155"/>
      <c r="N46" s="3156"/>
    </row>
    <row r="47" spans="1:14" ht="13.15" customHeight="1">
      <c r="A47" s="22" t="s">
        <v>55</v>
      </c>
      <c r="B47" s="23">
        <f>'Part VI-Revenues &amp; Expenses'!G141</f>
        <v>0</v>
      </c>
      <c r="C47" s="23">
        <f>'Part VI-Revenues &amp; Expenses'!H141</f>
        <v>0</v>
      </c>
      <c r="D47" s="23">
        <f>'Part VI-Revenues &amp; Expenses'!I141</f>
        <v>0</v>
      </c>
      <c r="E47" s="23">
        <f>'Part VI-Revenues &amp; Expenses'!J141</f>
        <v>0</v>
      </c>
      <c r="F47" s="23">
        <f>'Part VI-Revenues &amp; Expenses'!K141</f>
        <v>0</v>
      </c>
      <c r="G47" s="23">
        <f>'Part VI-Revenues &amp; Expenses'!L141</f>
        <v>0</v>
      </c>
      <c r="H47" s="23">
        <f>'Part VI-Revenues &amp; Expenses'!M141</f>
        <v>0</v>
      </c>
      <c r="I47" s="23">
        <f>'Part VI-Revenues &amp; Expenses'!N141</f>
        <v>0</v>
      </c>
      <c r="J47" s="23">
        <f>'Part VI-Revenues &amp; Expenses'!O141</f>
        <v>0</v>
      </c>
      <c r="K47" s="24">
        <f>'Part VI-Revenues &amp; Expenses'!P141</f>
        <v>0</v>
      </c>
      <c r="M47" s="3155"/>
      <c r="N47" s="3156"/>
    </row>
    <row r="48" spans="1:14" ht="13.15" customHeight="1">
      <c r="A48" s="22" t="s">
        <v>644</v>
      </c>
      <c r="B48" s="23">
        <f t="shared" ref="B48:K48" si="18">$B$19*(1+$B$6)^(B42-1)</f>
        <v>-945875.22610997979</v>
      </c>
      <c r="C48" s="23">
        <f t="shared" si="18"/>
        <v>-974251.48289327917</v>
      </c>
      <c r="D48" s="23">
        <f t="shared" si="18"/>
        <v>-1003479.0273800774</v>
      </c>
      <c r="E48" s="23">
        <f t="shared" si="18"/>
        <v>-1033583.3982014797</v>
      </c>
      <c r="F48" s="23">
        <f t="shared" si="18"/>
        <v>-1064590.9001475242</v>
      </c>
      <c r="G48" s="23">
        <f t="shared" si="18"/>
        <v>-1096528.62715195</v>
      </c>
      <c r="H48" s="23">
        <f t="shared" si="18"/>
        <v>-1129424.4859665083</v>
      </c>
      <c r="I48" s="23">
        <f t="shared" si="18"/>
        <v>-1163307.2205455035</v>
      </c>
      <c r="J48" s="23">
        <f t="shared" si="18"/>
        <v>-1198206.4371618687</v>
      </c>
      <c r="K48" s="24">
        <f t="shared" si="18"/>
        <v>-1234152.6302767247</v>
      </c>
      <c r="M48" s="3155"/>
      <c r="N48" s="3156"/>
    </row>
    <row r="49" spans="1:14" ht="13.15" customHeight="1">
      <c r="A49" s="22" t="s">
        <v>1160</v>
      </c>
      <c r="B49" s="23">
        <f>IF(AND('Part VII-Pro Forma'!$G$8="Yes",'Part VII-Pro Forma'!$G$9="Yes"),"Choose One!",IF('Part VII-Pro Forma'!$G$8="Yes",ROUND((-$K$8*(1+'Part VII-Pro Forma'!$B$6)^('Part VII-Pro Forma'!B42-1)),),IF('Part VII-Pro Forma'!$G$9="Yes",ROUND((-(SUM(B43:B46)*'Part VII-Pro Forma'!$K$9)),),"Choose mgt fee")))</f>
        <v>-90601</v>
      </c>
      <c r="C49" s="23">
        <f>IF(AND('Part VII-Pro Forma'!$G$8="Yes",'Part VII-Pro Forma'!$G$9="Yes"),"Choose One!",IF('Part VII-Pro Forma'!$G$8="Yes",ROUND((-$K$8*(1+'Part VII-Pro Forma'!$B$6)^('Part VII-Pro Forma'!C42-1)),),IF('Part VII-Pro Forma'!$G$9="Yes",ROUND((-(SUM(C43:C46)*'Part VII-Pro Forma'!$K$9)),),"Choose mgt fee")))</f>
        <v>-93320</v>
      </c>
      <c r="D49" s="23">
        <f>IF(AND('Part VII-Pro Forma'!$G$8="Yes",'Part VII-Pro Forma'!$G$9="Yes"),"Choose One!",IF('Part VII-Pro Forma'!$G$8="Yes",ROUND((-$K$8*(1+'Part VII-Pro Forma'!$B$6)^('Part VII-Pro Forma'!D42-1)),),IF('Part VII-Pro Forma'!$G$9="Yes",ROUND((-(SUM(D43:D46)*'Part VII-Pro Forma'!$K$9)),),"Choose mgt fee")))</f>
        <v>-96119</v>
      </c>
      <c r="E49" s="23">
        <f>IF(AND('Part VII-Pro Forma'!$G$8="Yes",'Part VII-Pro Forma'!$G$9="Yes"),"Choose One!",IF('Part VII-Pro Forma'!$G$8="Yes",ROUND((-$K$8*(1+'Part VII-Pro Forma'!$B$6)^('Part VII-Pro Forma'!E42-1)),),IF('Part VII-Pro Forma'!$G$9="Yes",ROUND((-(SUM(E43:E46)*'Part VII-Pro Forma'!$K$9)),),"Choose mgt fee")))</f>
        <v>-99003</v>
      </c>
      <c r="F49" s="23">
        <f>IF(AND('Part VII-Pro Forma'!$G$8="Yes",'Part VII-Pro Forma'!$G$9="Yes"),"Choose One!",IF('Part VII-Pro Forma'!$G$8="Yes",ROUND((-$K$8*(1+'Part VII-Pro Forma'!$B$6)^('Part VII-Pro Forma'!F42-1)),),IF('Part VII-Pro Forma'!$G$9="Yes",ROUND((-(SUM(F43:F46)*'Part VII-Pro Forma'!$K$9)),),"Choose mgt fee")))</f>
        <v>-101973</v>
      </c>
      <c r="G49" s="23">
        <f>IF(AND('Part VII-Pro Forma'!$G$8="Yes",'Part VII-Pro Forma'!$G$9="Yes"),"Choose One!",IF('Part VII-Pro Forma'!$G$8="Yes",ROUND((-$K$8*(1+'Part VII-Pro Forma'!$B$6)^('Part VII-Pro Forma'!G42-1)),),IF('Part VII-Pro Forma'!$G$9="Yes",ROUND((-(SUM(G43:G46)*'Part VII-Pro Forma'!$K$9)),),"Choose mgt fee")))</f>
        <v>-105032</v>
      </c>
      <c r="H49" s="23">
        <f>IF(AND('Part VII-Pro Forma'!$G$8="Yes",'Part VII-Pro Forma'!$G$9="Yes"),"Choose One!",IF('Part VII-Pro Forma'!$G$8="Yes",ROUND((-$K$8*(1+'Part VII-Pro Forma'!$B$6)^('Part VII-Pro Forma'!H42-1)),),IF('Part VII-Pro Forma'!$G$9="Yes",ROUND((-(SUM(H43:H46)*'Part VII-Pro Forma'!$K$9)),),"Choose mgt fee")))</f>
        <v>-108183</v>
      </c>
      <c r="I49" s="23">
        <f>IF(AND('Part VII-Pro Forma'!$G$8="Yes",'Part VII-Pro Forma'!$G$9="Yes"),"Choose One!",IF('Part VII-Pro Forma'!$G$8="Yes",ROUND((-$K$8*(1+'Part VII-Pro Forma'!$B$6)^('Part VII-Pro Forma'!I42-1)),),IF('Part VII-Pro Forma'!$G$9="Yes",ROUND((-(SUM(I43:I46)*'Part VII-Pro Forma'!$K$9)),),"Choose mgt fee")))</f>
        <v>-111428</v>
      </c>
      <c r="J49" s="23">
        <f>IF(AND('Part VII-Pro Forma'!$G$8="Yes",'Part VII-Pro Forma'!$G$9="Yes"),"Choose One!",IF('Part VII-Pro Forma'!$G$8="Yes",ROUND((-$K$8*(1+'Part VII-Pro Forma'!$B$6)^('Part VII-Pro Forma'!J42-1)),),IF('Part VII-Pro Forma'!$G$9="Yes",ROUND((-(SUM(J43:J46)*'Part VII-Pro Forma'!$K$9)),),"Choose mgt fee")))</f>
        <v>-114771</v>
      </c>
      <c r="K49" s="23">
        <f>IF(AND('Part VII-Pro Forma'!$G$8="Yes",'Part VII-Pro Forma'!$G$9="Yes"),"Choose One!",IF('Part VII-Pro Forma'!$G$8="Yes",ROUND((-$K$8*(1+'Part VII-Pro Forma'!$B$6)^('Part VII-Pro Forma'!K42-1)),),IF('Part VII-Pro Forma'!$G$9="Yes",ROUND((-(SUM(K43:K46)*'Part VII-Pro Forma'!$K$9)),),"Choose mgt fee")))</f>
        <v>-118214</v>
      </c>
      <c r="M49" s="3155"/>
      <c r="N49" s="3156"/>
    </row>
    <row r="50" spans="1:14" ht="13.15" customHeight="1">
      <c r="A50" s="22" t="s">
        <v>1254</v>
      </c>
      <c r="B50" s="23">
        <f t="shared" ref="B50:K50" si="19">$B$21*(1+$B$7)^(B42-1)</f>
        <v>-54428.613363436933</v>
      </c>
      <c r="C50" s="23">
        <f t="shared" si="19"/>
        <v>-56061.471764340044</v>
      </c>
      <c r="D50" s="23">
        <f t="shared" si="19"/>
        <v>-57743.315917270236</v>
      </c>
      <c r="E50" s="23">
        <f t="shared" si="19"/>
        <v>-59475.615394788336</v>
      </c>
      <c r="F50" s="23">
        <f t="shared" si="19"/>
        <v>-61259.883856631997</v>
      </c>
      <c r="G50" s="23">
        <f t="shared" si="19"/>
        <v>-63097.680372330957</v>
      </c>
      <c r="H50" s="23">
        <f t="shared" si="19"/>
        <v>-64990.610783500873</v>
      </c>
      <c r="I50" s="23">
        <f t="shared" si="19"/>
        <v>-66940.329107005906</v>
      </c>
      <c r="J50" s="23">
        <f t="shared" si="19"/>
        <v>-68948.538980216079</v>
      </c>
      <c r="K50" s="24">
        <f t="shared" si="19"/>
        <v>-71016.995149622555</v>
      </c>
      <c r="M50" s="3155"/>
      <c r="N50" s="3156"/>
    </row>
    <row r="51" spans="1:14" ht="13.15" customHeight="1">
      <c r="A51" s="22" t="s">
        <v>1255</v>
      </c>
      <c r="B51" s="23">
        <f t="shared" ref="B51:K51" si="20">SUM(B43:B50)</f>
        <v>552700.26948480925</v>
      </c>
      <c r="C51" s="23">
        <f t="shared" si="20"/>
        <v>552844.25647977099</v>
      </c>
      <c r="D51" s="23">
        <f t="shared" si="20"/>
        <v>552665.41206279048</v>
      </c>
      <c r="E51" s="23">
        <f t="shared" si="20"/>
        <v>552144.87687107304</v>
      </c>
      <c r="F51" s="23">
        <f t="shared" si="20"/>
        <v>551267.24427253171</v>
      </c>
      <c r="G51" s="23">
        <f t="shared" si="20"/>
        <v>550014.54131794011</v>
      </c>
      <c r="H51" s="23">
        <f t="shared" si="20"/>
        <v>548368.2090690569</v>
      </c>
      <c r="I51" s="23">
        <f t="shared" si="20"/>
        <v>546310.08228293783</v>
      </c>
      <c r="J51" s="23">
        <f t="shared" si="20"/>
        <v>543819.36843207129</v>
      </c>
      <c r="K51" s="24">
        <f t="shared" si="20"/>
        <v>540876.62603929162</v>
      </c>
      <c r="M51" s="3155"/>
      <c r="N51" s="3156"/>
    </row>
    <row r="52" spans="1:14" ht="13.15" customHeight="1">
      <c r="A52" s="22" t="str">
        <f>$A23</f>
        <v>Mortgage A</v>
      </c>
      <c r="B52" s="3279">
        <f>IF('Part III-Sources of Funds'!$N$37="", 0,-'Part III-Sources of Funds'!$N$37)</f>
        <v>-361987.34381576651</v>
      </c>
      <c r="C52" s="3279">
        <f>IF('Part III-Sources of Funds'!$N$37="", 0,-'Part III-Sources of Funds'!$N$37)</f>
        <v>-361987.34381576651</v>
      </c>
      <c r="D52" s="3279">
        <f>IF('Part III-Sources of Funds'!$N$37="", 0,-'Part III-Sources of Funds'!$N$37)</f>
        <v>-361987.34381576651</v>
      </c>
      <c r="E52" s="3279">
        <f>IF('Part III-Sources of Funds'!$N$37="", 0,-'Part III-Sources of Funds'!$N$37)</f>
        <v>-361987.34381576651</v>
      </c>
      <c r="F52" s="3279">
        <f>IF('Part III-Sources of Funds'!$N$37="", 0,-'Part III-Sources of Funds'!$N$37)</f>
        <v>-361987.34381576651</v>
      </c>
      <c r="G52" s="3279">
        <f>IF('Part III-Sources of Funds'!$N$37="", 0,-'Part III-Sources of Funds'!$N$37)</f>
        <v>-361987.34381576651</v>
      </c>
      <c r="H52" s="3279">
        <f>IF('Part III-Sources of Funds'!$N$37="", 0,-'Part III-Sources of Funds'!$N$37)</f>
        <v>-361987.34381576651</v>
      </c>
      <c r="I52" s="3279">
        <f>IF('Part III-Sources of Funds'!$N$37="", 0,-'Part III-Sources of Funds'!$N$37)</f>
        <v>-361987.34381576651</v>
      </c>
      <c r="J52" s="3279">
        <f>IF('Part III-Sources of Funds'!$N$37="", 0,-'Part III-Sources of Funds'!$N$37)</f>
        <v>-361987.34381576651</v>
      </c>
      <c r="K52" s="3279">
        <f>IF('Part III-Sources of Funds'!$N$37="", 0,-'Part III-Sources of Funds'!$N$37)</f>
        <v>-361987.34381576651</v>
      </c>
      <c r="M52" s="3155"/>
      <c r="N52" s="3156"/>
    </row>
    <row r="53" spans="1:14" ht="13.15" customHeight="1">
      <c r="A53" s="22" t="str">
        <f>$A24</f>
        <v>Mortgage B</v>
      </c>
      <c r="B53" s="3280">
        <f>IF('Part III-Sources of Funds'!$N$38="", 0,-'Part III-Sources of Funds'!$N$38)</f>
        <v>-101622.85161720682</v>
      </c>
      <c r="C53" s="3280">
        <f>IF('Part III-Sources of Funds'!$N$38="", 0,-'Part III-Sources of Funds'!$N$38)</f>
        <v>-101622.85161720682</v>
      </c>
      <c r="D53" s="3280">
        <f>IF('Part III-Sources of Funds'!$N$38="", 0,-'Part III-Sources of Funds'!$N$38)</f>
        <v>-101622.85161720682</v>
      </c>
      <c r="E53" s="3280">
        <f>IF('Part III-Sources of Funds'!$N$38="", 0,-'Part III-Sources of Funds'!$N$38)</f>
        <v>-101622.85161720682</v>
      </c>
      <c r="F53" s="3280">
        <f>IF('Part III-Sources of Funds'!$N$38="", 0,-'Part III-Sources of Funds'!$N$38)</f>
        <v>-101622.85161720682</v>
      </c>
      <c r="G53" s="3280">
        <f>IF('Part III-Sources of Funds'!$N$38="", 0,-'Part III-Sources of Funds'!$N$38)</f>
        <v>-101622.85161720682</v>
      </c>
      <c r="H53" s="3280">
        <f>IF('Part III-Sources of Funds'!$N$38="", 0,-'Part III-Sources of Funds'!$N$38)</f>
        <v>-101622.85161720682</v>
      </c>
      <c r="I53" s="3280">
        <f>IF('Part III-Sources of Funds'!$N$38="", 0,-'Part III-Sources of Funds'!$N$38)</f>
        <v>-101622.85161720682</v>
      </c>
      <c r="J53" s="3280">
        <f>IF('Part III-Sources of Funds'!$N$38="", 0,-'Part III-Sources of Funds'!$N$38)</f>
        <v>-101622.85161720682</v>
      </c>
      <c r="K53" s="3280">
        <f>IF('Part III-Sources of Funds'!$N$38="", 0,-'Part III-Sources of Funds'!$N$38)</f>
        <v>-101622.85161720682</v>
      </c>
      <c r="M53" s="3155"/>
      <c r="N53" s="3156"/>
    </row>
    <row r="54" spans="1:14" ht="13.15" customHeight="1">
      <c r="A54" s="22" t="str">
        <f>$A25</f>
        <v>Mortgage C</v>
      </c>
      <c r="B54" s="3280">
        <f>IF('Part III-Sources of Funds'!$N$39="", 0,-'Part III-Sources of Funds'!$N$39)</f>
        <v>0</v>
      </c>
      <c r="C54" s="3280">
        <f>IF('Part III-Sources of Funds'!$N$39="", 0,-'Part III-Sources of Funds'!$N$39)</f>
        <v>0</v>
      </c>
      <c r="D54" s="3280">
        <f>IF('Part III-Sources of Funds'!$N$39="", 0,-'Part III-Sources of Funds'!$N$39)</f>
        <v>0</v>
      </c>
      <c r="E54" s="3280">
        <f>IF('Part III-Sources of Funds'!$N$39="", 0,-'Part III-Sources of Funds'!$N$39)</f>
        <v>0</v>
      </c>
      <c r="F54" s="3280">
        <f>IF('Part III-Sources of Funds'!$N$39="", 0,-'Part III-Sources of Funds'!$N$39)</f>
        <v>0</v>
      </c>
      <c r="G54" s="3280">
        <f>IF('Part III-Sources of Funds'!$N$39="", 0,-'Part III-Sources of Funds'!$N$39)</f>
        <v>0</v>
      </c>
      <c r="H54" s="3280">
        <f>IF('Part III-Sources of Funds'!$N$39="", 0,-'Part III-Sources of Funds'!$N$39)</f>
        <v>0</v>
      </c>
      <c r="I54" s="3280">
        <f>IF('Part III-Sources of Funds'!$N$39="", 0,-'Part III-Sources of Funds'!$N$39)</f>
        <v>0</v>
      </c>
      <c r="J54" s="3280">
        <f>IF('Part III-Sources of Funds'!$N$39="", 0,-'Part III-Sources of Funds'!$N$39)</f>
        <v>0</v>
      </c>
      <c r="K54" s="3280">
        <f>IF('Part III-Sources of Funds'!$N$39="", 0,-'Part III-Sources of Funds'!$N$39)</f>
        <v>0</v>
      </c>
      <c r="M54" s="3155"/>
      <c r="N54" s="3156"/>
    </row>
    <row r="55" spans="1:14" ht="13.15" customHeight="1">
      <c r="A55" s="22" t="str">
        <f>$A26</f>
        <v>D/S Other Source</v>
      </c>
      <c r="B55" s="3280">
        <f>IF('Part III-Sources of Funds'!$N$40="", 0,-'Part III-Sources of Funds'!$N$40)</f>
        <v>0</v>
      </c>
      <c r="C55" s="3280">
        <f>IF('Part III-Sources of Funds'!$N$40="", 0,-'Part III-Sources of Funds'!$N$40)</f>
        <v>0</v>
      </c>
      <c r="D55" s="3280">
        <f>IF('Part III-Sources of Funds'!$N$40="", 0,-'Part III-Sources of Funds'!$N$40)</f>
        <v>0</v>
      </c>
      <c r="E55" s="3280">
        <f>IF('Part III-Sources of Funds'!$N$40="", 0,-'Part III-Sources of Funds'!$N$40)</f>
        <v>0</v>
      </c>
      <c r="F55" s="3280">
        <f>IF('Part III-Sources of Funds'!$N$40="", 0,-'Part III-Sources of Funds'!$N$40)</f>
        <v>0</v>
      </c>
      <c r="G55" s="3280">
        <f>IF('Part III-Sources of Funds'!$N$40="", 0,-'Part III-Sources of Funds'!$N$40)</f>
        <v>0</v>
      </c>
      <c r="H55" s="3280">
        <f>IF('Part III-Sources of Funds'!$N$40="", 0,-'Part III-Sources of Funds'!$N$40)</f>
        <v>0</v>
      </c>
      <c r="I55" s="3280">
        <f>IF('Part III-Sources of Funds'!$N$40="", 0,-'Part III-Sources of Funds'!$N$40)</f>
        <v>0</v>
      </c>
      <c r="J55" s="3280">
        <f>IF('Part III-Sources of Funds'!$N$40="", 0,-'Part III-Sources of Funds'!$N$40)</f>
        <v>0</v>
      </c>
      <c r="K55" s="3280">
        <f>IF('Part III-Sources of Funds'!$N$40="", 0,-'Part III-Sources of Funds'!$N$40)</f>
        <v>0</v>
      </c>
      <c r="M55" s="3155"/>
      <c r="N55" s="3156"/>
    </row>
    <row r="56" spans="1:14" ht="13.15" customHeight="1">
      <c r="A56" s="22" t="s">
        <v>801</v>
      </c>
      <c r="B56" s="3281"/>
      <c r="C56" s="3281"/>
      <c r="D56" s="3281"/>
      <c r="E56" s="3281"/>
      <c r="F56" s="3281"/>
      <c r="G56" s="3281"/>
      <c r="H56" s="3281"/>
      <c r="I56" s="3281"/>
      <c r="J56" s="3281"/>
      <c r="K56" s="3281"/>
      <c r="M56" s="3155"/>
      <c r="N56" s="3156"/>
    </row>
    <row r="57" spans="1:14" ht="13.15" customHeight="1">
      <c r="A57" s="22" t="s">
        <v>1213</v>
      </c>
      <c r="B57" s="3280">
        <f>+K28</f>
        <v>-7500</v>
      </c>
      <c r="C57" s="3280">
        <f t="shared" ref="C57:K57" si="21">+B57</f>
        <v>-7500</v>
      </c>
      <c r="D57" s="3280">
        <f t="shared" si="21"/>
        <v>-7500</v>
      </c>
      <c r="E57" s="3280">
        <f t="shared" si="21"/>
        <v>-7500</v>
      </c>
      <c r="F57" s="3280">
        <f t="shared" si="21"/>
        <v>-7500</v>
      </c>
      <c r="G57" s="3280">
        <f t="shared" si="21"/>
        <v>-7500</v>
      </c>
      <c r="H57" s="3280">
        <f t="shared" si="21"/>
        <v>-7500</v>
      </c>
      <c r="I57" s="3280">
        <f t="shared" si="21"/>
        <v>-7500</v>
      </c>
      <c r="J57" s="3280">
        <f t="shared" si="21"/>
        <v>-7500</v>
      </c>
      <c r="K57" s="3280">
        <f t="shared" si="21"/>
        <v>-7500</v>
      </c>
      <c r="M57" s="3155"/>
      <c r="N57" s="3156"/>
    </row>
    <row r="58" spans="1:14" ht="13.15" customHeight="1">
      <c r="A58" s="22" t="s">
        <v>1256</v>
      </c>
      <c r="B58" s="3282"/>
      <c r="C58" s="3282"/>
      <c r="D58" s="3282"/>
      <c r="E58" s="3282"/>
      <c r="F58" s="3282"/>
      <c r="G58" s="3282"/>
      <c r="H58" s="3282"/>
      <c r="I58" s="3282"/>
      <c r="J58" s="3282"/>
      <c r="K58" s="3280"/>
      <c r="M58" s="3155"/>
      <c r="N58" s="3156"/>
    </row>
    <row r="59" spans="1:14" ht="13.15" customHeight="1">
      <c r="A59" s="22" t="s">
        <v>1214</v>
      </c>
      <c r="B59" s="23">
        <f t="shared" ref="B59:K59" si="22">SUM(B51:B58)</f>
        <v>81590.074051835923</v>
      </c>
      <c r="C59" s="23">
        <f t="shared" si="22"/>
        <v>81734.061046797666</v>
      </c>
      <c r="D59" s="23">
        <f t="shared" si="22"/>
        <v>81555.216629817151</v>
      </c>
      <c r="E59" s="23">
        <f t="shared" si="22"/>
        <v>81034.681438099709</v>
      </c>
      <c r="F59" s="23">
        <f t="shared" si="22"/>
        <v>80157.048839558382</v>
      </c>
      <c r="G59" s="23">
        <f t="shared" si="22"/>
        <v>78904.34588496678</v>
      </c>
      <c r="H59" s="23">
        <f t="shared" si="22"/>
        <v>77258.013636083575</v>
      </c>
      <c r="I59" s="23">
        <f t="shared" si="22"/>
        <v>75199.886849964503</v>
      </c>
      <c r="J59" s="23">
        <f t="shared" si="22"/>
        <v>72709.172999097966</v>
      </c>
      <c r="K59" s="21">
        <f t="shared" si="22"/>
        <v>69766.430606318288</v>
      </c>
      <c r="M59" s="3155"/>
      <c r="N59" s="3156"/>
    </row>
    <row r="60" spans="1:14" ht="13.15" customHeight="1">
      <c r="A60" s="22" t="str">
        <f>$A31</f>
        <v>DCR Mortgage A</v>
      </c>
      <c r="B60" s="25">
        <f>IF(B52=0,"",-B51/B52)</f>
        <v>1.5268497060110093</v>
      </c>
      <c r="C60" s="25">
        <f t="shared" ref="C60:K60" si="23">IF(C52=0,"",-C51/C52)</f>
        <v>1.5272474740474382</v>
      </c>
      <c r="D60" s="25">
        <f t="shared" si="23"/>
        <v>1.5267534114233274</v>
      </c>
      <c r="E60" s="25">
        <f t="shared" si="23"/>
        <v>1.5253154186299045</v>
      </c>
      <c r="F60" s="25">
        <f t="shared" si="23"/>
        <v>1.5228909344220034</v>
      </c>
      <c r="G60" s="25">
        <f t="shared" si="23"/>
        <v>1.5194303080327307</v>
      </c>
      <c r="H60" s="25">
        <f t="shared" si="23"/>
        <v>1.5148822698844104</v>
      </c>
      <c r="I60" s="25">
        <f t="shared" si="23"/>
        <v>1.5091966379934609</v>
      </c>
      <c r="J60" s="25">
        <f t="shared" si="23"/>
        <v>1.5023159724303736</v>
      </c>
      <c r="K60" s="26">
        <f t="shared" si="23"/>
        <v>1.4941865655794055</v>
      </c>
      <c r="M60" s="3155"/>
      <c r="N60" s="3156"/>
    </row>
    <row r="61" spans="1:14" ht="13.15" customHeight="1">
      <c r="A61" s="22" t="str">
        <f>$A32</f>
        <v>DCR Mortgage B</v>
      </c>
      <c r="B61" s="25">
        <f>IF(OR(B53=0,AND(B53=0,B52=0)),"",-B51/(B52+B53))</f>
        <v>1.192165907759283</v>
      </c>
      <c r="C61" s="25">
        <f t="shared" ref="C61:K61" si="24">IF(OR(C53=0,AND(C53=0,C52=0)),"",-C51/(C52+C53))</f>
        <v>1.1924764854738807</v>
      </c>
      <c r="D61" s="25">
        <f t="shared" si="24"/>
        <v>1.192090720840699</v>
      </c>
      <c r="E61" s="25">
        <f t="shared" si="24"/>
        <v>1.1909679345067372</v>
      </c>
      <c r="F61" s="25">
        <f t="shared" si="24"/>
        <v>1.1890748946055727</v>
      </c>
      <c r="G61" s="25">
        <f t="shared" si="24"/>
        <v>1.1863728337645214</v>
      </c>
      <c r="H61" s="25">
        <f t="shared" si="24"/>
        <v>1.182821720641684</v>
      </c>
      <c r="I61" s="25">
        <f t="shared" si="24"/>
        <v>1.1783823730898102</v>
      </c>
      <c r="J61" s="25">
        <f t="shared" si="24"/>
        <v>1.1730099419495925</v>
      </c>
      <c r="K61" s="26">
        <f t="shared" si="24"/>
        <v>1.1666624922563618</v>
      </c>
      <c r="M61" s="3155"/>
      <c r="N61" s="3156"/>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3155"/>
      <c r="N62" s="3156"/>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3155"/>
      <c r="N63" s="3156"/>
    </row>
    <row r="64" spans="1:14" ht="13.15" customHeight="1">
      <c r="A64" s="22" t="s">
        <v>808</v>
      </c>
      <c r="B64" s="293">
        <f>IF(OR(B49="Choose mgt fee",B49="Choose One!"),"",(B43+B44+B45+B46+B47) / -(B48+B49+B50))</f>
        <v>1.5066438881613169</v>
      </c>
      <c r="C64" s="293">
        <f t="shared" ref="C64:K64" si="27">IF(OR(C49="Choose mgt fee",C49="Choose One!"),"",(C43+C44+C45+C46+C47) / -(C48+C49+C50))</f>
        <v>1.4920149895819204</v>
      </c>
      <c r="D64" s="293">
        <f t="shared" si="27"/>
        <v>1.4775301731537624</v>
      </c>
      <c r="E64" s="293">
        <f t="shared" si="27"/>
        <v>1.4631846922169234</v>
      </c>
      <c r="F64" s="293">
        <f t="shared" si="27"/>
        <v>1.4489791218042292</v>
      </c>
      <c r="G64" s="293">
        <f t="shared" si="27"/>
        <v>1.4349115789186242</v>
      </c>
      <c r="H64" s="293">
        <f t="shared" si="27"/>
        <v>1.4209803549055071</v>
      </c>
      <c r="I64" s="293">
        <f t="shared" si="27"/>
        <v>1.4071849430545491</v>
      </c>
      <c r="J64" s="293">
        <f t="shared" si="27"/>
        <v>1.3935227919734521</v>
      </c>
      <c r="K64" s="294">
        <f t="shared" si="27"/>
        <v>1.3799935705156663</v>
      </c>
      <c r="M64" s="3155"/>
      <c r="N64" s="3156"/>
    </row>
    <row r="65" spans="1:14" ht="13.15" customHeight="1">
      <c r="A65" s="468" t="s">
        <v>2717</v>
      </c>
      <c r="B65" s="3283">
        <f>IF('Part III-Sources of Funds'!$I$37="","",-FV('Part III-Sources of Funds'!$K$37/12,12,B52/12,K36))</f>
        <v>5495324.5594468536</v>
      </c>
      <c r="C65" s="3283">
        <f>IF('Part III-Sources of Funds'!$I$37="","",-FV('Part III-Sources of Funds'!$K$37/12,12,C52/12,B65))</f>
        <v>5358816.1018568035</v>
      </c>
      <c r="D65" s="3283">
        <f>IF('Part III-Sources of Funds'!$I$37="","",-FV('Part III-Sources of Funds'!$K$37/12,12,D52/12,C65))</f>
        <v>5216533.5364406221</v>
      </c>
      <c r="E65" s="3283">
        <f>IF('Part III-Sources of Funds'!$I$37="","",-FV('Part III-Sources of Funds'!$K$37/12,12,E52/12,D65))</f>
        <v>5068232.6268940074</v>
      </c>
      <c r="F65" s="3283">
        <f>IF('Part III-Sources of Funds'!$I$37="","",-FV('Part III-Sources of Funds'!$K$37/12,12,F52/12,E65))</f>
        <v>4913658.8060746929</v>
      </c>
      <c r="G65" s="3283">
        <f>IF('Part III-Sources of Funds'!$I$37="","",-FV('Part III-Sources of Funds'!$K$37/12,12,G52/12,F65))</f>
        <v>4752546.7390231322</v>
      </c>
      <c r="H65" s="3283">
        <f>IF('Part III-Sources of Funds'!$I$37="","",-FV('Part III-Sources of Funds'!$K$37/12,12,H52/12,G65))</f>
        <v>4584619.8674996002</v>
      </c>
      <c r="I65" s="3283">
        <f>IF('Part III-Sources of Funds'!$I$37="","",-FV('Part III-Sources of Funds'!$K$37/12,12,I52/12,H65))</f>
        <v>4409589.9352558777</v>
      </c>
      <c r="J65" s="3283">
        <f>IF('Part III-Sources of Funds'!$I$37="","",-FV('Part III-Sources of Funds'!$K$37/12,12,J52/12,I65))</f>
        <v>4227156.4932266241</v>
      </c>
      <c r="K65" s="3283">
        <f>IF('Part III-Sources of Funds'!$I$37="","",-FV('Part III-Sources of Funds'!$K$37/12,12,K52/12,J65))</f>
        <v>4037006.3837910728</v>
      </c>
      <c r="M65" s="3155"/>
      <c r="N65" s="3156"/>
    </row>
    <row r="66" spans="1:14" ht="13.15" customHeight="1">
      <c r="A66" s="468" t="s">
        <v>2718</v>
      </c>
      <c r="B66" s="3280">
        <f>IF('Part III-Sources of Funds'!$I$38="","",-FV('Part III-Sources of Funds'!$K$38/12,12,B53/12,K37))</f>
        <v>2167549.5316476282</v>
      </c>
      <c r="C66" s="3280">
        <f>IF('Part III-Sources of Funds'!$I$38="","",-FV('Part III-Sources of Funds'!$K$38/12,12,C53/12,B66))</f>
        <v>2087234.7302045655</v>
      </c>
      <c r="D66" s="3280">
        <f>IF('Part III-Sources of Funds'!$I$38="","",-FV('Part III-Sources of Funds'!$K$38/12,12,D53/12,C66))</f>
        <v>2006113.0894075437</v>
      </c>
      <c r="E66" s="3280">
        <f>IF('Part III-Sources of Funds'!$I$38="","",-FV('Part III-Sources of Funds'!$K$38/12,12,E53/12,D66))</f>
        <v>1924176.5037799713</v>
      </c>
      <c r="F66" s="3280">
        <f>IF('Part III-Sources of Funds'!$I$38="","",-FV('Part III-Sources of Funds'!$K$38/12,12,F53/12,E66))</f>
        <v>1841416.7864179553</v>
      </c>
      <c r="G66" s="3280">
        <f>IF('Part III-Sources of Funds'!$I$38="","",-FV('Part III-Sources of Funds'!$K$38/12,12,G53/12,F66))</f>
        <v>1757825.6681722864</v>
      </c>
      <c r="H66" s="3280">
        <f>IF('Part III-Sources of Funds'!$I$38="","",-FV('Part III-Sources of Funds'!$K$38/12,12,H53/12,G66))</f>
        <v>1673394.7968222057</v>
      </c>
      <c r="I66" s="3280">
        <f>IF('Part III-Sources of Funds'!$I$38="","",-FV('Part III-Sources of Funds'!$K$38/12,12,I53/12,H66))</f>
        <v>1588115.7362408715</v>
      </c>
      <c r="J66" s="3280">
        <f>IF('Part III-Sources of Funds'!$I$38="","",-FV('Part III-Sources of Funds'!$K$38/12,12,J53/12,I66))</f>
        <v>1501979.9655524418</v>
      </c>
      <c r="K66" s="3280">
        <f>IF('Part III-Sources of Funds'!$I$38="","",-FV('Part III-Sources of Funds'!$K$38/12,12,K53/12,J66))</f>
        <v>1414978.878280689</v>
      </c>
      <c r="M66" s="3155"/>
      <c r="N66" s="3156"/>
    </row>
    <row r="67" spans="1:14" ht="13.15" customHeight="1">
      <c r="A67" s="468" t="s">
        <v>2719</v>
      </c>
      <c r="B67" s="3280" t="str">
        <f>IF('Part III-Sources of Funds'!$I$39="","",-FV('Part III-Sources of Funds'!$K$39/12,12,B54/12,K38))</f>
        <v/>
      </c>
      <c r="C67" s="3280" t="str">
        <f>IF('Part III-Sources of Funds'!$I$39="","",-FV('Part III-Sources of Funds'!$K$39/12,12,C54/12,B67))</f>
        <v/>
      </c>
      <c r="D67" s="3280" t="str">
        <f>IF('Part III-Sources of Funds'!$I$39="","",-FV('Part III-Sources of Funds'!$K$39/12,12,D54/12,C67))</f>
        <v/>
      </c>
      <c r="E67" s="3280" t="str">
        <f>IF('Part III-Sources of Funds'!$I$39="","",-FV('Part III-Sources of Funds'!$K$39/12,12,E54/12,D67))</f>
        <v/>
      </c>
      <c r="F67" s="3280" t="str">
        <f>IF('Part III-Sources of Funds'!$I$39="","",-FV('Part III-Sources of Funds'!$K$39/12,12,F54/12,E67))</f>
        <v/>
      </c>
      <c r="G67" s="3280" t="str">
        <f>IF('Part III-Sources of Funds'!$I$39="","",-FV('Part III-Sources of Funds'!$K$39/12,12,G54/12,F67))</f>
        <v/>
      </c>
      <c r="H67" s="3280" t="str">
        <f>IF('Part III-Sources of Funds'!$I$39="","",-FV('Part III-Sources of Funds'!$K$39/12,12,H54/12,G67))</f>
        <v/>
      </c>
      <c r="I67" s="3280" t="str">
        <f>IF('Part III-Sources of Funds'!$I$39="","",-FV('Part III-Sources of Funds'!$K$39/12,12,I54/12,H67))</f>
        <v/>
      </c>
      <c r="J67" s="3280" t="str">
        <f>IF('Part III-Sources of Funds'!$I$39="","",-FV('Part III-Sources of Funds'!$K$39/12,12,J54/12,I67))</f>
        <v/>
      </c>
      <c r="K67" s="3280" t="str">
        <f>IF('Part III-Sources of Funds'!$I$39="","",-FV('Part III-Sources of Funds'!$K$39/12,12,K54/12,J67))</f>
        <v/>
      </c>
      <c r="M67" s="3155"/>
      <c r="N67" s="3156"/>
    </row>
    <row r="68" spans="1:14" ht="13.15" customHeight="1">
      <c r="A68" s="22" t="s">
        <v>823</v>
      </c>
      <c r="B68" s="3280" t="str">
        <f>IF('Part III-Sources of Funds'!$I$40="","",-FV('Part III-Sources of Funds'!$K$40/12,12,B55/12,K39))</f>
        <v/>
      </c>
      <c r="C68" s="3280" t="str">
        <f>IF('Part III-Sources of Funds'!$I$40="","",-FV('Part III-Sources of Funds'!$K$40/12,12,C55/12,B68))</f>
        <v/>
      </c>
      <c r="D68" s="3280" t="str">
        <f>IF('Part III-Sources of Funds'!$I$40="","",-FV('Part III-Sources of Funds'!$K$40/12,12,D55/12,C68))</f>
        <v/>
      </c>
      <c r="E68" s="3280" t="str">
        <f>IF('Part III-Sources of Funds'!$I$40="","",-FV('Part III-Sources of Funds'!$K$40/12,12,E55/12,D68))</f>
        <v/>
      </c>
      <c r="F68" s="3280" t="str">
        <f>IF('Part III-Sources of Funds'!$I$40="","",-FV('Part III-Sources of Funds'!$K$40/12,12,F55/12,E68))</f>
        <v/>
      </c>
      <c r="G68" s="3280" t="str">
        <f>IF('Part III-Sources of Funds'!$I$40="","",-FV('Part III-Sources of Funds'!$K$40/12,12,G55/12,F68))</f>
        <v/>
      </c>
      <c r="H68" s="3280" t="str">
        <f>IF('Part III-Sources of Funds'!$I$40="","",-FV('Part III-Sources of Funds'!$K$40/12,12,H55/12,G68))</f>
        <v/>
      </c>
      <c r="I68" s="3280" t="str">
        <f>IF('Part III-Sources of Funds'!$I$40="","",-FV('Part III-Sources of Funds'!$K$40/12,12,I55/12,H68))</f>
        <v/>
      </c>
      <c r="J68" s="3280" t="str">
        <f>IF('Part III-Sources of Funds'!$I$40="","",-FV('Part III-Sources of Funds'!$K$40/12,12,J55/12,I68))</f>
        <v/>
      </c>
      <c r="K68" s="3280" t="str">
        <f>IF('Part III-Sources of Funds'!$I$40="","",-FV('Part III-Sources of Funds'!$K$40/12,12,K55/12,J68))</f>
        <v/>
      </c>
      <c r="M68" s="3155"/>
      <c r="N68" s="3156"/>
    </row>
    <row r="69" spans="1:14" ht="13.15" customHeight="1">
      <c r="A69" s="27" t="s">
        <v>1291</v>
      </c>
      <c r="B69" s="3282">
        <f>IF('Part III-Sources of Funds'!$I$42="","",-FV('Part III-Sources of Funds'!$K$42/12,12,B58/12,K40))</f>
        <v>0</v>
      </c>
      <c r="C69" s="3282">
        <f>IF('Part III-Sources of Funds'!$I$42="","",-FV('Part III-Sources of Funds'!$K$42/12,12,C58/12,B69))</f>
        <v>0</v>
      </c>
      <c r="D69" s="3282">
        <f>IF('Part III-Sources of Funds'!$I$42="","",-FV('Part III-Sources of Funds'!$K$42/12,12,D58/12,C69))</f>
        <v>0</v>
      </c>
      <c r="E69" s="3282">
        <f>IF('Part III-Sources of Funds'!$I$42="","",-FV('Part III-Sources of Funds'!$K$42/12,12,E58/12,D69))</f>
        <v>0</v>
      </c>
      <c r="F69" s="3282">
        <f>IF('Part III-Sources of Funds'!$I$42="","",-FV('Part III-Sources of Funds'!$K$42/12,12,F58/12,E69))</f>
        <v>0</v>
      </c>
      <c r="G69" s="3282">
        <f>IF('Part III-Sources of Funds'!$I$42="","",-FV('Part III-Sources of Funds'!$K$42/12,12,G58/12,F69))</f>
        <v>0</v>
      </c>
      <c r="H69" s="3282">
        <f>IF('Part III-Sources of Funds'!$I$42="","",-FV('Part III-Sources of Funds'!$K$42/12,12,H58/12,G69))</f>
        <v>0</v>
      </c>
      <c r="I69" s="3282">
        <f>IF('Part III-Sources of Funds'!$I$42="","",-FV('Part III-Sources of Funds'!$K$42/12,12,I58/12,H69))</f>
        <v>0</v>
      </c>
      <c r="J69" s="3282">
        <f>IF('Part III-Sources of Funds'!$I$42="","",-FV('Part III-Sources of Funds'!$K$42/12,12,J58/12,I69))</f>
        <v>0</v>
      </c>
      <c r="K69" s="3282">
        <f>IF('Part III-Sources of Funds'!$I$42="","",-FV('Part III-Sources of Funds'!$K$42/12,12,K58/12,J69))</f>
        <v>0</v>
      </c>
      <c r="M69" s="3158"/>
      <c r="N69" s="3159"/>
    </row>
    <row r="70" spans="1:14" ht="4.1500000000000004" customHeight="1">
      <c r="B70" s="18"/>
      <c r="C70" s="18"/>
      <c r="D70" s="18"/>
      <c r="E70" s="18"/>
      <c r="F70" s="18"/>
      <c r="G70" s="18"/>
      <c r="H70" s="18"/>
      <c r="I70" s="18"/>
      <c r="J70" s="18"/>
      <c r="K70" s="18"/>
    </row>
    <row r="71" spans="1:14" ht="14.45" customHeight="1">
      <c r="A71" s="14" t="s">
        <v>2578</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2293" t="s">
        <v>2723</v>
      </c>
      <c r="N71" s="2293"/>
    </row>
    <row r="72" spans="1:14" ht="13.15" customHeight="1">
      <c r="A72" s="19" t="s">
        <v>2500</v>
      </c>
      <c r="B72" s="20">
        <f t="shared" ref="B72:K72" si="29">$B$14*(1+$B$5)^(B71-1)</f>
        <v>2112107.797274881</v>
      </c>
      <c r="C72" s="20">
        <f t="shared" si="29"/>
        <v>2154349.9532203786</v>
      </c>
      <c r="D72" s="20">
        <f t="shared" si="29"/>
        <v>2197436.9522847859</v>
      </c>
      <c r="E72" s="20">
        <f t="shared" si="29"/>
        <v>2241385.6913304813</v>
      </c>
      <c r="F72" s="20">
        <f t="shared" si="29"/>
        <v>2286213.4051570911</v>
      </c>
      <c r="G72" s="20">
        <f t="shared" si="29"/>
        <v>2331937.6732602329</v>
      </c>
      <c r="H72" s="20">
        <f t="shared" si="29"/>
        <v>2378576.4267254379</v>
      </c>
      <c r="I72" s="20">
        <f t="shared" si="29"/>
        <v>2426147.9552599462</v>
      </c>
      <c r="J72" s="20">
        <f t="shared" si="29"/>
        <v>2474670.9143651458</v>
      </c>
      <c r="K72" s="21">
        <f t="shared" si="29"/>
        <v>2524164.3326524482</v>
      </c>
      <c r="M72" s="3153"/>
      <c r="N72" s="3154"/>
    </row>
    <row r="73" spans="1:14" ht="13.15" customHeight="1">
      <c r="A73" s="22" t="s">
        <v>1060</v>
      </c>
      <c r="B73" s="23">
        <f t="shared" ref="B73:K73" si="30">$B$15*(1+$B$5)^(B71-1)</f>
        <v>42242.155945497623</v>
      </c>
      <c r="C73" s="23">
        <f t="shared" si="30"/>
        <v>43086.999064407573</v>
      </c>
      <c r="D73" s="23">
        <f t="shared" si="30"/>
        <v>43948.739045695729</v>
      </c>
      <c r="E73" s="23">
        <f t="shared" si="30"/>
        <v>44827.71382660963</v>
      </c>
      <c r="F73" s="23">
        <f t="shared" si="30"/>
        <v>45724.268103141825</v>
      </c>
      <c r="G73" s="23">
        <f t="shared" si="30"/>
        <v>46638.75346520466</v>
      </c>
      <c r="H73" s="23">
        <f t="shared" si="30"/>
        <v>47571.528534508761</v>
      </c>
      <c r="I73" s="23">
        <f t="shared" si="30"/>
        <v>48522.959105198926</v>
      </c>
      <c r="J73" s="23">
        <f t="shared" si="30"/>
        <v>49493.41828730292</v>
      </c>
      <c r="K73" s="24">
        <f t="shared" si="30"/>
        <v>50483.28665304897</v>
      </c>
      <c r="M73" s="3155"/>
      <c r="N73" s="3156"/>
    </row>
    <row r="74" spans="1:14" ht="13.15" customHeight="1">
      <c r="A74" s="22" t="s">
        <v>2501</v>
      </c>
      <c r="B74" s="23">
        <f t="shared" ref="B74:K74" si="31">-(B72+B73)*$B$8</f>
        <v>-150804.49672542652</v>
      </c>
      <c r="C74" s="23">
        <f t="shared" si="31"/>
        <v>-153820.58665993507</v>
      </c>
      <c r="D74" s="23">
        <f t="shared" si="31"/>
        <v>-156896.99839313375</v>
      </c>
      <c r="E74" s="23">
        <f t="shared" si="31"/>
        <v>-160034.9383609964</v>
      </c>
      <c r="F74" s="23">
        <f t="shared" si="31"/>
        <v>-163235.63712821633</v>
      </c>
      <c r="G74" s="23">
        <f t="shared" si="31"/>
        <v>-166500.34987078063</v>
      </c>
      <c r="H74" s="23">
        <f t="shared" si="31"/>
        <v>-169830.35686819628</v>
      </c>
      <c r="I74" s="23">
        <f t="shared" si="31"/>
        <v>-173226.96400556015</v>
      </c>
      <c r="J74" s="23">
        <f t="shared" si="31"/>
        <v>-176691.50328567141</v>
      </c>
      <c r="K74" s="24">
        <f t="shared" si="31"/>
        <v>-180225.33335138482</v>
      </c>
      <c r="M74" s="3155"/>
      <c r="N74" s="3156"/>
    </row>
    <row r="75" spans="1:14" ht="13.15" customHeight="1">
      <c r="A75" s="22" t="s">
        <v>54</v>
      </c>
      <c r="B75" s="23">
        <f>'Part VI-Revenues &amp; Expenses'!G146</f>
        <v>0</v>
      </c>
      <c r="C75" s="23">
        <f>'Part VI-Revenues &amp; Expenses'!H146</f>
        <v>0</v>
      </c>
      <c r="D75" s="23">
        <f>'Part VI-Revenues &amp; Expenses'!I146</f>
        <v>0</v>
      </c>
      <c r="E75" s="23">
        <f>'Part VI-Revenues &amp; Expenses'!J146</f>
        <v>0</v>
      </c>
      <c r="F75" s="23">
        <f>'Part VI-Revenues &amp; Expenses'!K146</f>
        <v>0</v>
      </c>
      <c r="G75" s="23">
        <f>'Part VI-Revenues &amp; Expenses'!L146</f>
        <v>0</v>
      </c>
      <c r="H75" s="23">
        <f>'Part VI-Revenues &amp; Expenses'!M146</f>
        <v>0</v>
      </c>
      <c r="I75" s="23">
        <f>'Part VI-Revenues &amp; Expenses'!N146</f>
        <v>0</v>
      </c>
      <c r="J75" s="23">
        <f>'Part VI-Revenues &amp; Expenses'!O146</f>
        <v>0</v>
      </c>
      <c r="K75" s="24">
        <f>'Part VI-Revenues &amp; Expenses'!P146</f>
        <v>0</v>
      </c>
      <c r="M75" s="3155"/>
      <c r="N75" s="3156"/>
    </row>
    <row r="76" spans="1:14" ht="13.15" customHeight="1">
      <c r="A76" s="22" t="s">
        <v>55</v>
      </c>
      <c r="B76" s="23">
        <f>'Part VI-Revenues &amp; Expenses'!G150</f>
        <v>0</v>
      </c>
      <c r="C76" s="23">
        <f>'Part VI-Revenues &amp; Expenses'!H150</f>
        <v>0</v>
      </c>
      <c r="D76" s="23">
        <f>'Part VI-Revenues &amp; Expenses'!I150</f>
        <v>0</v>
      </c>
      <c r="E76" s="23">
        <f>'Part VI-Revenues &amp; Expenses'!J150</f>
        <v>0</v>
      </c>
      <c r="F76" s="23">
        <f>'Part VI-Revenues &amp; Expenses'!K150</f>
        <v>0</v>
      </c>
      <c r="G76" s="23">
        <f>'Part VI-Revenues &amp; Expenses'!L150</f>
        <v>0</v>
      </c>
      <c r="H76" s="23">
        <f>'Part VI-Revenues &amp; Expenses'!M150</f>
        <v>0</v>
      </c>
      <c r="I76" s="23">
        <f>'Part VI-Revenues &amp; Expenses'!N150</f>
        <v>0</v>
      </c>
      <c r="J76" s="23">
        <f>'Part VI-Revenues &amp; Expenses'!O150</f>
        <v>0</v>
      </c>
      <c r="K76" s="24">
        <f>'Part VI-Revenues &amp; Expenses'!P150</f>
        <v>0</v>
      </c>
      <c r="M76" s="3155"/>
      <c r="N76" s="3156"/>
    </row>
    <row r="77" spans="1:14" ht="13.15" customHeight="1">
      <c r="A77" s="22" t="s">
        <v>644</v>
      </c>
      <c r="B77" s="23">
        <f t="shared" ref="B77:K77" si="32">$B$19*(1+$B$6)^(B71-1)</f>
        <v>-1271177.2091850264</v>
      </c>
      <c r="C77" s="23">
        <f t="shared" si="32"/>
        <v>-1309312.5254605771</v>
      </c>
      <c r="D77" s="23">
        <f t="shared" si="32"/>
        <v>-1348591.9012243946</v>
      </c>
      <c r="E77" s="23">
        <f t="shared" si="32"/>
        <v>-1389049.6582611264</v>
      </c>
      <c r="F77" s="23">
        <f t="shared" si="32"/>
        <v>-1430721.1480089601</v>
      </c>
      <c r="G77" s="23">
        <f t="shared" si="32"/>
        <v>-1473642.7824492287</v>
      </c>
      <c r="H77" s="23">
        <f t="shared" si="32"/>
        <v>-1517852.0659227059</v>
      </c>
      <c r="I77" s="23">
        <f t="shared" si="32"/>
        <v>-1563387.6279003869</v>
      </c>
      <c r="J77" s="23">
        <f t="shared" si="32"/>
        <v>-1610289.2567373984</v>
      </c>
      <c r="K77" s="24">
        <f t="shared" si="32"/>
        <v>-1658597.9344395204</v>
      </c>
      <c r="M77" s="3155"/>
      <c r="N77" s="3156"/>
    </row>
    <row r="78" spans="1:14" ht="13.15" customHeight="1">
      <c r="A78" s="22" t="s">
        <v>1160</v>
      </c>
      <c r="B78" s="23">
        <f>IF(AND('Part VII-Pro Forma'!$G$8="Yes",'Part VII-Pro Forma'!$G$9="Yes"),"Choose One!",IF('Part VII-Pro Forma'!$G$8="Yes",ROUND((-$K$8*(1+'Part VII-Pro Forma'!$B$6)^('Part VII-Pro Forma'!B71-1)),),IF('Part VII-Pro Forma'!$G$9="Yes",ROUND((-(SUM(B72:B75)*'Part VII-Pro Forma'!$K$9)),),"Choose mgt fee")))</f>
        <v>-121761</v>
      </c>
      <c r="C78" s="23">
        <f>IF(AND('Part VII-Pro Forma'!$G$8="Yes",'Part VII-Pro Forma'!$G$9="Yes"),"Choose One!",IF('Part VII-Pro Forma'!$G$8="Yes",ROUND((-$K$8*(1+'Part VII-Pro Forma'!$B$6)^('Part VII-Pro Forma'!C71-1)),),IF('Part VII-Pro Forma'!$G$9="Yes",ROUND((-(SUM(C72:C75)*'Part VII-Pro Forma'!$K$9)),),"Choose mgt fee")))</f>
        <v>-125414</v>
      </c>
      <c r="D78" s="23">
        <f>IF(AND('Part VII-Pro Forma'!$G$8="Yes",'Part VII-Pro Forma'!$G$9="Yes"),"Choose One!",IF('Part VII-Pro Forma'!$G$8="Yes",ROUND((-$K$8*(1+'Part VII-Pro Forma'!$B$6)^('Part VII-Pro Forma'!D71-1)),),IF('Part VII-Pro Forma'!$G$9="Yes",ROUND((-(SUM(D72:D75)*'Part VII-Pro Forma'!$K$9)),),"Choose mgt fee")))</f>
        <v>-129176</v>
      </c>
      <c r="E78" s="23">
        <f>IF(AND('Part VII-Pro Forma'!$G$8="Yes",'Part VII-Pro Forma'!$G$9="Yes"),"Choose One!",IF('Part VII-Pro Forma'!$G$8="Yes",ROUND((-$K$8*(1+'Part VII-Pro Forma'!$B$6)^('Part VII-Pro Forma'!E71-1)),),IF('Part VII-Pro Forma'!$G$9="Yes",ROUND((-(SUM(E72:E75)*'Part VII-Pro Forma'!$K$9)),),"Choose mgt fee")))</f>
        <v>-133051</v>
      </c>
      <c r="F78" s="23">
        <f>IF(AND('Part VII-Pro Forma'!$G$8="Yes",'Part VII-Pro Forma'!$G$9="Yes"),"Choose One!",IF('Part VII-Pro Forma'!$G$8="Yes",ROUND((-$K$8*(1+'Part VII-Pro Forma'!$B$6)^('Part VII-Pro Forma'!F71-1)),),IF('Part VII-Pro Forma'!$G$9="Yes",ROUND((-(SUM(F72:F75)*'Part VII-Pro Forma'!$K$9)),),"Choose mgt fee")))</f>
        <v>-137043</v>
      </c>
      <c r="G78" s="23">
        <f>IF(AND('Part VII-Pro Forma'!$G$8="Yes",'Part VII-Pro Forma'!$G$9="Yes"),"Choose One!",IF('Part VII-Pro Forma'!$G$8="Yes",ROUND((-$K$8*(1+'Part VII-Pro Forma'!$B$6)^('Part VII-Pro Forma'!G71-1)),),IF('Part VII-Pro Forma'!$G$9="Yes",ROUND((-(SUM(G72:G75)*'Part VII-Pro Forma'!$K$9)),),"Choose mgt fee")))</f>
        <v>-141154</v>
      </c>
      <c r="H78" s="23">
        <f>IF(AND('Part VII-Pro Forma'!$G$8="Yes",'Part VII-Pro Forma'!$G$9="Yes"),"Choose One!",IF('Part VII-Pro Forma'!$G$8="Yes",ROUND((-$K$8*(1+'Part VII-Pro Forma'!$B$6)^('Part VII-Pro Forma'!H71-1)),),IF('Part VII-Pro Forma'!$G$9="Yes",ROUND((-(SUM(H72:H75)*'Part VII-Pro Forma'!$K$9)),),"Choose mgt fee")))</f>
        <v>-145389</v>
      </c>
      <c r="I78" s="23">
        <f>IF(AND('Part VII-Pro Forma'!$G$8="Yes",'Part VII-Pro Forma'!$G$9="Yes"),"Choose One!",IF('Part VII-Pro Forma'!$G$8="Yes",ROUND((-$K$8*(1+'Part VII-Pro Forma'!$B$6)^('Part VII-Pro Forma'!I71-1)),),IF('Part VII-Pro Forma'!$G$9="Yes",ROUND((-(SUM(I72:I75)*'Part VII-Pro Forma'!$K$9)),),"Choose mgt fee")))</f>
        <v>-149750</v>
      </c>
      <c r="J78" s="23">
        <f>IF(AND('Part VII-Pro Forma'!$G$8="Yes",'Part VII-Pro Forma'!$G$9="Yes"),"Choose One!",IF('Part VII-Pro Forma'!$G$8="Yes",ROUND((-$K$8*(1+'Part VII-Pro Forma'!$B$6)^('Part VII-Pro Forma'!J71-1)),),IF('Part VII-Pro Forma'!$G$9="Yes",ROUND((-(SUM(J72:J75)*'Part VII-Pro Forma'!$K$9)),),"Choose mgt fee")))</f>
        <v>-154243</v>
      </c>
      <c r="K78" s="23">
        <f>IF(AND('Part VII-Pro Forma'!$G$8="Yes",'Part VII-Pro Forma'!$G$9="Yes"),"Choose One!",IF('Part VII-Pro Forma'!$G$8="Yes",ROUND((-$K$8*(1+'Part VII-Pro Forma'!$B$6)^('Part VII-Pro Forma'!K71-1)),),IF('Part VII-Pro Forma'!$G$9="Yes",ROUND((-(SUM(K72:K75)*'Part VII-Pro Forma'!$K$9)),),"Choose mgt fee")))</f>
        <v>-158870</v>
      </c>
      <c r="M78" s="3155"/>
      <c r="N78" s="3156"/>
    </row>
    <row r="79" spans="1:14" ht="13.15" customHeight="1">
      <c r="A79" s="22" t="s">
        <v>1254</v>
      </c>
      <c r="B79" s="23">
        <f t="shared" ref="B79:K79" si="33">$B$21*(1+$B$7)^(B71-1)</f>
        <v>-73147.505004111241</v>
      </c>
      <c r="C79" s="23">
        <f t="shared" si="33"/>
        <v>-75341.930154234564</v>
      </c>
      <c r="D79" s="23">
        <f t="shared" si="33"/>
        <v>-77602.188058861604</v>
      </c>
      <c r="E79" s="23">
        <f t="shared" si="33"/>
        <v>-79930.253700627465</v>
      </c>
      <c r="F79" s="23">
        <f t="shared" si="33"/>
        <v>-82328.161311646269</v>
      </c>
      <c r="G79" s="23">
        <f t="shared" si="33"/>
        <v>-84798.006150995658</v>
      </c>
      <c r="H79" s="23">
        <f t="shared" si="33"/>
        <v>-87341.946335525543</v>
      </c>
      <c r="I79" s="23">
        <f t="shared" si="33"/>
        <v>-89962.204725591291</v>
      </c>
      <c r="J79" s="23">
        <f t="shared" si="33"/>
        <v>-92661.070867359042</v>
      </c>
      <c r="K79" s="24">
        <f t="shared" si="33"/>
        <v>-95440.902993379801</v>
      </c>
      <c r="M79" s="3155"/>
      <c r="N79" s="3156"/>
    </row>
    <row r="80" spans="1:14" ht="13.15" customHeight="1">
      <c r="A80" s="22" t="s">
        <v>1255</v>
      </c>
      <c r="B80" s="23">
        <f t="shared" ref="B80:K80" si="34">SUM(B72:B79)</f>
        <v>537459.74230581452</v>
      </c>
      <c r="C80" s="23">
        <f t="shared" si="34"/>
        <v>533547.91001003969</v>
      </c>
      <c r="D80" s="23">
        <f t="shared" si="34"/>
        <v>529118.60365409183</v>
      </c>
      <c r="E80" s="23">
        <f t="shared" si="34"/>
        <v>524147.5548343407</v>
      </c>
      <c r="F80" s="23">
        <f t="shared" si="34"/>
        <v>518609.72681141034</v>
      </c>
      <c r="G80" s="23">
        <f t="shared" si="34"/>
        <v>512481.28825443255</v>
      </c>
      <c r="H80" s="23">
        <f t="shared" si="34"/>
        <v>505734.5861335189</v>
      </c>
      <c r="I80" s="23">
        <f t="shared" si="34"/>
        <v>498344.11773360654</v>
      </c>
      <c r="J80" s="23">
        <f t="shared" si="34"/>
        <v>490279.50176201959</v>
      </c>
      <c r="K80" s="24">
        <f t="shared" si="34"/>
        <v>481513.44852121203</v>
      </c>
      <c r="M80" s="3155"/>
      <c r="N80" s="3156"/>
    </row>
    <row r="81" spans="1:14" ht="13.15" customHeight="1">
      <c r="A81" s="22" t="str">
        <f>$A52</f>
        <v>Mortgage A</v>
      </c>
      <c r="B81" s="3279">
        <f>IF('Part III-Sources of Funds'!$N$37="", 0,-'Part III-Sources of Funds'!$N$37)</f>
        <v>-361987.34381576651</v>
      </c>
      <c r="C81" s="3279">
        <f>IF('Part III-Sources of Funds'!$N$37="", 0,-'Part III-Sources of Funds'!$N$37)</f>
        <v>-361987.34381576651</v>
      </c>
      <c r="D81" s="3279">
        <f>IF('Part III-Sources of Funds'!$N$37="", 0,-'Part III-Sources of Funds'!$N$37)</f>
        <v>-361987.34381576651</v>
      </c>
      <c r="E81" s="3279">
        <f>IF('Part III-Sources of Funds'!$N$37="", 0,-'Part III-Sources of Funds'!$N$37)</f>
        <v>-361987.34381576651</v>
      </c>
      <c r="F81" s="3279">
        <f>IF('Part III-Sources of Funds'!$N$37="", 0,-'Part III-Sources of Funds'!$N$37)</f>
        <v>-361987.34381576651</v>
      </c>
      <c r="G81" s="3279">
        <f>IF('Part III-Sources of Funds'!$N$37="", 0,-'Part III-Sources of Funds'!$N$37)</f>
        <v>-361987.34381576651</v>
      </c>
      <c r="H81" s="3279">
        <f>IF('Part III-Sources of Funds'!$N$37="", 0,-'Part III-Sources of Funds'!$N$37)</f>
        <v>-361987.34381576651</v>
      </c>
      <c r="I81" s="3279">
        <f>IF('Part III-Sources of Funds'!$N$37="", 0,-'Part III-Sources of Funds'!$N$37)</f>
        <v>-361987.34381576651</v>
      </c>
      <c r="J81" s="3279">
        <f>IF('Part III-Sources of Funds'!$N$37="", 0,-'Part III-Sources of Funds'!$N$37)</f>
        <v>-361987.34381576651</v>
      </c>
      <c r="K81" s="3279">
        <f>IF('Part III-Sources of Funds'!$N$37="", 0,-'Part III-Sources of Funds'!$N$37)</f>
        <v>-361987.34381576651</v>
      </c>
      <c r="M81" s="3155"/>
      <c r="N81" s="3156"/>
    </row>
    <row r="82" spans="1:14" ht="13.15" customHeight="1">
      <c r="A82" s="22" t="str">
        <f>$A53</f>
        <v>Mortgage B</v>
      </c>
      <c r="B82" s="3280">
        <f>IF('Part III-Sources of Funds'!$N$38="", 0,-'Part III-Sources of Funds'!$N$38)</f>
        <v>-101622.85161720682</v>
      </c>
      <c r="C82" s="3280">
        <f>IF('Part III-Sources of Funds'!$N$38="", 0,-'Part III-Sources of Funds'!$N$38)</f>
        <v>-101622.85161720682</v>
      </c>
      <c r="D82" s="3280">
        <f>IF('Part III-Sources of Funds'!$N$38="", 0,-'Part III-Sources of Funds'!$N$38)</f>
        <v>-101622.85161720682</v>
      </c>
      <c r="E82" s="3280">
        <f>IF('Part III-Sources of Funds'!$N$38="", 0,-'Part III-Sources of Funds'!$N$38)</f>
        <v>-101622.85161720682</v>
      </c>
      <c r="F82" s="3280">
        <f>IF('Part III-Sources of Funds'!$N$38="", 0,-'Part III-Sources of Funds'!$N$38)</f>
        <v>-101622.85161720682</v>
      </c>
      <c r="G82" s="3280">
        <f>IF('Part III-Sources of Funds'!$N$38="", 0,-'Part III-Sources of Funds'!$N$38)</f>
        <v>-101622.85161720682</v>
      </c>
      <c r="H82" s="3280">
        <f>IF('Part III-Sources of Funds'!$N$38="", 0,-'Part III-Sources of Funds'!$N$38)</f>
        <v>-101622.85161720682</v>
      </c>
      <c r="I82" s="3280">
        <f>IF('Part III-Sources of Funds'!$N$38="", 0,-'Part III-Sources of Funds'!$N$38)</f>
        <v>-101622.85161720682</v>
      </c>
      <c r="J82" s="3280">
        <f>IF('Part III-Sources of Funds'!$N$38="", 0,-'Part III-Sources of Funds'!$N$38)</f>
        <v>-101622.85161720682</v>
      </c>
      <c r="K82" s="3280">
        <f>IF('Part III-Sources of Funds'!$N$38="", 0,-'Part III-Sources of Funds'!$N$38)</f>
        <v>-101622.85161720682</v>
      </c>
      <c r="M82" s="3155"/>
      <c r="N82" s="3156"/>
    </row>
    <row r="83" spans="1:14" ht="13.15" customHeight="1">
      <c r="A83" s="22" t="str">
        <f>$A54</f>
        <v>Mortgage C</v>
      </c>
      <c r="B83" s="3280">
        <f>IF('Part III-Sources of Funds'!$N$39="", 0,-'Part III-Sources of Funds'!$N$39)</f>
        <v>0</v>
      </c>
      <c r="C83" s="3280">
        <f>IF('Part III-Sources of Funds'!$N$39="", 0,-'Part III-Sources of Funds'!$N$39)</f>
        <v>0</v>
      </c>
      <c r="D83" s="3280">
        <f>IF('Part III-Sources of Funds'!$N$39="", 0,-'Part III-Sources of Funds'!$N$39)</f>
        <v>0</v>
      </c>
      <c r="E83" s="3280">
        <f>IF('Part III-Sources of Funds'!$N$39="", 0,-'Part III-Sources of Funds'!$N$39)</f>
        <v>0</v>
      </c>
      <c r="F83" s="3280">
        <f>IF('Part III-Sources of Funds'!$N$39="", 0,-'Part III-Sources of Funds'!$N$39)</f>
        <v>0</v>
      </c>
      <c r="G83" s="3280">
        <f>IF('Part III-Sources of Funds'!$N$39="", 0,-'Part III-Sources of Funds'!$N$39)</f>
        <v>0</v>
      </c>
      <c r="H83" s="3280">
        <f>IF('Part III-Sources of Funds'!$N$39="", 0,-'Part III-Sources of Funds'!$N$39)</f>
        <v>0</v>
      </c>
      <c r="I83" s="3280">
        <f>IF('Part III-Sources of Funds'!$N$39="", 0,-'Part III-Sources of Funds'!$N$39)</f>
        <v>0</v>
      </c>
      <c r="J83" s="3280">
        <f>IF('Part III-Sources of Funds'!$N$39="", 0,-'Part III-Sources of Funds'!$N$39)</f>
        <v>0</v>
      </c>
      <c r="K83" s="3280">
        <f>IF('Part III-Sources of Funds'!$N$39="", 0,-'Part III-Sources of Funds'!$N$39)</f>
        <v>0</v>
      </c>
      <c r="M83" s="3155"/>
      <c r="N83" s="3156"/>
    </row>
    <row r="84" spans="1:14" ht="13.15" customHeight="1">
      <c r="A84" s="22" t="str">
        <f>$A55</f>
        <v>D/S Other Source</v>
      </c>
      <c r="B84" s="3280">
        <f>IF('Part III-Sources of Funds'!$N$40="", 0,-'Part III-Sources of Funds'!$N$40)</f>
        <v>0</v>
      </c>
      <c r="C84" s="3280">
        <f>IF('Part III-Sources of Funds'!$N$40="", 0,-'Part III-Sources of Funds'!$N$40)</f>
        <v>0</v>
      </c>
      <c r="D84" s="3280">
        <f>IF('Part III-Sources of Funds'!$N$40="", 0,-'Part III-Sources of Funds'!$N$40)</f>
        <v>0</v>
      </c>
      <c r="E84" s="3280">
        <f>IF('Part III-Sources of Funds'!$N$40="", 0,-'Part III-Sources of Funds'!$N$40)</f>
        <v>0</v>
      </c>
      <c r="F84" s="3280">
        <f>IF('Part III-Sources of Funds'!$N$40="", 0,-'Part III-Sources of Funds'!$N$40)</f>
        <v>0</v>
      </c>
      <c r="G84" s="3280">
        <f>IF('Part III-Sources of Funds'!$N$40="", 0,-'Part III-Sources of Funds'!$N$40)</f>
        <v>0</v>
      </c>
      <c r="H84" s="3280">
        <f>IF('Part III-Sources of Funds'!$N$40="", 0,-'Part III-Sources of Funds'!$N$40)</f>
        <v>0</v>
      </c>
      <c r="I84" s="3280">
        <f>IF('Part III-Sources of Funds'!$N$40="", 0,-'Part III-Sources of Funds'!$N$40)</f>
        <v>0</v>
      </c>
      <c r="J84" s="3280">
        <f>IF('Part III-Sources of Funds'!$N$40="", 0,-'Part III-Sources of Funds'!$N$40)</f>
        <v>0</v>
      </c>
      <c r="K84" s="3280">
        <f>IF('Part III-Sources of Funds'!$N$40="", 0,-'Part III-Sources of Funds'!$N$40)</f>
        <v>0</v>
      </c>
      <c r="M84" s="3155"/>
      <c r="N84" s="3156"/>
    </row>
    <row r="85" spans="1:14" ht="13.15" customHeight="1">
      <c r="A85" s="22" t="s">
        <v>801</v>
      </c>
      <c r="B85" s="3281"/>
      <c r="C85" s="3281"/>
      <c r="D85" s="3281"/>
      <c r="E85" s="3281"/>
      <c r="F85" s="3281"/>
      <c r="G85" s="3281"/>
      <c r="H85" s="3281"/>
      <c r="I85" s="3281"/>
      <c r="J85" s="3281"/>
      <c r="K85" s="3281"/>
      <c r="M85" s="3155"/>
      <c r="N85" s="3156"/>
    </row>
    <row r="86" spans="1:14" ht="13.15" customHeight="1">
      <c r="A86" s="22" t="s">
        <v>1213</v>
      </c>
      <c r="B86" s="3280">
        <f>+K57</f>
        <v>-7500</v>
      </c>
      <c r="C86" s="3280">
        <f t="shared" ref="C86:K86" si="35">+B86</f>
        <v>-7500</v>
      </c>
      <c r="D86" s="3280">
        <f t="shared" si="35"/>
        <v>-7500</v>
      </c>
      <c r="E86" s="3280">
        <f t="shared" si="35"/>
        <v>-7500</v>
      </c>
      <c r="F86" s="3280">
        <f t="shared" si="35"/>
        <v>-7500</v>
      </c>
      <c r="G86" s="3280">
        <f t="shared" si="35"/>
        <v>-7500</v>
      </c>
      <c r="H86" s="3280">
        <f t="shared" si="35"/>
        <v>-7500</v>
      </c>
      <c r="I86" s="3280">
        <f t="shared" si="35"/>
        <v>-7500</v>
      </c>
      <c r="J86" s="3280">
        <f t="shared" si="35"/>
        <v>-7500</v>
      </c>
      <c r="K86" s="3280">
        <f t="shared" si="35"/>
        <v>-7500</v>
      </c>
      <c r="M86" s="3155"/>
      <c r="N86" s="3156"/>
    </row>
    <row r="87" spans="1:14" ht="13.15" customHeight="1">
      <c r="A87" s="22" t="s">
        <v>1256</v>
      </c>
      <c r="B87" s="3282"/>
      <c r="C87" s="3282"/>
      <c r="D87" s="3282"/>
      <c r="E87" s="3282"/>
      <c r="F87" s="3282"/>
      <c r="G87" s="3282"/>
      <c r="H87" s="3282"/>
      <c r="I87" s="3282"/>
      <c r="J87" s="3282"/>
      <c r="K87" s="3280"/>
      <c r="M87" s="3155"/>
      <c r="N87" s="3156"/>
    </row>
    <row r="88" spans="1:14" ht="13.15" customHeight="1">
      <c r="A88" s="22" t="s">
        <v>1214</v>
      </c>
      <c r="B88" s="23">
        <f t="shared" ref="B88:K88" si="36">SUM(B80:B87)</f>
        <v>66349.546872841194</v>
      </c>
      <c r="C88" s="23">
        <f t="shared" si="36"/>
        <v>62437.714577066363</v>
      </c>
      <c r="D88" s="23">
        <f t="shared" si="36"/>
        <v>58008.408221118501</v>
      </c>
      <c r="E88" s="23">
        <f t="shared" si="36"/>
        <v>53037.359401367372</v>
      </c>
      <c r="F88" s="23">
        <f t="shared" si="36"/>
        <v>47499.531378437008</v>
      </c>
      <c r="G88" s="23">
        <f t="shared" si="36"/>
        <v>41371.092821459228</v>
      </c>
      <c r="H88" s="23">
        <f t="shared" si="36"/>
        <v>34624.390700545569</v>
      </c>
      <c r="I88" s="23">
        <f t="shared" si="36"/>
        <v>27233.922300633218</v>
      </c>
      <c r="J88" s="23">
        <f t="shared" si="36"/>
        <v>19169.30632904626</v>
      </c>
      <c r="K88" s="21">
        <f t="shared" si="36"/>
        <v>10403.253088238707</v>
      </c>
      <c r="M88" s="3155"/>
      <c r="N88" s="3156"/>
    </row>
    <row r="89" spans="1:14" ht="13.15" customHeight="1">
      <c r="A89" s="22" t="str">
        <f>$A60</f>
        <v>DCR Mortgage A</v>
      </c>
      <c r="B89" s="25">
        <f>IF(B81=0,"",-B80/B81)</f>
        <v>1.4847473302253205</v>
      </c>
      <c r="C89" s="25">
        <f t="shared" ref="C89:K89" si="37">IF(C81=0,"",-C80/C81)</f>
        <v>1.4739407858457862</v>
      </c>
      <c r="D89" s="25">
        <f t="shared" si="37"/>
        <v>1.4617047051329695</v>
      </c>
      <c r="E89" s="25">
        <f t="shared" si="37"/>
        <v>1.4479720459539205</v>
      </c>
      <c r="F89" s="25">
        <f t="shared" si="37"/>
        <v>1.4326736436270457</v>
      </c>
      <c r="G89" s="25">
        <f t="shared" si="37"/>
        <v>1.4157436634449296</v>
      </c>
      <c r="H89" s="25">
        <f t="shared" si="37"/>
        <v>1.3971057131514315</v>
      </c>
      <c r="I89" s="25">
        <f t="shared" si="37"/>
        <v>1.3766893407942982</v>
      </c>
      <c r="J89" s="25">
        <f t="shared" si="37"/>
        <v>1.3544106172163506</v>
      </c>
      <c r="K89" s="26">
        <f t="shared" si="37"/>
        <v>1.3301941538770437</v>
      </c>
      <c r="M89" s="3155"/>
      <c r="N89" s="3156"/>
    </row>
    <row r="90" spans="1:14" ht="13.15" customHeight="1">
      <c r="A90" s="22" t="str">
        <f>$A61</f>
        <v>DCR Mortgage B</v>
      </c>
      <c r="B90" s="25">
        <f>IF(OR(B82=0,AND(B82=0,B81=0)),"",-B80/(B81+B82))</f>
        <v>1.1592923270461555</v>
      </c>
      <c r="C90" s="25">
        <f t="shared" ref="C90:K90" si="38">IF(OR(C82=0,AND(C82=0,C81=0)),"",-C80/(C81+C82))</f>
        <v>1.1508545654647442</v>
      </c>
      <c r="D90" s="25">
        <f t="shared" si="38"/>
        <v>1.1413006203626284</v>
      </c>
      <c r="E90" s="25">
        <f t="shared" si="38"/>
        <v>1.1305781451696302</v>
      </c>
      <c r="F90" s="25">
        <f t="shared" si="38"/>
        <v>1.118633136027287</v>
      </c>
      <c r="G90" s="25">
        <f t="shared" si="38"/>
        <v>1.1054141891245892</v>
      </c>
      <c r="H90" s="25">
        <f t="shared" si="38"/>
        <v>1.0908616573050229</v>
      </c>
      <c r="I90" s="25">
        <f t="shared" si="38"/>
        <v>1.0749205316077974</v>
      </c>
      <c r="J90" s="25">
        <f t="shared" si="38"/>
        <v>1.057525280055887</v>
      </c>
      <c r="K90" s="26">
        <f t="shared" si="38"/>
        <v>1.0386170391950043</v>
      </c>
      <c r="M90" s="3155"/>
      <c r="N90" s="3156"/>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3155"/>
      <c r="N91" s="3156"/>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3155"/>
      <c r="N92" s="3156"/>
    </row>
    <row r="93" spans="1:14" ht="13.15" customHeight="1">
      <c r="A93" s="22" t="s">
        <v>808</v>
      </c>
      <c r="B93" s="293">
        <f>IF(OR(B78="Choose mgt fee",B78="Choose One!"),"",(B72+B73+B74+B75+B76) / -(B77+B78+B79))</f>
        <v>1.3665950340448361</v>
      </c>
      <c r="C93" s="293">
        <f t="shared" ref="C93:K93" si="41">IF(OR(C78="Choose mgt fee",C78="Choose One!"),"",(C72+C73+C74+C75+C76) / -(C77+C78+C79))</f>
        <v>1.3533269687385199</v>
      </c>
      <c r="D93" s="293">
        <f t="shared" si="41"/>
        <v>1.340188233848524</v>
      </c>
      <c r="E93" s="293">
        <f t="shared" si="41"/>
        <v>1.3271769295590559</v>
      </c>
      <c r="F93" s="293">
        <f t="shared" si="41"/>
        <v>1.3142913422976548</v>
      </c>
      <c r="G93" s="293">
        <f t="shared" si="41"/>
        <v>1.3015314542571108</v>
      </c>
      <c r="H93" s="293">
        <f t="shared" si="41"/>
        <v>1.2888949467646937</v>
      </c>
      <c r="I93" s="293">
        <f t="shared" si="41"/>
        <v>1.2763818778729705</v>
      </c>
      <c r="J93" s="293">
        <f t="shared" si="41"/>
        <v>1.2639894805105394</v>
      </c>
      <c r="K93" s="294">
        <f t="shared" si="41"/>
        <v>1.2517179277436958</v>
      </c>
      <c r="M93" s="3155"/>
      <c r="N93" s="3156"/>
    </row>
    <row r="94" spans="1:14" ht="13.15" customHeight="1">
      <c r="A94" s="468" t="s">
        <v>2717</v>
      </c>
      <c r="B94" s="3283">
        <f>IF('Part III-Sources of Funds'!$I$37="","",-FV('Part III-Sources of Funds'!$K$37/12,12,B81/12,K65))</f>
        <v>3838813.2032197476</v>
      </c>
      <c r="C94" s="3283">
        <f>IF('Part III-Sources of Funds'!$I$37="","",-FV('Part III-Sources of Funds'!$K$37/12,12,C81/12,B94))</f>
        <v>3632236.7413834659</v>
      </c>
      <c r="D94" s="3283">
        <f>IF('Part III-Sources of Funds'!$I$37="","",-FV('Part III-Sources of Funds'!$K$37/12,12,D81/12,C94))</f>
        <v>3416922.3977628518</v>
      </c>
      <c r="E94" s="3283">
        <f>IF('Part III-Sources of Funds'!$I$37="","",-FV('Part III-Sources of Funds'!$K$37/12,12,E81/12,D94))</f>
        <v>3192500.5727559072</v>
      </c>
      <c r="F94" s="3283">
        <f>IF('Part III-Sources of Funds'!$I$37="","",-FV('Part III-Sources of Funds'!$K$37/12,12,F81/12,E94))</f>
        <v>2958586.033238783</v>
      </c>
      <c r="G94" s="3283">
        <f>IF('Part III-Sources of Funds'!$I$37="","",-FV('Part III-Sources of Funds'!$K$37/12,12,G81/12,F94))</f>
        <v>2714777.2512907037</v>
      </c>
      <c r="H94" s="3283">
        <f>IF('Part III-Sources of Funds'!$I$37="","",-FV('Part III-Sources of Funds'!$K$37/12,12,H81/12,G94))</f>
        <v>2460655.7149479212</v>
      </c>
      <c r="I94" s="3283">
        <f>IF('Part III-Sources of Funds'!$I$37="","",-FV('Part III-Sources of Funds'!$K$37/12,12,I81/12,H94))</f>
        <v>2195785.2098035729</v>
      </c>
      <c r="J94" s="3283">
        <f>IF('Part III-Sources of Funds'!$I$37="","",-FV('Part III-Sources of Funds'!$K$37/12,12,J81/12,I94))</f>
        <v>1919711.0702202637</v>
      </c>
      <c r="K94" s="3283">
        <f>IF('Part III-Sources of Funds'!$I$37="","",-FV('Part III-Sources of Funds'!$K$37/12,12,K81/12,J94))</f>
        <v>1631959.3988700388</v>
      </c>
      <c r="M94" s="3155"/>
      <c r="N94" s="3156"/>
    </row>
    <row r="95" spans="1:14" ht="13.15" customHeight="1">
      <c r="A95" s="468" t="s">
        <v>2718</v>
      </c>
      <c r="B95" s="3280">
        <f>IF('Part III-Sources of Funds'!$I$38="","",-FV('Part III-Sources of Funds'!$K$38/12,12,B82/12,K66))</f>
        <v>1327103.7814890619</v>
      </c>
      <c r="C95" s="3280">
        <f>IF('Part III-Sources of Funds'!$I$38="","",-FV('Part III-Sources of Funds'!$K$38/12,12,C82/12,B95))</f>
        <v>1238345.894912109</v>
      </c>
      <c r="D95" s="3280">
        <f>IF('Part III-Sources of Funds'!$I$38="","",-FV('Part III-Sources of Funds'!$K$38/12,12,D82/12,C95))</f>
        <v>1148696.3500781751</v>
      </c>
      <c r="E95" s="3280">
        <f>IF('Part III-Sources of Funds'!$I$38="","",-FV('Part III-Sources of Funds'!$K$38/12,12,E82/12,D95))</f>
        <v>1058146.1894232859</v>
      </c>
      <c r="F95" s="3280">
        <f>IF('Part III-Sources of Funds'!$I$38="","",-FV('Part III-Sources of Funds'!$K$38/12,12,F82/12,E95))</f>
        <v>966686.3653961299</v>
      </c>
      <c r="G95" s="3280">
        <f>IF('Part III-Sources of Funds'!$I$38="","",-FV('Part III-Sources of Funds'!$K$38/12,12,G82/12,F95))</f>
        <v>874307.73955404875</v>
      </c>
      <c r="H95" s="3280">
        <f>IF('Part III-Sources of Funds'!$I$38="","",-FV('Part III-Sources of Funds'!$K$38/12,12,H82/12,G95))</f>
        <v>781001.08164994651</v>
      </c>
      <c r="I95" s="3280">
        <f>IF('Part III-Sources of Funds'!$I$38="","",-FV('Part III-Sources of Funds'!$K$38/12,12,I82/12,H95))</f>
        <v>686757.0687100261</v>
      </c>
      <c r="J95" s="3280">
        <f>IF('Part III-Sources of Funds'!$I$38="","",-FV('Part III-Sources of Funds'!$K$38/12,12,J82/12,I95))</f>
        <v>591566.28410226037</v>
      </c>
      <c r="K95" s="3280">
        <f>IF('Part III-Sources of Funds'!$I$38="","",-FV('Part III-Sources of Funds'!$K$38/12,12,K82/12,J95))</f>
        <v>495419.21659550496</v>
      </c>
      <c r="M95" s="3155"/>
      <c r="N95" s="3156"/>
    </row>
    <row r="96" spans="1:14" ht="13.15" customHeight="1">
      <c r="A96" s="468" t="s">
        <v>2719</v>
      </c>
      <c r="B96" s="3280" t="str">
        <f>IF('Part III-Sources of Funds'!$I$39="","",-FV('Part III-Sources of Funds'!$K$39/12,12,B83/12,K67))</f>
        <v/>
      </c>
      <c r="C96" s="3280" t="str">
        <f>IF('Part III-Sources of Funds'!$I$39="","",-FV('Part III-Sources of Funds'!$K$39/12,12,C83/12,B96))</f>
        <v/>
      </c>
      <c r="D96" s="3280" t="str">
        <f>IF('Part III-Sources of Funds'!$I$39="","",-FV('Part III-Sources of Funds'!$K$39/12,12,D83/12,C96))</f>
        <v/>
      </c>
      <c r="E96" s="3280" t="str">
        <f>IF('Part III-Sources of Funds'!$I$39="","",-FV('Part III-Sources of Funds'!$K$39/12,12,E83/12,D96))</f>
        <v/>
      </c>
      <c r="F96" s="3280" t="str">
        <f>IF('Part III-Sources of Funds'!$I$39="","",-FV('Part III-Sources of Funds'!$K$39/12,12,F83/12,E96))</f>
        <v/>
      </c>
      <c r="G96" s="3280" t="str">
        <f>IF('Part III-Sources of Funds'!$I$39="","",-FV('Part III-Sources of Funds'!$K$39/12,12,G83/12,F96))</f>
        <v/>
      </c>
      <c r="H96" s="3280" t="str">
        <f>IF('Part III-Sources of Funds'!$I$39="","",-FV('Part III-Sources of Funds'!$K$39/12,12,H83/12,G96))</f>
        <v/>
      </c>
      <c r="I96" s="3280" t="str">
        <f>IF('Part III-Sources of Funds'!$I$39="","",-FV('Part III-Sources of Funds'!$K$39/12,12,I83/12,H96))</f>
        <v/>
      </c>
      <c r="J96" s="3280" t="str">
        <f>IF('Part III-Sources of Funds'!$I$39="","",-FV('Part III-Sources of Funds'!$K$39/12,12,J83/12,I96))</f>
        <v/>
      </c>
      <c r="K96" s="3280" t="str">
        <f>IF('Part III-Sources of Funds'!$I$39="","",-FV('Part III-Sources of Funds'!$K$39/12,12,K83/12,J96))</f>
        <v/>
      </c>
      <c r="M96" s="3155"/>
      <c r="N96" s="3156"/>
    </row>
    <row r="97" spans="1:14" ht="13.15" customHeight="1">
      <c r="A97" s="22" t="s">
        <v>823</v>
      </c>
      <c r="B97" s="3280" t="str">
        <f>IF('Part III-Sources of Funds'!$I$40="","",-FV('Part III-Sources of Funds'!$K$40/12,12,B84/12,K68))</f>
        <v/>
      </c>
      <c r="C97" s="3280" t="str">
        <f>IF('Part III-Sources of Funds'!$I$40="","",-FV('Part III-Sources of Funds'!$K$40/12,12,C84/12,B97))</f>
        <v/>
      </c>
      <c r="D97" s="3280" t="str">
        <f>IF('Part III-Sources of Funds'!$I$40="","",-FV('Part III-Sources of Funds'!$K$40/12,12,D84/12,C97))</f>
        <v/>
      </c>
      <c r="E97" s="3280" t="str">
        <f>IF('Part III-Sources of Funds'!$I$40="","",-FV('Part III-Sources of Funds'!$K$40/12,12,E84/12,D97))</f>
        <v/>
      </c>
      <c r="F97" s="3280" t="str">
        <f>IF('Part III-Sources of Funds'!$I$40="","",-FV('Part III-Sources of Funds'!$K$40/12,12,F84/12,E97))</f>
        <v/>
      </c>
      <c r="G97" s="3280" t="str">
        <f>IF('Part III-Sources of Funds'!$I$40="","",-FV('Part III-Sources of Funds'!$K$40/12,12,G84/12,F97))</f>
        <v/>
      </c>
      <c r="H97" s="3280" t="str">
        <f>IF('Part III-Sources of Funds'!$I$40="","",-FV('Part III-Sources of Funds'!$K$40/12,12,H84/12,G97))</f>
        <v/>
      </c>
      <c r="I97" s="3280" t="str">
        <f>IF('Part III-Sources of Funds'!$I$40="","",-FV('Part III-Sources of Funds'!$K$40/12,12,I84/12,H97))</f>
        <v/>
      </c>
      <c r="J97" s="3280" t="str">
        <f>IF('Part III-Sources of Funds'!$I$40="","",-FV('Part III-Sources of Funds'!$K$40/12,12,J84/12,I97))</f>
        <v/>
      </c>
      <c r="K97" s="3280" t="str">
        <f>IF('Part III-Sources of Funds'!$I$40="","",-FV('Part III-Sources of Funds'!$K$40/12,12,K84/12,J97))</f>
        <v/>
      </c>
      <c r="M97" s="3155"/>
      <c r="N97" s="3156"/>
    </row>
    <row r="98" spans="1:14" ht="13.15" customHeight="1">
      <c r="A98" s="27" t="s">
        <v>1291</v>
      </c>
      <c r="B98" s="3282">
        <f>IF('Part III-Sources of Funds'!$I$42="","",-FV('Part III-Sources of Funds'!$K$42/12,12,B87/12,K69))</f>
        <v>0</v>
      </c>
      <c r="C98" s="3282">
        <f>IF('Part III-Sources of Funds'!$I$42="","",-FV('Part III-Sources of Funds'!$K$42/12,12,C87/12,B98))</f>
        <v>0</v>
      </c>
      <c r="D98" s="3282">
        <f>IF('Part III-Sources of Funds'!$I$42="","",-FV('Part III-Sources of Funds'!$K$42/12,12,D87/12,C98))</f>
        <v>0</v>
      </c>
      <c r="E98" s="3282">
        <f>IF('Part III-Sources of Funds'!$I$42="","",-FV('Part III-Sources of Funds'!$K$42/12,12,E87/12,D98))</f>
        <v>0</v>
      </c>
      <c r="F98" s="3282">
        <f>IF('Part III-Sources of Funds'!$I$42="","",-FV('Part III-Sources of Funds'!$K$42/12,12,F87/12,E98))</f>
        <v>0</v>
      </c>
      <c r="G98" s="3282">
        <f>IF('Part III-Sources of Funds'!$I$42="","",-FV('Part III-Sources of Funds'!$K$42/12,12,G87/12,F98))</f>
        <v>0</v>
      </c>
      <c r="H98" s="3282">
        <f>IF('Part III-Sources of Funds'!$I$42="","",-FV('Part III-Sources of Funds'!$K$42/12,12,H87/12,G98))</f>
        <v>0</v>
      </c>
      <c r="I98" s="3282">
        <f>IF('Part III-Sources of Funds'!$I$42="","",-FV('Part III-Sources of Funds'!$K$42/12,12,I87/12,H98))</f>
        <v>0</v>
      </c>
      <c r="J98" s="3282">
        <f>IF('Part III-Sources of Funds'!$I$42="","",-FV('Part III-Sources of Funds'!$K$42/12,12,J87/12,I98))</f>
        <v>0</v>
      </c>
      <c r="K98" s="3282">
        <f>IF('Part III-Sources of Funds'!$I$42="","",-FV('Part III-Sources of Funds'!$K$42/12,12,K87/12,J98))</f>
        <v>0</v>
      </c>
      <c r="M98" s="3158"/>
      <c r="N98" s="3159"/>
    </row>
    <row r="99" spans="1:14" ht="4.1500000000000004" customHeight="1">
      <c r="B99" s="18"/>
      <c r="C99" s="18"/>
      <c r="D99" s="18"/>
      <c r="E99" s="18"/>
      <c r="F99" s="18"/>
      <c r="G99" s="18"/>
      <c r="H99" s="18"/>
      <c r="I99" s="18"/>
      <c r="J99" s="18"/>
      <c r="K99" s="18"/>
    </row>
    <row r="100" spans="1:14" ht="14.45" customHeight="1">
      <c r="A100" s="14" t="s">
        <v>2578</v>
      </c>
      <c r="B100" s="16">
        <f>K71+1</f>
        <v>31</v>
      </c>
      <c r="C100" s="16">
        <f>B100+1</f>
        <v>32</v>
      </c>
      <c r="D100" s="16">
        <f>C100+1</f>
        <v>33</v>
      </c>
      <c r="E100" s="16">
        <f>D100+1</f>
        <v>34</v>
      </c>
      <c r="F100" s="16">
        <f>E100+1</f>
        <v>35</v>
      </c>
      <c r="G100" s="18"/>
      <c r="H100" s="18"/>
      <c r="I100" s="18"/>
      <c r="J100" s="18"/>
      <c r="K100" s="18"/>
      <c r="M100" s="2293" t="s">
        <v>4537</v>
      </c>
      <c r="N100" s="2293"/>
    </row>
    <row r="101" spans="1:14" ht="13.15" customHeight="1">
      <c r="A101" s="19" t="s">
        <v>2500</v>
      </c>
      <c r="B101" s="20">
        <f>$B$14*(1+$B$5)^(B100-1)</f>
        <v>2574647.6193054975</v>
      </c>
      <c r="C101" s="20">
        <f>$B$14*(1+$B$5)^(C100-1)</f>
        <v>2626140.5716916067</v>
      </c>
      <c r="D101" s="20">
        <f>$B$14*(1+$B$5)^(D100-1)</f>
        <v>2678663.3831254393</v>
      </c>
      <c r="E101" s="20">
        <f>$B$14*(1+$B$5)^(E100-1)</f>
        <v>2732236.6507879482</v>
      </c>
      <c r="F101" s="924">
        <f>$B$14*(1+$B$5)^(F100-1)</f>
        <v>2786881.3838037071</v>
      </c>
      <c r="G101" s="18"/>
      <c r="H101" s="18"/>
      <c r="I101" s="18"/>
      <c r="J101" s="18"/>
      <c r="K101" s="18"/>
      <c r="M101" s="3153"/>
      <c r="N101" s="3154"/>
    </row>
    <row r="102" spans="1:14" ht="13.15" customHeight="1">
      <c r="A102" s="22" t="s">
        <v>1060</v>
      </c>
      <c r="B102" s="23">
        <f>$B$15*(1+$B$5)^(B100-1)</f>
        <v>51492.952386109951</v>
      </c>
      <c r="C102" s="23">
        <f>$B$15*(1+$B$5)^(C100-1)</f>
        <v>52522.811433832139</v>
      </c>
      <c r="D102" s="23">
        <f>$B$15*(1+$B$5)^(D100-1)</f>
        <v>53573.267662508792</v>
      </c>
      <c r="E102" s="23">
        <f>$B$15*(1+$B$5)^(E100-1)</f>
        <v>54644.733015758975</v>
      </c>
      <c r="F102" s="24">
        <f>$B$15*(1+$B$5)^(F100-1)</f>
        <v>55737.627676074146</v>
      </c>
      <c r="G102" s="18"/>
      <c r="H102" s="18"/>
      <c r="I102" s="18"/>
      <c r="J102" s="18"/>
      <c r="K102" s="18"/>
      <c r="M102" s="3155"/>
      <c r="N102" s="3156"/>
    </row>
    <row r="103" spans="1:14" ht="13.15" customHeight="1">
      <c r="A103" s="22" t="s">
        <v>2501</v>
      </c>
      <c r="B103" s="23">
        <f>-(B101+B102)*$B$8</f>
        <v>-183829.84001841253</v>
      </c>
      <c r="C103" s="23">
        <f>-(C101+C102)*$B$8</f>
        <v>-187506.43681878073</v>
      </c>
      <c r="D103" s="23">
        <f>-(D101+D102)*$B$8</f>
        <v>-191256.56555515638</v>
      </c>
      <c r="E103" s="23">
        <f>-(E101+E102)*$B$8</f>
        <v>-195081.6968662595</v>
      </c>
      <c r="F103" s="24">
        <f>-(F101+F102)*$B$8</f>
        <v>-198983.33080358469</v>
      </c>
      <c r="G103" s="18"/>
      <c r="H103" s="18"/>
      <c r="I103" s="18"/>
      <c r="J103" s="18"/>
      <c r="K103" s="18"/>
      <c r="M103" s="3155"/>
      <c r="N103" s="3156"/>
    </row>
    <row r="104" spans="1:14" ht="13.15" customHeight="1">
      <c r="A104" s="22" t="s">
        <v>54</v>
      </c>
      <c r="B104" s="23">
        <f>'Part VI-Revenues &amp; Expenses'!G155</f>
        <v>0</v>
      </c>
      <c r="C104" s="23">
        <f>'Part VI-Revenues &amp; Expenses'!H155</f>
        <v>0</v>
      </c>
      <c r="D104" s="23">
        <f>'Part VI-Revenues &amp; Expenses'!I155</f>
        <v>0</v>
      </c>
      <c r="E104" s="23">
        <f>'Part VI-Revenues &amp; Expenses'!J155</f>
        <v>0</v>
      </c>
      <c r="F104" s="24">
        <f>'Part VI-Revenues &amp; Expenses'!K155</f>
        <v>0</v>
      </c>
      <c r="G104" s="18"/>
      <c r="H104" s="18"/>
      <c r="I104" s="18"/>
      <c r="J104" s="18"/>
      <c r="K104" s="18"/>
      <c r="M104" s="3155"/>
      <c r="N104" s="3156"/>
    </row>
    <row r="105" spans="1:14" ht="13.15" customHeight="1">
      <c r="A105" s="22" t="s">
        <v>55</v>
      </c>
      <c r="B105" s="23">
        <f>'Part VI-Revenues &amp; Expenses'!G159</f>
        <v>0</v>
      </c>
      <c r="C105" s="23">
        <f>'Part VI-Revenues &amp; Expenses'!H159</f>
        <v>0</v>
      </c>
      <c r="D105" s="23">
        <f>'Part VI-Revenues &amp; Expenses'!I159</f>
        <v>0</v>
      </c>
      <c r="E105" s="23">
        <f>'Part VI-Revenues &amp; Expenses'!J159</f>
        <v>0</v>
      </c>
      <c r="F105" s="24">
        <f>'Part VI-Revenues &amp; Expenses'!K159</f>
        <v>0</v>
      </c>
      <c r="G105" s="18"/>
      <c r="H105" s="18"/>
      <c r="I105" s="18"/>
      <c r="J105" s="18"/>
      <c r="K105" s="18"/>
      <c r="M105" s="3155"/>
      <c r="N105" s="3156"/>
    </row>
    <row r="106" spans="1:14" ht="13.15" customHeight="1">
      <c r="A106" s="22" t="s">
        <v>644</v>
      </c>
      <c r="B106" s="23">
        <f>$B$19*(1+$B$6)^(B100-1)</f>
        <v>-1708355.8724727058</v>
      </c>
      <c r="C106" s="23">
        <f>$B$19*(1+$B$6)^(C100-1)</f>
        <v>-1759606.5486468873</v>
      </c>
      <c r="D106" s="23">
        <f>$B$19*(1+$B$6)^(D100-1)</f>
        <v>-1812394.7451062936</v>
      </c>
      <c r="E106" s="23">
        <f>$B$19*(1+$B$6)^(E100-1)</f>
        <v>-1866766.5874594825</v>
      </c>
      <c r="F106" s="24">
        <f>$B$19*(1+$B$6)^(F100-1)</f>
        <v>-1922769.5850832667</v>
      </c>
      <c r="G106" s="18"/>
      <c r="H106" s="18"/>
      <c r="I106" s="18"/>
      <c r="J106" s="18"/>
      <c r="K106" s="18"/>
      <c r="M106" s="3155"/>
      <c r="N106" s="3156"/>
    </row>
    <row r="107" spans="1:14" ht="13.15" customHeight="1">
      <c r="A107" s="22" t="s">
        <v>1160</v>
      </c>
      <c r="B107" s="23">
        <f>IF(AND('Part VII-Pro Forma'!$G$8="Yes",'Part VII-Pro Forma'!$G$9="Yes"),"Choose One!",IF('Part VII-Pro Forma'!$G$8="Yes",ROUND((-$K$8*(1+'Part VII-Pro Forma'!$B$6)^('Part VII-Pro Forma'!B100-1)),),IF('Part VII-Pro Forma'!$G$9="Yes",ROUND((-(SUM(B101:B104)*'Part VII-Pro Forma'!$K$9)),),"Choose mgt fee")))</f>
        <v>-163636</v>
      </c>
      <c r="C107" s="23">
        <f>IF(AND('Part VII-Pro Forma'!$G$8="Yes",'Part VII-Pro Forma'!$G$9="Yes"),"Choose One!",IF('Part VII-Pro Forma'!$G$8="Yes",ROUND((-$K$8*(1+'Part VII-Pro Forma'!$B$6)^('Part VII-Pro Forma'!C100-1)),),IF('Part VII-Pro Forma'!$G$9="Yes",ROUND((-(SUM(C101:C104)*'Part VII-Pro Forma'!$K$9)),),"Choose mgt fee")))</f>
        <v>-168545</v>
      </c>
      <c r="D107" s="23">
        <f>IF(AND('Part VII-Pro Forma'!$G$8="Yes",'Part VII-Pro Forma'!$G$9="Yes"),"Choose One!",IF('Part VII-Pro Forma'!$G$8="Yes",ROUND((-$K$8*(1+'Part VII-Pro Forma'!$B$6)^('Part VII-Pro Forma'!D100-1)),),IF('Part VII-Pro Forma'!$G$9="Yes",ROUND((-(SUM(D101:D104)*'Part VII-Pro Forma'!$K$9)),),"Choose mgt fee")))</f>
        <v>-173602</v>
      </c>
      <c r="E107" s="23">
        <f>IF(AND('Part VII-Pro Forma'!$G$8="Yes",'Part VII-Pro Forma'!$G$9="Yes"),"Choose One!",IF('Part VII-Pro Forma'!$G$8="Yes",ROUND((-$K$8*(1+'Part VII-Pro Forma'!$B$6)^('Part VII-Pro Forma'!E100-1)),),IF('Part VII-Pro Forma'!$G$9="Yes",ROUND((-(SUM(E101:E104)*'Part VII-Pro Forma'!$K$9)),),"Choose mgt fee")))</f>
        <v>-178810</v>
      </c>
      <c r="F107" s="24">
        <f>IF(AND('Part VII-Pro Forma'!$G$8="Yes",'Part VII-Pro Forma'!$G$9="Yes"),"Choose One!",IF('Part VII-Pro Forma'!$G$8="Yes",ROUND((-$K$8*(1+'Part VII-Pro Forma'!$B$6)^('Part VII-Pro Forma'!F100-1)),),IF('Part VII-Pro Forma'!$G$9="Yes",ROUND((-(SUM(F101:F104)*'Part VII-Pro Forma'!$K$9)),),"Choose mgt fee")))</f>
        <v>-184174</v>
      </c>
      <c r="G107" s="18"/>
      <c r="H107" s="18"/>
      <c r="I107" s="18"/>
      <c r="J107" s="18"/>
      <c r="K107" s="18"/>
      <c r="M107" s="3155"/>
      <c r="N107" s="3156"/>
    </row>
    <row r="108" spans="1:14" ht="13.15" customHeight="1">
      <c r="A108" s="22" t="s">
        <v>1254</v>
      </c>
      <c r="B108" s="23">
        <f>$B$21*(1+$B$7)^(B100-1)</f>
        <v>-98304.130083181197</v>
      </c>
      <c r="C108" s="23">
        <f>$B$21*(1+$B$7)^(C100-1)</f>
        <v>-101253.25398567665</v>
      </c>
      <c r="D108" s="23">
        <f>$B$21*(1+$B$7)^(D100-1)</f>
        <v>-104290.85160524692</v>
      </c>
      <c r="E108" s="23">
        <f>$B$21*(1+$B$7)^(E100-1)</f>
        <v>-107419.57715340433</v>
      </c>
      <c r="F108" s="24">
        <f>$B$21*(1+$B$7)^(F100-1)</f>
        <v>-110642.16446800645</v>
      </c>
      <c r="G108" s="18"/>
      <c r="H108" s="18"/>
      <c r="I108" s="18"/>
      <c r="J108" s="18"/>
      <c r="K108" s="18"/>
      <c r="M108" s="3155"/>
      <c r="N108" s="3156"/>
    </row>
    <row r="109" spans="1:14" ht="13.15" customHeight="1">
      <c r="A109" s="22" t="s">
        <v>1255</v>
      </c>
      <c r="B109" s="23">
        <f>SUM(B101:B108)</f>
        <v>472014.72911730804</v>
      </c>
      <c r="C109" s="23">
        <f>SUM(C101:C108)</f>
        <v>461752.143674094</v>
      </c>
      <c r="D109" s="23">
        <f>SUM(D101:D108)</f>
        <v>450692.48852125148</v>
      </c>
      <c r="E109" s="23">
        <f>SUM(E101:E108)</f>
        <v>438803.52232456079</v>
      </c>
      <c r="F109" s="24">
        <f>SUM(F101:F108)</f>
        <v>426049.93112492305</v>
      </c>
      <c r="G109" s="18"/>
      <c r="H109" s="18"/>
      <c r="I109" s="18"/>
      <c r="J109" s="18"/>
      <c r="K109" s="18"/>
      <c r="M109" s="3155"/>
      <c r="N109" s="3156"/>
    </row>
    <row r="110" spans="1:14" ht="13.15" customHeight="1">
      <c r="A110" s="22" t="str">
        <f>$A81</f>
        <v>Mortgage A</v>
      </c>
      <c r="B110" s="3279">
        <f>IF('Part III-Sources of Funds'!$N$37="", 0,-'Part III-Sources of Funds'!$N$37)</f>
        <v>-361987.34381576651</v>
      </c>
      <c r="C110" s="3279">
        <f>IF('Part III-Sources of Funds'!$N$37="", 0,-'Part III-Sources of Funds'!$N$37)</f>
        <v>-361987.34381576651</v>
      </c>
      <c r="D110" s="3279">
        <f>IF('Part III-Sources of Funds'!$N$37="", 0,-'Part III-Sources of Funds'!$N$37)</f>
        <v>-361987.34381576651</v>
      </c>
      <c r="E110" s="3279">
        <f>IF('Part III-Sources of Funds'!$N$37="", 0,-'Part III-Sources of Funds'!$N$37)</f>
        <v>-361987.34381576651</v>
      </c>
      <c r="F110" s="3279">
        <f>IF('Part III-Sources of Funds'!$N$37="", 0,-'Part III-Sources of Funds'!$N$37)</f>
        <v>-361987.34381576651</v>
      </c>
      <c r="G110" s="18"/>
      <c r="H110" s="18"/>
      <c r="I110" s="18"/>
      <c r="J110" s="18"/>
      <c r="K110" s="18"/>
      <c r="M110" s="3155"/>
      <c r="N110" s="3156"/>
    </row>
    <row r="111" spans="1:14" ht="13.15" customHeight="1">
      <c r="A111" s="22" t="str">
        <f>$A82</f>
        <v>Mortgage B</v>
      </c>
      <c r="B111" s="3280">
        <f>IF('Part III-Sources of Funds'!$N$38="", 0,-'Part III-Sources of Funds'!$N$38)</f>
        <v>-101622.85161720682</v>
      </c>
      <c r="C111" s="3280">
        <f>IF('Part III-Sources of Funds'!$N$38="", 0,-'Part III-Sources of Funds'!$N$38)</f>
        <v>-101622.85161720682</v>
      </c>
      <c r="D111" s="3280">
        <f>IF('Part III-Sources of Funds'!$N$38="", 0,-'Part III-Sources of Funds'!$N$38)</f>
        <v>-101622.85161720682</v>
      </c>
      <c r="E111" s="3280">
        <f>IF('Part III-Sources of Funds'!$N$38="", 0,-'Part III-Sources of Funds'!$N$38)</f>
        <v>-101622.85161720682</v>
      </c>
      <c r="F111" s="3280">
        <f>IF('Part III-Sources of Funds'!$N$38="", 0,-'Part III-Sources of Funds'!$N$38)</f>
        <v>-101622.85161720682</v>
      </c>
      <c r="G111" s="18"/>
      <c r="H111" s="18"/>
      <c r="I111" s="18"/>
      <c r="J111" s="18"/>
      <c r="K111" s="18"/>
      <c r="M111" s="3155"/>
      <c r="N111" s="3156"/>
    </row>
    <row r="112" spans="1:14" ht="13.15" customHeight="1">
      <c r="A112" s="22" t="str">
        <f>$A83</f>
        <v>Mortgage C</v>
      </c>
      <c r="B112" s="3280">
        <f>IF('Part III-Sources of Funds'!$N$39="", 0,-'Part III-Sources of Funds'!$N$39)</f>
        <v>0</v>
      </c>
      <c r="C112" s="3280">
        <f>IF('Part III-Sources of Funds'!$N$39="", 0,-'Part III-Sources of Funds'!$N$39)</f>
        <v>0</v>
      </c>
      <c r="D112" s="3280">
        <f>IF('Part III-Sources of Funds'!$N$39="", 0,-'Part III-Sources of Funds'!$N$39)</f>
        <v>0</v>
      </c>
      <c r="E112" s="3280">
        <f>IF('Part III-Sources of Funds'!$N$39="", 0,-'Part III-Sources of Funds'!$N$39)</f>
        <v>0</v>
      </c>
      <c r="F112" s="3280">
        <f>IF('Part III-Sources of Funds'!$N$39="", 0,-'Part III-Sources of Funds'!$N$39)</f>
        <v>0</v>
      </c>
      <c r="G112" s="18"/>
      <c r="H112" s="18"/>
      <c r="I112" s="18"/>
      <c r="J112" s="18"/>
      <c r="K112" s="18"/>
      <c r="M112" s="3155"/>
      <c r="N112" s="3156"/>
    </row>
    <row r="113" spans="1:14" ht="13.15" customHeight="1">
      <c r="A113" s="22" t="str">
        <f>$A84</f>
        <v>D/S Other Source</v>
      </c>
      <c r="B113" s="3280">
        <f>IF('Part III-Sources of Funds'!$N$40="", 0,-'Part III-Sources of Funds'!$N$40)</f>
        <v>0</v>
      </c>
      <c r="C113" s="3280">
        <f>IF('Part III-Sources of Funds'!$N$40="", 0,-'Part III-Sources of Funds'!$N$40)</f>
        <v>0</v>
      </c>
      <c r="D113" s="3280">
        <f>IF('Part III-Sources of Funds'!$N$40="", 0,-'Part III-Sources of Funds'!$N$40)</f>
        <v>0</v>
      </c>
      <c r="E113" s="3280">
        <f>IF('Part III-Sources of Funds'!$N$40="", 0,-'Part III-Sources of Funds'!$N$40)</f>
        <v>0</v>
      </c>
      <c r="F113" s="3280">
        <f>IF('Part III-Sources of Funds'!$N$40="", 0,-'Part III-Sources of Funds'!$N$40)</f>
        <v>0</v>
      </c>
      <c r="G113" s="18"/>
      <c r="H113" s="18"/>
      <c r="I113" s="18"/>
      <c r="J113" s="18"/>
      <c r="K113" s="18"/>
      <c r="M113" s="3155"/>
      <c r="N113" s="3156"/>
    </row>
    <row r="114" spans="1:14" ht="13.15" customHeight="1">
      <c r="A114" s="22" t="s">
        <v>801</v>
      </c>
      <c r="B114" s="3281"/>
      <c r="C114" s="3281"/>
      <c r="D114" s="3281"/>
      <c r="E114" s="3281"/>
      <c r="F114" s="3281"/>
      <c r="G114" s="18"/>
      <c r="H114" s="18"/>
      <c r="I114" s="18"/>
      <c r="J114" s="18"/>
      <c r="K114" s="18"/>
      <c r="M114" s="3155"/>
      <c r="N114" s="3156"/>
    </row>
    <row r="115" spans="1:14" ht="13.15" customHeight="1">
      <c r="A115" s="22" t="s">
        <v>1213</v>
      </c>
      <c r="B115" s="3280">
        <f>+K86</f>
        <v>-7500</v>
      </c>
      <c r="C115" s="3280">
        <f>+B115</f>
        <v>-7500</v>
      </c>
      <c r="D115" s="3280">
        <f>+C115</f>
        <v>-7500</v>
      </c>
      <c r="E115" s="3280">
        <f>+D115</f>
        <v>-7500</v>
      </c>
      <c r="F115" s="3280">
        <f>+E115</f>
        <v>-7500</v>
      </c>
      <c r="G115" s="18"/>
      <c r="H115" s="18"/>
      <c r="I115" s="18"/>
      <c r="J115" s="18"/>
      <c r="K115" s="18"/>
      <c r="M115" s="3155"/>
      <c r="N115" s="3156"/>
    </row>
    <row r="116" spans="1:14" ht="13.15" customHeight="1">
      <c r="A116" s="22" t="s">
        <v>1256</v>
      </c>
      <c r="B116" s="3282"/>
      <c r="C116" s="3282"/>
      <c r="D116" s="3282"/>
      <c r="E116" s="3282"/>
      <c r="F116" s="3282"/>
      <c r="G116" s="18"/>
      <c r="H116" s="18"/>
      <c r="I116" s="18"/>
      <c r="J116" s="18"/>
      <c r="K116" s="18"/>
      <c r="M116" s="3155"/>
      <c r="N116" s="3156"/>
    </row>
    <row r="117" spans="1:14" ht="13.15" customHeight="1">
      <c r="A117" s="22" t="s">
        <v>1214</v>
      </c>
      <c r="B117" s="23">
        <f>SUM(B109:B116)</f>
        <v>904.53368433471769</v>
      </c>
      <c r="C117" s="23">
        <f>SUM(C109:C116)</f>
        <v>-9358.05175887933</v>
      </c>
      <c r="D117" s="23">
        <f>SUM(D109:D116)</f>
        <v>-20417.706911721849</v>
      </c>
      <c r="E117" s="23">
        <f>SUM(E109:E116)</f>
        <v>-32306.673108412535</v>
      </c>
      <c r="F117" s="24">
        <f>SUM(F109:F116)</f>
        <v>-45060.264308050275</v>
      </c>
      <c r="G117" s="18"/>
      <c r="H117" s="18"/>
      <c r="I117" s="18"/>
      <c r="J117" s="18"/>
      <c r="K117" s="18"/>
      <c r="M117" s="3155"/>
      <c r="N117" s="3156"/>
    </row>
    <row r="118" spans="1:14" ht="13.15" customHeight="1">
      <c r="A118" s="22" t="str">
        <f>$A89</f>
        <v>DCR Mortgage A</v>
      </c>
      <c r="B118" s="25">
        <f>IF(B110=0,"",-B109/B110)</f>
        <v>1.303953680097556</v>
      </c>
      <c r="C118" s="25">
        <f>IF(C110=0,"",-C109/C110)</f>
        <v>1.2756030053611565</v>
      </c>
      <c r="D118" s="25">
        <f>IF(D110=0,"",-D109/D110)</f>
        <v>1.2450504036147503</v>
      </c>
      <c r="E118" s="25">
        <f>IF(E110=0,"",-E109/E110)</f>
        <v>1.2122068072852012</v>
      </c>
      <c r="F118" s="26">
        <f>IF(F110=0,"",-F109/F110)</f>
        <v>1.1769746605885791</v>
      </c>
      <c r="G118" s="18"/>
      <c r="H118" s="18"/>
      <c r="I118" s="18"/>
      <c r="J118" s="18"/>
      <c r="K118" s="18"/>
      <c r="M118" s="3155"/>
      <c r="N118" s="3156"/>
    </row>
    <row r="119" spans="1:14" ht="13.15" customHeight="1">
      <c r="A119" s="22" t="str">
        <f>$A90</f>
        <v>DCR Mortgage B</v>
      </c>
      <c r="B119" s="25">
        <f>IF(OR(B111=0,AND(B111=0,B110=0)),"",-B109/(B110+B111))</f>
        <v>1.0181284487854836</v>
      </c>
      <c r="C119" s="25">
        <f>IF(OR(C111=0,AND(C111=0,C110=0)),"",-C109/(C110+C111))</f>
        <v>0.99599221117830672</v>
      </c>
      <c r="D119" s="25">
        <f>IF(OR(D111=0,AND(D111=0,D110=0)),"",-D109/(D110+D111))</f>
        <v>0.97213670657165385</v>
      </c>
      <c r="E119" s="25">
        <f>IF(OR(E111=0,AND(E111=0,E110=0)),"",-E109/(E110+E111))</f>
        <v>0.94649239090774273</v>
      </c>
      <c r="F119" s="26">
        <f>IF(OR(F111=0,AND(F111=0,F110=0)),"",-F109/(F110+F111))</f>
        <v>0.91898309252458932</v>
      </c>
      <c r="G119" s="18"/>
      <c r="H119" s="18"/>
      <c r="I119" s="18"/>
      <c r="J119" s="18"/>
      <c r="K119" s="18"/>
      <c r="M119" s="3155"/>
      <c r="N119" s="315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3155"/>
      <c r="N120" s="315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3155"/>
      <c r="N121" s="3156"/>
    </row>
    <row r="122" spans="1:14" ht="13.15" customHeight="1">
      <c r="A122" s="22" t="s">
        <v>808</v>
      </c>
      <c r="B122" s="293">
        <f>IF(OR(B107="Choose mgt fee",B107="Choose One!"),"",(B101+B102+B103+B104+B105) / -(B106+B107+B108))</f>
        <v>1.2395653894161112</v>
      </c>
      <c r="C122" s="293">
        <f>IF(OR(C107="Choose mgt fee",C107="Choose One!"),"",(C101+C102+C103+C104+C105) / -(C106+C107+C108))</f>
        <v>1.2275308223746708</v>
      </c>
      <c r="D122" s="293">
        <f>IF(OR(D107="Choose mgt fee",D107="Choose One!"),"",(D101+D102+D103+D104+D105) / -(D106+D107+D108))</f>
        <v>1.2156126693907023</v>
      </c>
      <c r="E122" s="293">
        <f>IF(OR(E107="Choose mgt fee",E107="Choose One!"),"",(E101+E102+E103+E104+E105) / -(E106+E107+E108))</f>
        <v>1.2038106381872995</v>
      </c>
      <c r="F122" s="925">
        <f>IF(OR(F107="Choose mgt fee",F107="Choose One!"),"",(F101+F102+F103+F104+F105) / -(F106+F107+F108))</f>
        <v>1.1921233175362596</v>
      </c>
      <c r="G122" s="18"/>
      <c r="H122" s="18"/>
      <c r="I122" s="18"/>
      <c r="J122" s="18"/>
      <c r="K122" s="18"/>
      <c r="M122" s="3155"/>
      <c r="N122" s="3156"/>
    </row>
    <row r="123" spans="1:14" ht="13.15" customHeight="1">
      <c r="A123" s="468" t="s">
        <v>2717</v>
      </c>
      <c r="B123" s="3283">
        <f>IF('Part III-Sources of Funds'!$I$37="","",-FV('Part III-Sources of Funds'!$K$37/12,12,B110/12,K94))</f>
        <v>1332036.2532620402</v>
      </c>
      <c r="C123" s="3283">
        <f>IF('Part III-Sources of Funds'!$I$37="","",-FV('Part III-Sources of Funds'!$K$37/12,12,C110/12,B123))</f>
        <v>1019426.7978614733</v>
      </c>
      <c r="D123" s="3283">
        <f>IF('Part III-Sources of Funds'!$I$37="","",-FV('Part III-Sources of Funds'!$K$37/12,12,D110/12,C123))</f>
        <v>693594.4203444483</v>
      </c>
      <c r="E123" s="3283">
        <f>IF('Part III-Sources of Funds'!$I$37="","",-FV('Part III-Sources of Funds'!$K$37/12,12,E110/12,D123))</f>
        <v>353979.81047169608</v>
      </c>
      <c r="F123" s="3283">
        <f>IF('Part III-Sources of Funds'!$I$37="","",-FV('Part III-Sources of Funds'!$K$37/12,12,F110/12,E123))</f>
        <v>-9.3714334070682526E-9</v>
      </c>
      <c r="G123" s="18"/>
      <c r="H123" s="18"/>
      <c r="I123" s="18"/>
      <c r="J123" s="18"/>
      <c r="K123" s="18"/>
      <c r="M123" s="3155"/>
      <c r="N123" s="3156"/>
    </row>
    <row r="124" spans="1:14" ht="13.15" customHeight="1">
      <c r="A124" s="468" t="s">
        <v>2718</v>
      </c>
      <c r="B124" s="3280">
        <f>IF('Part III-Sources of Funds'!$I$38="","",-FV('Part III-Sources of Funds'!$K$38/12,12,B111/12,K95))</f>
        <v>398306.2594091596</v>
      </c>
      <c r="C124" s="3280">
        <f>IF('Part III-Sources of Funds'!$I$38="","",-FV('Part III-Sources of Funds'!$K$38/12,12,C111/12,B124))</f>
        <v>300217.70925328176</v>
      </c>
      <c r="D124" s="3280">
        <f>IF('Part III-Sources of Funds'!$I$38="","",-FV('Part III-Sources of Funds'!$K$38/12,12,D111/12,C124))</f>
        <v>201143.7653590577</v>
      </c>
      <c r="E124" s="3280">
        <f>IF('Part III-Sources of Funds'!$I$38="","",-FV('Part III-Sources of Funds'!$K$38/12,12,E111/12,D124))</f>
        <v>101074.52849953354</v>
      </c>
      <c r="F124" s="3280">
        <f>IF('Part III-Sources of Funds'!$I$38="","",-FV('Part III-Sources of Funds'!$K$38/12,12,F111/12,E124))</f>
        <v>5.0860398914664984E-7</v>
      </c>
      <c r="G124" s="18"/>
      <c r="H124" s="18"/>
      <c r="I124" s="18"/>
      <c r="J124" s="18"/>
      <c r="K124" s="18"/>
      <c r="M124" s="3155"/>
      <c r="N124" s="3156"/>
    </row>
    <row r="125" spans="1:14" ht="13.15" customHeight="1">
      <c r="A125" s="468" t="s">
        <v>2719</v>
      </c>
      <c r="B125" s="3280" t="str">
        <f>IF('Part III-Sources of Funds'!$I$39="","",-FV('Part III-Sources of Funds'!$K$39/12,12,B112/12,K96))</f>
        <v/>
      </c>
      <c r="C125" s="3280" t="str">
        <f>IF('Part III-Sources of Funds'!$I$39="","",-FV('Part III-Sources of Funds'!$K$39/12,12,C112/12,B125))</f>
        <v/>
      </c>
      <c r="D125" s="3280" t="str">
        <f>IF('Part III-Sources of Funds'!$I$39="","",-FV('Part III-Sources of Funds'!$K$39/12,12,D112/12,C125))</f>
        <v/>
      </c>
      <c r="E125" s="3280" t="str">
        <f>IF('Part III-Sources of Funds'!$I$39="","",-FV('Part III-Sources of Funds'!$K$39/12,12,E112/12,D125))</f>
        <v/>
      </c>
      <c r="F125" s="3280" t="str">
        <f>IF('Part III-Sources of Funds'!$I$39="","",-FV('Part III-Sources of Funds'!$K$39/12,12,F112/12,E125))</f>
        <v/>
      </c>
      <c r="G125" s="18"/>
      <c r="H125" s="18"/>
      <c r="I125" s="18"/>
      <c r="J125" s="18"/>
      <c r="K125" s="18"/>
      <c r="M125" s="3155"/>
      <c r="N125" s="3156"/>
    </row>
    <row r="126" spans="1:14" ht="13.15" customHeight="1">
      <c r="A126" s="22" t="s">
        <v>823</v>
      </c>
      <c r="B126" s="3280" t="str">
        <f>IF('Part III-Sources of Funds'!$I$40="","",-FV('Part III-Sources of Funds'!$K$40/12,12,B113/12,K97))</f>
        <v/>
      </c>
      <c r="C126" s="3280" t="str">
        <f>IF('Part III-Sources of Funds'!$I$40="","",-FV('Part III-Sources of Funds'!$K$40/12,12,C113/12,B126))</f>
        <v/>
      </c>
      <c r="D126" s="3280" t="str">
        <f>IF('Part III-Sources of Funds'!$I$40="","",-FV('Part III-Sources of Funds'!$K$40/12,12,D113/12,C126))</f>
        <v/>
      </c>
      <c r="E126" s="3280" t="str">
        <f>IF('Part III-Sources of Funds'!$I$40="","",-FV('Part III-Sources of Funds'!$K$40/12,12,E113/12,D126))</f>
        <v/>
      </c>
      <c r="F126" s="3280" t="str">
        <f>IF('Part III-Sources of Funds'!$I$40="","",-FV('Part III-Sources of Funds'!$K$40/12,12,F113/12,E126))</f>
        <v/>
      </c>
      <c r="G126" s="18"/>
      <c r="H126" s="18"/>
      <c r="I126" s="18"/>
      <c r="J126" s="18"/>
      <c r="K126" s="18"/>
      <c r="M126" s="3155"/>
      <c r="N126" s="3156"/>
    </row>
    <row r="127" spans="1:14" ht="13.15" customHeight="1">
      <c r="A127" s="27" t="s">
        <v>1291</v>
      </c>
      <c r="B127" s="3282">
        <f>IF('Part III-Sources of Funds'!$I$42="","",-FV('Part III-Sources of Funds'!$K$42/12,12,B116/12,K98))</f>
        <v>0</v>
      </c>
      <c r="C127" s="3282">
        <f>IF('Part III-Sources of Funds'!$I$42="","",-FV('Part III-Sources of Funds'!$K$42/12,12,C116/12,B127))</f>
        <v>0</v>
      </c>
      <c r="D127" s="3282">
        <f>IF('Part III-Sources of Funds'!$I$42="","",-FV('Part III-Sources of Funds'!$K$42/12,12,D116/12,C127))</f>
        <v>0</v>
      </c>
      <c r="E127" s="3282">
        <f>IF('Part III-Sources of Funds'!$I$42="","",-FV('Part III-Sources of Funds'!$K$42/12,12,E116/12,D127))</f>
        <v>0</v>
      </c>
      <c r="F127" s="3282">
        <f>IF('Part III-Sources of Funds'!$I$42="","",-FV('Part III-Sources of Funds'!$K$42/12,12,F116/12,E127))</f>
        <v>0</v>
      </c>
      <c r="G127" s="18"/>
      <c r="H127" s="18"/>
      <c r="I127" s="18"/>
      <c r="J127" s="18"/>
      <c r="K127" s="18"/>
      <c r="M127" s="3158"/>
      <c r="N127" s="3159"/>
    </row>
    <row r="128" spans="1:14" ht="4.1500000000000004" customHeight="1"/>
    <row r="129" spans="1:14" ht="12" customHeight="1">
      <c r="A129" s="14" t="s">
        <v>598</v>
      </c>
      <c r="B129" s="14"/>
      <c r="G129" s="14" t="s">
        <v>1075</v>
      </c>
    </row>
    <row r="130" spans="1:14" ht="12" customHeight="1">
      <c r="B130" s="32"/>
    </row>
    <row r="131" spans="1:14" ht="210" customHeight="1">
      <c r="A131" s="2980" t="s">
        <v>3973</v>
      </c>
      <c r="B131" s="3284"/>
      <c r="C131" s="3284"/>
      <c r="D131" s="3284"/>
      <c r="E131" s="3284"/>
      <c r="F131" s="3285"/>
      <c r="G131" s="3286"/>
      <c r="H131" s="3287"/>
      <c r="I131" s="3287"/>
      <c r="J131" s="3287"/>
      <c r="K131" s="3288"/>
      <c r="M131" s="2291" t="s">
        <v>2811</v>
      </c>
      <c r="N131" s="2291"/>
    </row>
    <row r="132" spans="1:14" ht="11.25" customHeight="1"/>
    <row r="133" spans="1:14" ht="12" customHeight="1">
      <c r="B133" s="14"/>
    </row>
    <row r="134" spans="1:14" ht="12" customHeight="1">
      <c r="B134" s="32"/>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E1C/2ReK9UYt2TwcNzZ3xpua6ks9ABBSB97k7ZaWdJFHjXsEiarLLOmuDbunrqLE70xNc4eIAIge93Isksi+CQ==" saltValue="lWG7cNliYXTUMu1ySX0l7Q==" spinCount="100000" sheet="1" objects="1" scenarios="1" formatColumns="0" formatRows="0"/>
  <mergeCells count="16">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85" zoomScale="85" zoomScaleNormal="85" zoomScaleSheetLayoutView="40" workbookViewId="0">
      <selection activeCell="A385"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300" t="str">
        <f>CONCATENATE("PART EIGHT - THRESHOLD CRITERIA","  -  ",'Part I-Project Information'!$O$4," ",'Part I-Project Information'!$F$24,", ",'Part I-Project Information'!F28,", ",'Part I-Project Information'!J29," County")</f>
        <v>PART EIGHT - THRESHOLD CRITERIA  -  2016-508 Gateway Capitol View, Atlanta, Fulton County</v>
      </c>
      <c r="B1" s="2301"/>
      <c r="C1" s="2301"/>
      <c r="D1" s="2301"/>
      <c r="E1" s="2301"/>
      <c r="F1" s="2301"/>
      <c r="G1" s="2301"/>
      <c r="H1" s="2301"/>
      <c r="I1" s="2301"/>
      <c r="J1" s="2301"/>
      <c r="K1" s="2301"/>
      <c r="L1" s="2301"/>
      <c r="M1" s="2301"/>
      <c r="N1" s="2301"/>
      <c r="O1" s="2301"/>
      <c r="P1" s="2301"/>
      <c r="Q1" s="2301"/>
    </row>
    <row r="2" spans="1:32" s="28" customFormat="1" ht="3" customHeight="1">
      <c r="S2" s="36"/>
      <c r="T2" s="36"/>
      <c r="AE2" s="125"/>
      <c r="AF2" s="125"/>
    </row>
    <row r="3" spans="1:32" ht="13.5" customHeight="1">
      <c r="A3" s="2472"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472"/>
      <c r="C3" s="2472"/>
      <c r="D3" s="2472"/>
      <c r="E3" s="2472"/>
      <c r="F3" s="2472"/>
      <c r="G3" s="2472"/>
      <c r="H3" s="247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472"/>
      <c r="J3" s="2472"/>
      <c r="K3" s="2472"/>
      <c r="L3" s="2472"/>
      <c r="M3" s="2472"/>
      <c r="N3" s="2473"/>
      <c r="O3" s="2474" t="s">
        <v>975</v>
      </c>
      <c r="P3" s="2475"/>
      <c r="Q3" s="707" t="s">
        <v>1921</v>
      </c>
    </row>
    <row r="4" spans="1:32" ht="3" customHeight="1">
      <c r="A4" s="2029"/>
      <c r="B4" s="2471"/>
      <c r="C4" s="2471"/>
      <c r="D4" s="2471"/>
      <c r="E4" s="2029"/>
      <c r="F4" s="2029"/>
      <c r="G4" s="2029"/>
      <c r="H4" s="2029"/>
      <c r="I4" s="2029"/>
      <c r="J4" s="2029"/>
      <c r="K4" s="2029"/>
      <c r="L4" s="2029"/>
      <c r="M4" s="2029"/>
      <c r="N4" s="2029"/>
      <c r="P4" s="2029"/>
      <c r="Q4" s="2029"/>
    </row>
    <row r="5" spans="1:32" ht="10.9" hidden="1" customHeight="1">
      <c r="A5" s="2029"/>
      <c r="B5" s="2029"/>
      <c r="C5" s="2029"/>
      <c r="D5" s="2029"/>
      <c r="E5" s="2029"/>
      <c r="F5" s="2029"/>
      <c r="G5" s="2029"/>
      <c r="H5" s="2029"/>
      <c r="I5" s="2029"/>
      <c r="J5" s="2029"/>
      <c r="K5" s="2029"/>
      <c r="L5" s="2029"/>
      <c r="M5" s="2029"/>
      <c r="N5" s="2029"/>
      <c r="P5" s="2029"/>
      <c r="Q5" s="2029"/>
    </row>
    <row r="6" spans="1:32" ht="15" customHeight="1">
      <c r="A6" s="136" t="s">
        <v>592</v>
      </c>
      <c r="J6" s="2029"/>
      <c r="K6" s="2029"/>
      <c r="L6" s="2029"/>
      <c r="M6" s="2029"/>
      <c r="N6" s="2029"/>
      <c r="P6" s="3289"/>
      <c r="Q6" s="3290"/>
    </row>
    <row r="7" spans="1:32" ht="12.6" customHeight="1">
      <c r="A7" s="137" t="s">
        <v>3843</v>
      </c>
      <c r="C7" s="138"/>
      <c r="D7" s="138"/>
      <c r="J7" s="2029"/>
      <c r="K7" s="2029"/>
      <c r="L7" s="2029"/>
      <c r="M7" s="2029"/>
      <c r="N7" s="2029"/>
    </row>
    <row r="8" spans="1:32" ht="24.6" customHeight="1">
      <c r="A8" s="3291" t="s">
        <v>1469</v>
      </c>
      <c r="B8" s="3292"/>
      <c r="C8" s="3292"/>
      <c r="D8" s="3292"/>
      <c r="E8" s="3292"/>
      <c r="F8" s="3292"/>
      <c r="G8" s="3292"/>
      <c r="H8" s="3292"/>
      <c r="I8" s="3292"/>
      <c r="J8" s="3292"/>
      <c r="K8" s="3292"/>
      <c r="L8" s="3292"/>
      <c r="M8" s="3292"/>
      <c r="N8" s="3292"/>
      <c r="O8" s="3292"/>
      <c r="P8" s="3292"/>
      <c r="Q8" s="3293"/>
      <c r="R8" s="2443" t="s">
        <v>2117</v>
      </c>
      <c r="S8" s="2195"/>
    </row>
    <row r="9" spans="1:32" ht="24.6" customHeight="1">
      <c r="A9" s="3294" t="s">
        <v>236</v>
      </c>
      <c r="B9" s="3295"/>
      <c r="C9" s="3295"/>
      <c r="D9" s="3295"/>
      <c r="E9" s="3295"/>
      <c r="F9" s="3295"/>
      <c r="G9" s="3295"/>
      <c r="H9" s="3295"/>
      <c r="I9" s="3295"/>
      <c r="J9" s="3295"/>
      <c r="K9" s="3295"/>
      <c r="L9" s="3295"/>
      <c r="M9" s="3295"/>
      <c r="N9" s="3295"/>
      <c r="O9" s="3295"/>
      <c r="P9" s="3295"/>
      <c r="Q9" s="3296"/>
      <c r="R9" s="2443"/>
      <c r="S9" s="2195"/>
    </row>
    <row r="10" spans="1:32" ht="24.6" customHeight="1">
      <c r="A10" s="3294" t="s">
        <v>1465</v>
      </c>
      <c r="B10" s="3295"/>
      <c r="C10" s="3295"/>
      <c r="D10" s="3295"/>
      <c r="E10" s="3295"/>
      <c r="F10" s="3295"/>
      <c r="G10" s="3295"/>
      <c r="H10" s="3295"/>
      <c r="I10" s="3295"/>
      <c r="J10" s="3295"/>
      <c r="K10" s="3295"/>
      <c r="L10" s="3295"/>
      <c r="M10" s="3295"/>
      <c r="N10" s="3295"/>
      <c r="O10" s="3295"/>
      <c r="P10" s="3295"/>
      <c r="Q10" s="3296"/>
      <c r="R10" s="2443"/>
      <c r="S10" s="2195"/>
    </row>
    <row r="11" spans="1:32" ht="24.6" customHeight="1">
      <c r="A11" s="3294" t="s">
        <v>1466</v>
      </c>
      <c r="B11" s="3295"/>
      <c r="C11" s="3295"/>
      <c r="D11" s="3295"/>
      <c r="E11" s="3295"/>
      <c r="F11" s="3295"/>
      <c r="G11" s="3295"/>
      <c r="H11" s="3295"/>
      <c r="I11" s="3295"/>
      <c r="J11" s="3295"/>
      <c r="K11" s="3295"/>
      <c r="L11" s="3295"/>
      <c r="M11" s="3295"/>
      <c r="N11" s="3295"/>
      <c r="O11" s="3295"/>
      <c r="P11" s="3295"/>
      <c r="Q11" s="3296"/>
      <c r="R11" s="2443"/>
      <c r="S11" s="2195"/>
    </row>
    <row r="12" spans="1:32" ht="24" customHeight="1">
      <c r="A12" s="3294" t="s">
        <v>1467</v>
      </c>
      <c r="B12" s="3295"/>
      <c r="C12" s="3295"/>
      <c r="D12" s="3295"/>
      <c r="E12" s="3295"/>
      <c r="F12" s="3295"/>
      <c r="G12" s="3295"/>
      <c r="H12" s="3295"/>
      <c r="I12" s="3295"/>
      <c r="J12" s="3295"/>
      <c r="K12" s="3295"/>
      <c r="L12" s="3295"/>
      <c r="M12" s="3295"/>
      <c r="N12" s="3295"/>
      <c r="O12" s="3295"/>
      <c r="P12" s="3295"/>
      <c r="Q12" s="3296"/>
      <c r="R12" s="2000"/>
      <c r="S12" s="2000"/>
    </row>
    <row r="13" spans="1:32" ht="11.25" customHeight="1">
      <c r="A13" s="3294" t="s">
        <v>1468</v>
      </c>
      <c r="B13" s="3295"/>
      <c r="C13" s="3295"/>
      <c r="D13" s="3295"/>
      <c r="E13" s="3295"/>
      <c r="F13" s="3295"/>
      <c r="G13" s="3295"/>
      <c r="H13" s="3295"/>
      <c r="I13" s="3295"/>
      <c r="J13" s="3295"/>
      <c r="K13" s="3295"/>
      <c r="L13" s="3295"/>
      <c r="M13" s="3295"/>
      <c r="N13" s="3295"/>
      <c r="O13" s="3295"/>
      <c r="P13" s="3295"/>
      <c r="Q13" s="3296"/>
      <c r="R13" s="2000"/>
      <c r="S13" s="2000"/>
    </row>
    <row r="14" spans="1:32" ht="11.25" customHeight="1">
      <c r="A14" s="3294" t="s">
        <v>1470</v>
      </c>
      <c r="B14" s="3295"/>
      <c r="C14" s="3295"/>
      <c r="D14" s="3295"/>
      <c r="E14" s="3295"/>
      <c r="F14" s="3295"/>
      <c r="G14" s="3295"/>
      <c r="H14" s="3295"/>
      <c r="I14" s="3295"/>
      <c r="J14" s="3295"/>
      <c r="K14" s="3295"/>
      <c r="L14" s="3295"/>
      <c r="M14" s="3295"/>
      <c r="N14" s="3295"/>
      <c r="O14" s="3295"/>
      <c r="P14" s="3295"/>
      <c r="Q14" s="3296"/>
    </row>
    <row r="15" spans="1:32" ht="11.25" customHeight="1">
      <c r="A15" s="3294" t="s">
        <v>2104</v>
      </c>
      <c r="B15" s="3295"/>
      <c r="C15" s="3295"/>
      <c r="D15" s="3295"/>
      <c r="E15" s="3295"/>
      <c r="F15" s="3295"/>
      <c r="G15" s="3295"/>
      <c r="H15" s="3295"/>
      <c r="I15" s="3295"/>
      <c r="J15" s="3295"/>
      <c r="K15" s="3295"/>
      <c r="L15" s="3295"/>
      <c r="M15" s="3295"/>
      <c r="N15" s="3295"/>
      <c r="O15" s="3295"/>
      <c r="P15" s="3295"/>
      <c r="Q15" s="3296"/>
      <c r="R15" s="2443" t="s">
        <v>2117</v>
      </c>
      <c r="S15" s="2444"/>
    </row>
    <row r="16" spans="1:32" ht="11.25" customHeight="1">
      <c r="A16" s="3294" t="s">
        <v>2105</v>
      </c>
      <c r="B16" s="3295"/>
      <c r="C16" s="3295"/>
      <c r="D16" s="3295"/>
      <c r="E16" s="3295"/>
      <c r="F16" s="3295"/>
      <c r="G16" s="3295"/>
      <c r="H16" s="3295"/>
      <c r="I16" s="3295"/>
      <c r="J16" s="3295"/>
      <c r="K16" s="3295"/>
      <c r="L16" s="3295"/>
      <c r="M16" s="3295"/>
      <c r="N16" s="3295"/>
      <c r="O16" s="3295"/>
      <c r="P16" s="3295"/>
      <c r="Q16" s="3296"/>
      <c r="R16" s="2443"/>
      <c r="S16" s="2444"/>
    </row>
    <row r="17" spans="1:19" ht="11.25" customHeight="1">
      <c r="A17" s="3294" t="s">
        <v>2106</v>
      </c>
      <c r="B17" s="3295"/>
      <c r="C17" s="3295"/>
      <c r="D17" s="3295"/>
      <c r="E17" s="3295"/>
      <c r="F17" s="3295"/>
      <c r="G17" s="3295"/>
      <c r="H17" s="3295"/>
      <c r="I17" s="3295"/>
      <c r="J17" s="3295"/>
      <c r="K17" s="3295"/>
      <c r="L17" s="3295"/>
      <c r="M17" s="3295"/>
      <c r="N17" s="3295"/>
      <c r="O17" s="3295"/>
      <c r="P17" s="3295"/>
      <c r="Q17" s="3296"/>
      <c r="R17" s="2443"/>
      <c r="S17" s="2444"/>
    </row>
    <row r="18" spans="1:19" ht="11.25" customHeight="1">
      <c r="A18" s="3294" t="s">
        <v>2107</v>
      </c>
      <c r="B18" s="3295"/>
      <c r="C18" s="3295"/>
      <c r="D18" s="3295"/>
      <c r="E18" s="3295"/>
      <c r="F18" s="3295"/>
      <c r="G18" s="3295"/>
      <c r="H18" s="3295"/>
      <c r="I18" s="3295"/>
      <c r="J18" s="3295"/>
      <c r="K18" s="3295"/>
      <c r="L18" s="3295"/>
      <c r="M18" s="3295"/>
      <c r="N18" s="3295"/>
      <c r="O18" s="3295"/>
      <c r="P18" s="3295"/>
      <c r="Q18" s="3296"/>
      <c r="R18" s="2443"/>
      <c r="S18" s="2444"/>
    </row>
    <row r="19" spans="1:19" ht="11.25" customHeight="1">
      <c r="A19" s="3294" t="s">
        <v>2108</v>
      </c>
      <c r="B19" s="3295"/>
      <c r="C19" s="3295"/>
      <c r="D19" s="3295"/>
      <c r="E19" s="3295"/>
      <c r="F19" s="3295"/>
      <c r="G19" s="3295"/>
      <c r="H19" s="3295"/>
      <c r="I19" s="3295"/>
      <c r="J19" s="3295"/>
      <c r="K19" s="3295"/>
      <c r="L19" s="3295"/>
      <c r="M19" s="3295"/>
      <c r="N19" s="3295"/>
      <c r="O19" s="3295"/>
      <c r="P19" s="3295"/>
      <c r="Q19" s="3296"/>
      <c r="R19" s="2443"/>
      <c r="S19" s="2444"/>
    </row>
    <row r="20" spans="1:19" ht="11.25" customHeight="1">
      <c r="A20" s="3294" t="s">
        <v>2109</v>
      </c>
      <c r="B20" s="3295"/>
      <c r="C20" s="3295"/>
      <c r="D20" s="3295"/>
      <c r="E20" s="3295"/>
      <c r="F20" s="3295"/>
      <c r="G20" s="3295"/>
      <c r="H20" s="3295"/>
      <c r="I20" s="3295"/>
      <c r="J20" s="3295"/>
      <c r="K20" s="3295"/>
      <c r="L20" s="3295"/>
      <c r="M20" s="3295"/>
      <c r="N20" s="3295"/>
      <c r="O20" s="3295"/>
      <c r="P20" s="3295"/>
      <c r="Q20" s="3296"/>
      <c r="R20" s="2443"/>
      <c r="S20" s="2444"/>
    </row>
    <row r="21" spans="1:19" ht="11.25" customHeight="1">
      <c r="A21" s="3294" t="s">
        <v>2110</v>
      </c>
      <c r="B21" s="3295"/>
      <c r="C21" s="3295"/>
      <c r="D21" s="3295"/>
      <c r="E21" s="3295"/>
      <c r="F21" s="3295"/>
      <c r="G21" s="3295"/>
      <c r="H21" s="3295"/>
      <c r="I21" s="3295"/>
      <c r="J21" s="3295"/>
      <c r="K21" s="3295"/>
      <c r="L21" s="3295"/>
      <c r="M21" s="3295"/>
      <c r="N21" s="3295"/>
      <c r="O21" s="3295"/>
      <c r="P21" s="3295"/>
      <c r="Q21" s="3296"/>
    </row>
    <row r="22" spans="1:19" ht="11.25" customHeight="1">
      <c r="A22" s="3294" t="s">
        <v>2111</v>
      </c>
      <c r="B22" s="3295"/>
      <c r="C22" s="3295"/>
      <c r="D22" s="3295"/>
      <c r="E22" s="3295"/>
      <c r="F22" s="3295"/>
      <c r="G22" s="3295"/>
      <c r="H22" s="3295"/>
      <c r="I22" s="3295"/>
      <c r="J22" s="3295"/>
      <c r="K22" s="3295"/>
      <c r="L22" s="3295"/>
      <c r="M22" s="3295"/>
      <c r="N22" s="3295"/>
      <c r="O22" s="3295"/>
      <c r="P22" s="3295"/>
      <c r="Q22" s="3296"/>
      <c r="R22" s="2443" t="s">
        <v>2117</v>
      </c>
      <c r="S22" s="2444"/>
    </row>
    <row r="23" spans="1:19" ht="11.25" customHeight="1">
      <c r="A23" s="3294" t="s">
        <v>2112</v>
      </c>
      <c r="B23" s="3295"/>
      <c r="C23" s="3295"/>
      <c r="D23" s="3295"/>
      <c r="E23" s="3295"/>
      <c r="F23" s="3295"/>
      <c r="G23" s="3295"/>
      <c r="H23" s="3295"/>
      <c r="I23" s="3295"/>
      <c r="J23" s="3295"/>
      <c r="K23" s="3295"/>
      <c r="L23" s="3295"/>
      <c r="M23" s="3295"/>
      <c r="N23" s="3295"/>
      <c r="O23" s="3295"/>
      <c r="P23" s="3295"/>
      <c r="Q23" s="3296"/>
      <c r="R23" s="2443"/>
      <c r="S23" s="2444"/>
    </row>
    <row r="24" spans="1:19" ht="11.25" customHeight="1">
      <c r="A24" s="3294" t="s">
        <v>2113</v>
      </c>
      <c r="B24" s="3295"/>
      <c r="C24" s="3295"/>
      <c r="D24" s="3295"/>
      <c r="E24" s="3295"/>
      <c r="F24" s="3295"/>
      <c r="G24" s="3295"/>
      <c r="H24" s="3295"/>
      <c r="I24" s="3295"/>
      <c r="J24" s="3295"/>
      <c r="K24" s="3295"/>
      <c r="L24" s="3295"/>
      <c r="M24" s="3295"/>
      <c r="N24" s="3295"/>
      <c r="O24" s="3295"/>
      <c r="P24" s="3295"/>
      <c r="Q24" s="3296"/>
      <c r="R24" s="2443"/>
      <c r="S24" s="2444"/>
    </row>
    <row r="25" spans="1:19" ht="11.25" customHeight="1">
      <c r="A25" s="3294" t="s">
        <v>2114</v>
      </c>
      <c r="B25" s="3295"/>
      <c r="C25" s="3295"/>
      <c r="D25" s="3295"/>
      <c r="E25" s="3295"/>
      <c r="F25" s="3295"/>
      <c r="G25" s="3295"/>
      <c r="H25" s="3295"/>
      <c r="I25" s="3295"/>
      <c r="J25" s="3295"/>
      <c r="K25" s="3295"/>
      <c r="L25" s="3295"/>
      <c r="M25" s="3295"/>
      <c r="N25" s="3295"/>
      <c r="O25" s="3295"/>
      <c r="P25" s="3295"/>
      <c r="Q25" s="3296"/>
      <c r="R25" s="2443"/>
      <c r="S25" s="2444"/>
    </row>
    <row r="26" spans="1:19" ht="11.25" customHeight="1">
      <c r="A26" s="3294" t="s">
        <v>2115</v>
      </c>
      <c r="B26" s="3295"/>
      <c r="C26" s="3295"/>
      <c r="D26" s="3295"/>
      <c r="E26" s="3295"/>
      <c r="F26" s="3295"/>
      <c r="G26" s="3295"/>
      <c r="H26" s="3295"/>
      <c r="I26" s="3295"/>
      <c r="J26" s="3295"/>
      <c r="K26" s="3295"/>
      <c r="L26" s="3295"/>
      <c r="M26" s="3295"/>
      <c r="N26" s="3295"/>
      <c r="O26" s="3295"/>
      <c r="P26" s="3295"/>
      <c r="Q26" s="3296"/>
      <c r="R26" s="2443"/>
      <c r="S26" s="2444"/>
    </row>
    <row r="27" spans="1:19" ht="11.25" customHeight="1">
      <c r="A27" s="3297" t="s">
        <v>2116</v>
      </c>
      <c r="B27" s="3298"/>
      <c r="C27" s="3298"/>
      <c r="D27" s="3298"/>
      <c r="E27" s="3298"/>
      <c r="F27" s="3298"/>
      <c r="G27" s="3298"/>
      <c r="H27" s="3298"/>
      <c r="I27" s="3298"/>
      <c r="J27" s="3298"/>
      <c r="K27" s="3298"/>
      <c r="L27" s="3298"/>
      <c r="M27" s="3298"/>
      <c r="N27" s="3298"/>
      <c r="O27" s="3298"/>
      <c r="P27" s="3298"/>
      <c r="Q27" s="3299"/>
      <c r="R27" s="2443"/>
      <c r="S27" s="2444"/>
    </row>
    <row r="28" spans="1:19" ht="6" customHeight="1"/>
    <row r="29" spans="1:19" ht="13.9" customHeight="1">
      <c r="A29" s="139">
        <v>1</v>
      </c>
      <c r="B29" s="140" t="s">
        <v>2757</v>
      </c>
      <c r="C29" s="141"/>
      <c r="D29" s="92"/>
      <c r="E29" s="92"/>
      <c r="F29" s="92"/>
      <c r="G29" s="92"/>
      <c r="I29" s="2041"/>
      <c r="J29" s="2041"/>
      <c r="K29" s="2041"/>
      <c r="L29" s="2029"/>
      <c r="M29" s="2029"/>
      <c r="O29" s="142" t="s">
        <v>1948</v>
      </c>
      <c r="P29" s="3300"/>
      <c r="Q29" s="3301"/>
    </row>
    <row r="30" spans="1:19" ht="3" customHeight="1"/>
    <row r="31" spans="1:19" ht="12" customHeight="1">
      <c r="B31" s="152" t="s">
        <v>2068</v>
      </c>
      <c r="C31" s="54" t="s">
        <v>4124</v>
      </c>
      <c r="E31" s="1344"/>
      <c r="F31" s="1344"/>
      <c r="G31" s="1344"/>
      <c r="H31" s="1344"/>
      <c r="I31" s="43"/>
      <c r="J31" s="34"/>
      <c r="K31" s="43"/>
      <c r="L31" s="34"/>
      <c r="M31" s="34"/>
      <c r="O31" s="70" t="s">
        <v>624</v>
      </c>
      <c r="P31" s="2074" t="s">
        <v>3297</v>
      </c>
      <c r="Q31" s="697"/>
    </row>
    <row r="32" spans="1:19" ht="12" customHeight="1">
      <c r="B32" s="48" t="s">
        <v>2071</v>
      </c>
      <c r="C32" s="54" t="s">
        <v>753</v>
      </c>
      <c r="E32" s="1344"/>
      <c r="F32" s="1344"/>
      <c r="G32" s="1344"/>
      <c r="H32" s="1344"/>
      <c r="J32" s="3302" t="s">
        <v>4705</v>
      </c>
      <c r="K32" s="3303"/>
      <c r="L32" s="3303"/>
      <c r="M32" s="3303"/>
      <c r="N32" s="3304"/>
      <c r="O32" s="70"/>
      <c r="P32" s="70"/>
      <c r="Q32" s="70"/>
    </row>
    <row r="33" spans="1:295" ht="11.25" customHeight="1">
      <c r="B33" s="71" t="s">
        <v>1946</v>
      </c>
      <c r="C33" s="71"/>
      <c r="D33" s="71"/>
      <c r="E33" s="71"/>
      <c r="F33" s="71"/>
      <c r="G33" s="2041"/>
      <c r="H33" s="2041"/>
      <c r="I33" s="2041"/>
      <c r="J33" s="2041"/>
      <c r="K33" s="2029"/>
      <c r="L33" s="2029"/>
      <c r="M33" s="2029"/>
      <c r="N33" s="2029"/>
      <c r="O33" s="2029"/>
      <c r="P33" s="1343"/>
      <c r="S33" s="171"/>
      <c r="T33" s="171"/>
    </row>
    <row r="34" spans="1:295" ht="36" customHeight="1">
      <c r="A34" s="2539" t="s">
        <v>4707</v>
      </c>
      <c r="B34" s="2540"/>
      <c r="C34" s="2540"/>
      <c r="D34" s="2540"/>
      <c r="E34" s="2540"/>
      <c r="F34" s="2540"/>
      <c r="G34" s="2540"/>
      <c r="H34" s="2540"/>
      <c r="I34" s="2540"/>
      <c r="J34" s="2540"/>
      <c r="K34" s="2540"/>
      <c r="L34" s="2540"/>
      <c r="M34" s="2540"/>
      <c r="N34" s="2540"/>
      <c r="O34" s="2540"/>
      <c r="P34" s="2540"/>
      <c r="Q34" s="2541"/>
      <c r="R34" s="498" t="s">
        <v>1308</v>
      </c>
      <c r="S34" s="499"/>
      <c r="T34" s="171"/>
      <c r="U34" s="146"/>
      <c r="V34" s="146"/>
      <c r="W34" s="146"/>
      <c r="X34" s="146"/>
      <c r="Y34" s="146"/>
      <c r="Z34" s="146"/>
      <c r="AA34" s="146"/>
      <c r="AB34" s="146"/>
      <c r="AC34" s="146"/>
      <c r="AD34" s="146"/>
      <c r="AE34" s="529"/>
    </row>
    <row r="35" spans="1:295" ht="11.25" customHeight="1">
      <c r="B35" s="147" t="s">
        <v>1947</v>
      </c>
      <c r="C35" s="148"/>
      <c r="D35" s="2033"/>
      <c r="E35" s="2033"/>
      <c r="F35" s="2033"/>
      <c r="G35" s="2033"/>
      <c r="H35" s="2033"/>
      <c r="I35" s="2033"/>
      <c r="J35" s="2033"/>
      <c r="K35" s="2033"/>
      <c r="L35" s="2033"/>
      <c r="M35" s="2033"/>
      <c r="N35" s="2033"/>
      <c r="O35" s="2033"/>
      <c r="P35" s="2033"/>
    </row>
    <row r="36" spans="1:295" ht="36" customHeight="1">
      <c r="A36" s="3305"/>
      <c r="B36" s="3305"/>
      <c r="C36" s="3305"/>
      <c r="D36" s="3305"/>
      <c r="E36" s="3305"/>
      <c r="F36" s="3305"/>
      <c r="G36" s="3305"/>
      <c r="H36" s="3305"/>
      <c r="I36" s="3305"/>
      <c r="J36" s="3305"/>
      <c r="K36" s="3305"/>
      <c r="L36" s="3305"/>
      <c r="M36" s="3305"/>
      <c r="N36" s="3305"/>
      <c r="O36" s="3305"/>
      <c r="P36" s="3305"/>
      <c r="Q36" s="3305"/>
      <c r="R36" s="498" t="s">
        <v>1308</v>
      </c>
      <c r="S36" s="499"/>
    </row>
    <row r="37" spans="1:295" ht="3" customHeight="1">
      <c r="B37" s="2041"/>
      <c r="C37" s="2033"/>
      <c r="D37" s="2033"/>
      <c r="E37" s="2033"/>
      <c r="F37" s="2033"/>
      <c r="G37" s="2033"/>
      <c r="H37" s="2033"/>
      <c r="I37" s="2033"/>
      <c r="J37" s="2033"/>
      <c r="K37" s="2033"/>
      <c r="L37" s="2033"/>
      <c r="M37" s="2033"/>
      <c r="N37" s="2033"/>
      <c r="O37" s="2033"/>
      <c r="P37" s="2033"/>
      <c r="Q37" s="2029"/>
    </row>
    <row r="38" spans="1:295" ht="12.75" customHeight="1">
      <c r="A38" s="2037">
        <v>2</v>
      </c>
      <c r="B38" s="4" t="s">
        <v>2841</v>
      </c>
      <c r="C38" s="4"/>
      <c r="D38" s="4"/>
      <c r="E38" s="2033"/>
      <c r="G38" s="890"/>
      <c r="H38" s="890"/>
      <c r="I38" s="890"/>
      <c r="J38" s="43"/>
      <c r="L38" s="891"/>
      <c r="M38" s="891"/>
      <c r="N38" s="891"/>
      <c r="O38" s="142" t="s">
        <v>1948</v>
      </c>
      <c r="P38" s="3300"/>
      <c r="Q38" s="3301"/>
    </row>
    <row r="39" spans="1:295" ht="11.25" customHeight="1">
      <c r="A39" s="2481" t="s">
        <v>3844</v>
      </c>
      <c r="B39" s="2481"/>
      <c r="C39" s="2481"/>
      <c r="D39" s="2481"/>
      <c r="E39" s="2481"/>
      <c r="F39" s="2481"/>
      <c r="G39" s="2479" t="s">
        <v>2845</v>
      </c>
      <c r="H39" s="2480"/>
      <c r="I39" s="897"/>
      <c r="J39" s="43"/>
      <c r="K39" s="2490" t="s">
        <v>4299</v>
      </c>
      <c r="L39" s="2491"/>
      <c r="M39" s="2491"/>
      <c r="N39" s="2492"/>
    </row>
    <row r="40" spans="1:295" ht="11.25" customHeight="1">
      <c r="A40" s="2481"/>
      <c r="B40" s="2481"/>
      <c r="C40" s="2481"/>
      <c r="D40" s="2481"/>
      <c r="E40" s="2481"/>
      <c r="F40" s="2481"/>
      <c r="G40" s="2477" t="s">
        <v>360</v>
      </c>
      <c r="H40" s="2478"/>
      <c r="I40" s="897"/>
      <c r="J40" s="43"/>
      <c r="K40" s="2487" t="s">
        <v>4300</v>
      </c>
      <c r="L40" s="2488"/>
      <c r="M40" s="2488"/>
      <c r="N40" s="2489"/>
      <c r="P40" s="678" t="s">
        <v>2874</v>
      </c>
      <c r="Q40" s="2074"/>
    </row>
    <row r="41" spans="1:295" ht="4.5" customHeight="1">
      <c r="A41" s="2481"/>
      <c r="B41" s="2481"/>
      <c r="C41" s="2481"/>
      <c r="D41" s="2481"/>
      <c r="E41" s="2481"/>
      <c r="F41" s="2481"/>
      <c r="G41" s="234"/>
      <c r="H41" s="234"/>
      <c r="I41" s="234"/>
      <c r="J41" s="43"/>
      <c r="K41" s="2493"/>
      <c r="L41" s="2493"/>
      <c r="M41" s="2493"/>
      <c r="N41" s="2493"/>
    </row>
    <row r="42" spans="1:295" s="87" customFormat="1" ht="10.5" customHeight="1">
      <c r="D42" s="898" t="s">
        <v>2844</v>
      </c>
      <c r="E42" s="36"/>
      <c r="F42" s="899" t="s">
        <v>3846</v>
      </c>
      <c r="G42" s="2437" t="s">
        <v>3845</v>
      </c>
      <c r="H42" s="2437"/>
      <c r="I42" s="2437"/>
      <c r="J42" s="36"/>
      <c r="K42" s="899" t="s">
        <v>3846</v>
      </c>
      <c r="L42" s="2437" t="s">
        <v>3845</v>
      </c>
      <c r="M42" s="2437"/>
      <c r="N42" s="2437"/>
      <c r="O42" s="36"/>
      <c r="R42" s="454"/>
      <c r="U42" s="36"/>
      <c r="V42" s="505"/>
      <c r="W42" s="505"/>
      <c r="X42" s="508"/>
      <c r="Y42" s="505"/>
      <c r="Z42" s="519"/>
      <c r="AA42" s="520"/>
      <c r="AB42" s="520"/>
      <c r="AC42" s="520"/>
      <c r="AD42" s="520"/>
      <c r="AE42" s="520"/>
      <c r="AF42" s="520"/>
      <c r="AG42" s="1271"/>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16"/>
      <c r="IK42" s="516"/>
      <c r="IL42" s="503"/>
      <c r="IM42" s="503"/>
      <c r="IN42" s="503"/>
      <c r="IO42" s="503"/>
      <c r="IP42" s="503"/>
      <c r="IQ42" s="503"/>
      <c r="IR42" s="503"/>
      <c r="IS42" s="503"/>
      <c r="IT42" s="503"/>
      <c r="IU42" s="503"/>
      <c r="IV42" s="503"/>
      <c r="IW42" s="503"/>
      <c r="IX42" s="503"/>
      <c r="IY42" s="503"/>
      <c r="IZ42" s="503"/>
      <c r="JA42" s="516"/>
      <c r="JB42" s="503"/>
      <c r="JC42" s="503"/>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441" t="s">
        <v>3689</v>
      </c>
      <c r="B43" s="2441"/>
      <c r="C43" s="2441"/>
      <c r="D43" s="1208" t="s">
        <v>593</v>
      </c>
      <c r="E43" s="1209">
        <v>0</v>
      </c>
      <c r="F43" s="1210">
        <f>'Part VI-Revenues &amp; Expenses'!$J$104</f>
        <v>0</v>
      </c>
      <c r="G43" s="121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212">
        <f>F43*G43</f>
        <v>0</v>
      </c>
      <c r="J43" s="43"/>
      <c r="K43" s="1210">
        <f>'Part VI-Revenues &amp; Expenses'!$J$105</f>
        <v>0</v>
      </c>
      <c r="L43" s="121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212">
        <f>K43*L43</f>
        <v>0</v>
      </c>
      <c r="O43" s="2033"/>
      <c r="P43" s="2482" t="s">
        <v>3691</v>
      </c>
      <c r="Q43" s="2482"/>
      <c r="R43" s="454"/>
      <c r="U43" s="36"/>
      <c r="V43" s="505"/>
      <c r="W43" s="505"/>
      <c r="X43" s="508"/>
      <c r="Y43" s="505"/>
      <c r="Z43" s="519"/>
      <c r="AA43" s="520"/>
      <c r="AB43" s="520"/>
      <c r="AC43" s="520"/>
      <c r="AD43" s="520"/>
      <c r="AE43" s="520"/>
      <c r="AF43" s="520"/>
      <c r="AG43" s="1271"/>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16"/>
      <c r="IK43" s="516"/>
      <c r="IL43" s="503"/>
      <c r="IM43" s="503"/>
      <c r="IN43" s="503"/>
      <c r="IO43" s="503"/>
      <c r="IP43" s="503"/>
      <c r="IQ43" s="503"/>
      <c r="IR43" s="503"/>
      <c r="IS43" s="503"/>
      <c r="IT43" s="503"/>
      <c r="IU43" s="503"/>
      <c r="IV43" s="503"/>
      <c r="IW43" s="503"/>
      <c r="IX43" s="503"/>
      <c r="IY43" s="503"/>
      <c r="IZ43" s="503"/>
      <c r="JA43" s="516"/>
      <c r="JB43" s="503"/>
      <c r="JC43" s="503"/>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441"/>
      <c r="B44" s="2441"/>
      <c r="C44" s="2441"/>
      <c r="D44" s="1208" t="s">
        <v>2537</v>
      </c>
      <c r="E44" s="1209">
        <v>1</v>
      </c>
      <c r="F44" s="1210">
        <f>'Part VI-Revenues &amp; Expenses'!$K$104</f>
        <v>0</v>
      </c>
      <c r="G44" s="121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212">
        <f>F44*G44</f>
        <v>0</v>
      </c>
      <c r="J44" s="43"/>
      <c r="K44" s="1210">
        <f>'Part VI-Revenues &amp; Expenses'!$K$105</f>
        <v>0</v>
      </c>
      <c r="L44" s="121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212">
        <f>K44*L44</f>
        <v>0</v>
      </c>
      <c r="O44" s="2033"/>
      <c r="P44" s="2482"/>
      <c r="Q44" s="2482"/>
      <c r="R44" s="454"/>
      <c r="U44" s="36"/>
      <c r="V44" s="505"/>
      <c r="W44" s="505"/>
      <c r="X44" s="508"/>
      <c r="Y44" s="505"/>
      <c r="Z44" s="519"/>
      <c r="AA44" s="520"/>
      <c r="AB44" s="520"/>
      <c r="AC44" s="520"/>
      <c r="AD44" s="520"/>
      <c r="AE44" s="520"/>
      <c r="AF44" s="520"/>
      <c r="AG44" s="1271"/>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16"/>
      <c r="IK44" s="516"/>
      <c r="IL44" s="503"/>
      <c r="IM44" s="503"/>
      <c r="IN44" s="503"/>
      <c r="IO44" s="503"/>
      <c r="IP44" s="503"/>
      <c r="IQ44" s="503"/>
      <c r="IR44" s="503"/>
      <c r="IS44" s="503"/>
      <c r="IT44" s="503"/>
      <c r="IU44" s="503"/>
      <c r="IV44" s="503"/>
      <c r="IW44" s="503"/>
      <c r="IX44" s="503"/>
      <c r="IY44" s="503"/>
      <c r="IZ44" s="503"/>
      <c r="JA44" s="516"/>
      <c r="JB44" s="503"/>
      <c r="JC44" s="503"/>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441"/>
      <c r="B45" s="2441"/>
      <c r="C45" s="2441"/>
      <c r="D45" s="1208" t="s">
        <v>2538</v>
      </c>
      <c r="E45" s="1209">
        <v>2</v>
      </c>
      <c r="F45" s="1210">
        <f>'Part VI-Revenues &amp; Expenses'!$L$104</f>
        <v>0</v>
      </c>
      <c r="G45" s="121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212">
        <f>F45*G45</f>
        <v>0</v>
      </c>
      <c r="J45" s="43"/>
      <c r="K45" s="1210">
        <f>'Part VI-Revenues &amp; Expenses'!$L$105</f>
        <v>0</v>
      </c>
      <c r="L45" s="121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212">
        <f>K45*L45</f>
        <v>0</v>
      </c>
      <c r="O45" s="2033"/>
      <c r="P45" s="2482"/>
      <c r="Q45" s="2482"/>
      <c r="U45" s="36"/>
      <c r="V45" s="505"/>
      <c r="W45" s="505"/>
      <c r="X45" s="508"/>
      <c r="Y45" s="505"/>
      <c r="Z45" s="519"/>
      <c r="AA45" s="520"/>
      <c r="AB45" s="520"/>
      <c r="AC45" s="520"/>
      <c r="AD45" s="520"/>
      <c r="AE45" s="520"/>
      <c r="AF45" s="520"/>
      <c r="AG45" s="1271"/>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16"/>
      <c r="IK45" s="516"/>
      <c r="IL45" s="503"/>
      <c r="IM45" s="503"/>
      <c r="IN45" s="503"/>
      <c r="IO45" s="503"/>
      <c r="IP45" s="503"/>
      <c r="IQ45" s="503"/>
      <c r="IR45" s="503"/>
      <c r="IS45" s="503"/>
      <c r="IT45" s="503"/>
      <c r="IU45" s="503"/>
      <c r="IV45" s="503"/>
      <c r="IW45" s="503"/>
      <c r="IX45" s="503"/>
      <c r="IY45" s="503"/>
      <c r="IZ45" s="503"/>
      <c r="JA45" s="516"/>
      <c r="JB45" s="503"/>
      <c r="JC45" s="503"/>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441"/>
      <c r="B46" s="2441"/>
      <c r="C46" s="2441"/>
      <c r="D46" s="1208" t="s">
        <v>2539</v>
      </c>
      <c r="E46" s="1209">
        <v>3</v>
      </c>
      <c r="F46" s="1210">
        <f>'Part VI-Revenues &amp; Expenses'!$M$104</f>
        <v>0</v>
      </c>
      <c r="G46" s="121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212">
        <f>F46*G46</f>
        <v>0</v>
      </c>
      <c r="J46" s="43"/>
      <c r="K46" s="1210">
        <f>'Part VI-Revenues &amp; Expenses'!$M$105</f>
        <v>0</v>
      </c>
      <c r="L46" s="121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212">
        <f>K46*L46</f>
        <v>0</v>
      </c>
      <c r="O46" s="2033"/>
      <c r="P46" s="244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446"/>
      <c r="U46" s="36"/>
      <c r="V46" s="505"/>
      <c r="W46" s="505"/>
      <c r="X46" s="508"/>
      <c r="Y46" s="505"/>
      <c r="Z46" s="519"/>
      <c r="AA46" s="520"/>
      <c r="AB46" s="520"/>
      <c r="AC46" s="520"/>
      <c r="AD46" s="520"/>
      <c r="AE46" s="520"/>
      <c r="AF46" s="520"/>
      <c r="AG46" s="1271"/>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16"/>
      <c r="IK46" s="516"/>
      <c r="IL46" s="503"/>
      <c r="IM46" s="503"/>
      <c r="IN46" s="503"/>
      <c r="IO46" s="503"/>
      <c r="IP46" s="503"/>
      <c r="IQ46" s="503"/>
      <c r="IR46" s="503"/>
      <c r="IS46" s="503"/>
      <c r="IT46" s="503"/>
      <c r="IU46" s="503"/>
      <c r="IV46" s="503"/>
      <c r="IW46" s="503"/>
      <c r="IX46" s="503"/>
      <c r="IY46" s="503"/>
      <c r="IZ46" s="503"/>
      <c r="JA46" s="516"/>
      <c r="JB46" s="503"/>
      <c r="JC46" s="503"/>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213" t="s">
        <v>2540</v>
      </c>
      <c r="E47" s="1209">
        <v>4</v>
      </c>
      <c r="F47" s="1210">
        <f>'Part VI-Revenues &amp; Expenses'!$N$104</f>
        <v>0</v>
      </c>
      <c r="G47" s="121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212">
        <f>F47*G47</f>
        <v>0</v>
      </c>
      <c r="J47" s="43"/>
      <c r="K47" s="1210">
        <f>'Part VI-Revenues &amp; Expenses'!$N$105</f>
        <v>0</v>
      </c>
      <c r="L47" s="121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212">
        <f>K47*L47</f>
        <v>0</v>
      </c>
      <c r="O47" s="2033"/>
      <c r="P47" s="2447"/>
      <c r="Q47" s="2448"/>
      <c r="S47" s="96"/>
      <c r="T47" s="43"/>
      <c r="U47" s="36"/>
      <c r="V47" s="505"/>
      <c r="W47" s="505"/>
      <c r="X47" s="508"/>
      <c r="Y47" s="505"/>
      <c r="Z47" s="519"/>
      <c r="AA47" s="520"/>
      <c r="AB47" s="520"/>
      <c r="AC47" s="520"/>
      <c r="AD47" s="520"/>
      <c r="AE47" s="520"/>
      <c r="AF47" s="520"/>
      <c r="AG47" s="1271"/>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16"/>
      <c r="IK47" s="516"/>
      <c r="IL47" s="503"/>
      <c r="IM47" s="503"/>
      <c r="IN47" s="503"/>
      <c r="IO47" s="503"/>
      <c r="IP47" s="503"/>
      <c r="IQ47" s="503"/>
      <c r="IR47" s="503"/>
      <c r="IS47" s="503"/>
      <c r="IT47" s="503"/>
      <c r="IU47" s="503"/>
      <c r="IV47" s="503"/>
      <c r="IW47" s="503"/>
      <c r="IX47" s="503"/>
      <c r="IY47" s="503"/>
      <c r="IZ47" s="503"/>
      <c r="JA47" s="516"/>
      <c r="JB47" s="503"/>
      <c r="JC47" s="503"/>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827" t="s">
        <v>3700</v>
      </c>
      <c r="E48" s="36"/>
      <c r="F48" s="881">
        <f>SUM(F43:F47)</f>
        <v>0</v>
      </c>
      <c r="G48" s="900"/>
      <c r="H48" s="882"/>
      <c r="I48" s="883">
        <f>SUM(I43:I47)</f>
        <v>0</v>
      </c>
      <c r="J48" s="884"/>
      <c r="K48" s="881">
        <f>SUM(K43:K47)</f>
        <v>0</v>
      </c>
      <c r="L48" s="884"/>
      <c r="M48" s="882"/>
      <c r="N48" s="883">
        <f>SUM(N43:N47)</f>
        <v>0</v>
      </c>
      <c r="O48" s="2033"/>
      <c r="P48" s="2452" t="s">
        <v>4294</v>
      </c>
      <c r="Q48" s="2452"/>
      <c r="S48" s="96"/>
      <c r="T48" s="43"/>
      <c r="U48" s="36"/>
      <c r="V48" s="505"/>
      <c r="W48" s="505"/>
      <c r="X48" s="508"/>
      <c r="Y48" s="505"/>
      <c r="Z48" s="519"/>
      <c r="AA48" s="520"/>
      <c r="AB48" s="520"/>
      <c r="AC48" s="520"/>
      <c r="AD48" s="520"/>
      <c r="AE48" s="520"/>
      <c r="AF48" s="520"/>
      <c r="AG48" s="1271"/>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16"/>
      <c r="IK48" s="516"/>
      <c r="IL48" s="503"/>
      <c r="IM48" s="503"/>
      <c r="IN48" s="503"/>
      <c r="IO48" s="503"/>
      <c r="IP48" s="503"/>
      <c r="IQ48" s="503"/>
      <c r="IR48" s="503"/>
      <c r="IS48" s="503"/>
      <c r="IT48" s="503"/>
      <c r="IU48" s="503"/>
      <c r="IV48" s="503"/>
      <c r="IW48" s="503"/>
      <c r="IX48" s="503"/>
      <c r="IY48" s="503"/>
      <c r="IZ48" s="503"/>
      <c r="JA48" s="516"/>
      <c r="JB48" s="503"/>
      <c r="JC48" s="503"/>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714"/>
      <c r="E49" s="714"/>
      <c r="F49" s="901"/>
      <c r="G49" s="150"/>
      <c r="H49" s="138"/>
      <c r="I49" s="1218"/>
      <c r="J49" s="138"/>
      <c r="K49" s="901"/>
      <c r="L49" s="138"/>
      <c r="M49" s="2033"/>
      <c r="N49" s="1218"/>
      <c r="O49" s="2033"/>
      <c r="P49" s="2449" t="str">
        <f>IF('Part IV-Uses of Funds'!$G$131&gt;P65,"CHECK TDC !!!","")</f>
        <v/>
      </c>
      <c r="Q49" s="2449"/>
      <c r="R49" s="454"/>
      <c r="S49" s="1293"/>
      <c r="T49" s="43"/>
      <c r="U49" s="36"/>
      <c r="V49" s="505"/>
      <c r="W49" s="505"/>
      <c r="X49" s="508"/>
      <c r="Y49" s="505"/>
      <c r="Z49" s="519"/>
      <c r="AA49" s="520"/>
      <c r="AB49" s="520"/>
      <c r="AC49" s="520"/>
      <c r="AD49" s="520"/>
      <c r="AE49" s="520"/>
      <c r="AF49" s="520"/>
      <c r="AG49" s="1271"/>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16"/>
      <c r="IK49" s="516"/>
      <c r="IL49" s="503"/>
      <c r="IM49" s="503"/>
      <c r="IN49" s="503"/>
      <c r="IO49" s="503"/>
      <c r="IP49" s="503"/>
      <c r="IQ49" s="503"/>
      <c r="IR49" s="503"/>
      <c r="IS49" s="503"/>
      <c r="IT49" s="503"/>
      <c r="IU49" s="503"/>
      <c r="IV49" s="503"/>
      <c r="IW49" s="503"/>
      <c r="IX49" s="503"/>
      <c r="IY49" s="503"/>
      <c r="IZ49" s="503"/>
      <c r="JA49" s="516"/>
      <c r="JB49" s="503"/>
      <c r="JC49" s="503"/>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441" t="s">
        <v>3684</v>
      </c>
      <c r="B50" s="2441"/>
      <c r="C50" s="2441"/>
      <c r="D50" s="1208" t="s">
        <v>593</v>
      </c>
      <c r="E50" s="1214">
        <v>0</v>
      </c>
      <c r="F50" s="1210">
        <f>'Part VI-Revenues &amp; Expenses'!$J$106</f>
        <v>0</v>
      </c>
      <c r="G50" s="121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212">
        <f>F50*G50</f>
        <v>0</v>
      </c>
      <c r="J50" s="43"/>
      <c r="K50" s="1210">
        <f>'Part VI-Revenues &amp; Expenses'!$J$107</f>
        <v>0</v>
      </c>
      <c r="L50" s="121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212">
        <f>K50*L50</f>
        <v>0</v>
      </c>
      <c r="P50" s="2432">
        <f>'Part IV-Uses of Funds'!$G$131</f>
        <v>23748176.5</v>
      </c>
      <c r="Q50" s="2433"/>
      <c r="R50" s="454"/>
      <c r="S50" s="1293"/>
      <c r="T50" s="43"/>
      <c r="U50" s="36"/>
      <c r="V50" s="505"/>
      <c r="W50" s="505"/>
      <c r="X50" s="508"/>
      <c r="Y50" s="505"/>
      <c r="Z50" s="519"/>
      <c r="AA50" s="520"/>
      <c r="AB50" s="520"/>
      <c r="AC50" s="520"/>
      <c r="AD50" s="520"/>
      <c r="AE50" s="520"/>
      <c r="AF50" s="520"/>
      <c r="AG50" s="1271"/>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16"/>
      <c r="IK50" s="516"/>
      <c r="IL50" s="503"/>
      <c r="IM50" s="503"/>
      <c r="IN50" s="503"/>
      <c r="IO50" s="503"/>
      <c r="IP50" s="503"/>
      <c r="IQ50" s="503"/>
      <c r="IR50" s="503"/>
      <c r="IS50" s="503"/>
      <c r="IT50" s="503"/>
      <c r="IU50" s="503"/>
      <c r="IV50" s="503"/>
      <c r="IW50" s="503"/>
      <c r="IX50" s="503"/>
      <c r="IY50" s="503"/>
      <c r="IZ50" s="503"/>
      <c r="JA50" s="516"/>
      <c r="JB50" s="503"/>
      <c r="JC50" s="503"/>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441"/>
      <c r="B51" s="2441"/>
      <c r="C51" s="2441"/>
      <c r="D51" s="1208" t="s">
        <v>2537</v>
      </c>
      <c r="E51" s="1209">
        <v>1</v>
      </c>
      <c r="F51" s="1210">
        <f>'Part VI-Revenues &amp; Expenses'!$K$106</f>
        <v>0</v>
      </c>
      <c r="G51" s="121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212">
        <f>F51*G51</f>
        <v>0</v>
      </c>
      <c r="J51" s="43"/>
      <c r="K51" s="1210">
        <f>'Part VI-Revenues &amp; Expenses'!$K$107</f>
        <v>0</v>
      </c>
      <c r="L51" s="121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212">
        <f>K51*L51</f>
        <v>0</v>
      </c>
      <c r="P51" s="2434"/>
      <c r="Q51" s="2435"/>
      <c r="R51" s="454"/>
      <c r="U51" s="36"/>
      <c r="V51" s="505"/>
      <c r="W51" s="505"/>
      <c r="X51" s="508"/>
      <c r="Y51" s="505"/>
      <c r="Z51" s="519"/>
      <c r="AA51" s="520"/>
      <c r="AB51" s="520"/>
      <c r="AC51" s="520"/>
      <c r="AD51" s="520"/>
      <c r="AE51" s="520"/>
      <c r="AF51" s="520"/>
      <c r="AG51" s="1271"/>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16"/>
      <c r="IK51" s="516"/>
      <c r="IL51" s="503"/>
      <c r="IM51" s="503"/>
      <c r="IN51" s="503"/>
      <c r="IO51" s="503"/>
      <c r="IP51" s="503"/>
      <c r="IQ51" s="503"/>
      <c r="IR51" s="503"/>
      <c r="IS51" s="503"/>
      <c r="IT51" s="503"/>
      <c r="IU51" s="503"/>
      <c r="IV51" s="503"/>
      <c r="IW51" s="503"/>
      <c r="IX51" s="503"/>
      <c r="IY51" s="503"/>
      <c r="IZ51" s="503"/>
      <c r="JA51" s="516"/>
      <c r="JB51" s="503"/>
      <c r="JC51" s="503"/>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441"/>
      <c r="B52" s="2441"/>
      <c r="C52" s="2441"/>
      <c r="D52" s="1208" t="s">
        <v>2538</v>
      </c>
      <c r="E52" s="1209">
        <v>2</v>
      </c>
      <c r="F52" s="1210">
        <f>'Part VI-Revenues &amp; Expenses'!$L$106</f>
        <v>0</v>
      </c>
      <c r="G52" s="121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212">
        <f>F52*G52</f>
        <v>0</v>
      </c>
      <c r="J52" s="43"/>
      <c r="K52" s="1210">
        <f>'Part VI-Revenues &amp; Expenses'!$L$107</f>
        <v>0</v>
      </c>
      <c r="L52" s="121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212">
        <f>K52*L52</f>
        <v>0</v>
      </c>
      <c r="O52" s="809"/>
      <c r="P52" s="2452" t="s">
        <v>4301</v>
      </c>
      <c r="Q52" s="2452"/>
      <c r="R52" s="454"/>
      <c r="S52" s="43"/>
      <c r="T52" s="43"/>
      <c r="U52" s="36"/>
      <c r="V52" s="505"/>
      <c r="W52" s="505"/>
      <c r="X52" s="508"/>
      <c r="Y52" s="505"/>
      <c r="Z52" s="519"/>
      <c r="AA52" s="520"/>
      <c r="AB52" s="520"/>
      <c r="AC52" s="520"/>
      <c r="AD52" s="520"/>
      <c r="AE52" s="520"/>
      <c r="AF52" s="520"/>
      <c r="AG52" s="1271"/>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16"/>
      <c r="IK52" s="516"/>
      <c r="IL52" s="503"/>
      <c r="IM52" s="503"/>
      <c r="IN52" s="503"/>
      <c r="IO52" s="503"/>
      <c r="IP52" s="503"/>
      <c r="IQ52" s="503"/>
      <c r="IR52" s="503"/>
      <c r="IS52" s="503"/>
      <c r="IT52" s="503"/>
      <c r="IU52" s="503"/>
      <c r="IV52" s="503"/>
      <c r="IW52" s="503"/>
      <c r="IX52" s="503"/>
      <c r="IY52" s="503"/>
      <c r="IZ52" s="503"/>
      <c r="JA52" s="516"/>
      <c r="JB52" s="503"/>
      <c r="JC52" s="503"/>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208" t="s">
        <v>2539</v>
      </c>
      <c r="E53" s="1209">
        <v>3</v>
      </c>
      <c r="F53" s="1210">
        <f>'Part VI-Revenues &amp; Expenses'!$M$106</f>
        <v>0</v>
      </c>
      <c r="G53" s="121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212">
        <f>F53*G53</f>
        <v>0</v>
      </c>
      <c r="J53" s="43"/>
      <c r="K53" s="1210">
        <f>'Part VI-Revenues &amp; Expenses'!$M$107</f>
        <v>0</v>
      </c>
      <c r="L53" s="121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212">
        <f>K53*L53</f>
        <v>0</v>
      </c>
      <c r="O53" s="809"/>
      <c r="P53" s="3306"/>
      <c r="Q53" s="3307"/>
      <c r="R53" s="454"/>
      <c r="U53" s="36"/>
      <c r="V53" s="505"/>
      <c r="W53" s="505"/>
      <c r="X53" s="508"/>
      <c r="Y53" s="505"/>
      <c r="Z53" s="519"/>
      <c r="AA53" s="520"/>
      <c r="AB53" s="520"/>
      <c r="AC53" s="520"/>
      <c r="AD53" s="520"/>
      <c r="AE53" s="520"/>
      <c r="AF53" s="520"/>
      <c r="AG53" s="1271"/>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16"/>
      <c r="IK53" s="516"/>
      <c r="IL53" s="503"/>
      <c r="IM53" s="503"/>
      <c r="IN53" s="503"/>
      <c r="IO53" s="503"/>
      <c r="IP53" s="503"/>
      <c r="IQ53" s="503"/>
      <c r="IR53" s="503"/>
      <c r="IS53" s="503"/>
      <c r="IT53" s="503"/>
      <c r="IU53" s="503"/>
      <c r="IV53" s="503"/>
      <c r="IW53" s="503"/>
      <c r="IX53" s="503"/>
      <c r="IY53" s="503"/>
      <c r="IZ53" s="503"/>
      <c r="JA53" s="516"/>
      <c r="JB53" s="503"/>
      <c r="JC53" s="503"/>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213" t="s">
        <v>2540</v>
      </c>
      <c r="E54" s="1209">
        <v>4</v>
      </c>
      <c r="F54" s="1210">
        <f>'Part VI-Revenues &amp; Expenses'!$N$106</f>
        <v>0</v>
      </c>
      <c r="G54" s="121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212">
        <f>F54*G54</f>
        <v>0</v>
      </c>
      <c r="J54" s="43"/>
      <c r="K54" s="1210">
        <f>'Part VI-Revenues &amp; Expenses'!$N$107</f>
        <v>0</v>
      </c>
      <c r="L54" s="121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212">
        <f>K54*L54</f>
        <v>0</v>
      </c>
      <c r="O54" s="809"/>
      <c r="P54" s="3308"/>
      <c r="Q54" s="3309"/>
      <c r="R54" s="454"/>
      <c r="S54" s="454"/>
      <c r="T54" s="36"/>
      <c r="U54" s="36"/>
      <c r="V54" s="505"/>
      <c r="W54" s="505"/>
      <c r="X54" s="508"/>
      <c r="Y54" s="505"/>
      <c r="Z54" s="519"/>
      <c r="AA54" s="520"/>
      <c r="AB54" s="520"/>
      <c r="AC54" s="520"/>
      <c r="AD54" s="520"/>
      <c r="AE54" s="520"/>
      <c r="AF54" s="520"/>
      <c r="AG54" s="1271"/>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16"/>
      <c r="IK54" s="516"/>
      <c r="IL54" s="503"/>
      <c r="IM54" s="503"/>
      <c r="IN54" s="503"/>
      <c r="IO54" s="503"/>
      <c r="IP54" s="503"/>
      <c r="IQ54" s="503"/>
      <c r="IR54" s="503"/>
      <c r="IS54" s="503"/>
      <c r="IT54" s="503"/>
      <c r="IU54" s="503"/>
      <c r="IV54" s="503"/>
      <c r="IW54" s="503"/>
      <c r="IX54" s="503"/>
      <c r="IY54" s="503"/>
      <c r="IZ54" s="503"/>
      <c r="JA54" s="516"/>
      <c r="JB54" s="503"/>
      <c r="JC54" s="503"/>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827" t="s">
        <v>3700</v>
      </c>
      <c r="E55" s="36"/>
      <c r="F55" s="881">
        <f>SUM(F50:F54)</f>
        <v>0</v>
      </c>
      <c r="G55" s="900"/>
      <c r="H55" s="882"/>
      <c r="I55" s="883">
        <f>SUM(I50:I54)</f>
        <v>0</v>
      </c>
      <c r="J55" s="884"/>
      <c r="K55" s="881">
        <f>SUM(K50:K54)</f>
        <v>0</v>
      </c>
      <c r="L55" s="884"/>
      <c r="M55" s="882"/>
      <c r="N55" s="883">
        <f>SUM(N50:N54)</f>
        <v>0</v>
      </c>
      <c r="O55" s="809"/>
      <c r="P55" s="2438" t="s">
        <v>4292</v>
      </c>
      <c r="Q55" s="2438"/>
      <c r="R55" s="454"/>
      <c r="S55" s="454"/>
      <c r="T55" s="36"/>
      <c r="U55" s="36"/>
      <c r="V55" s="505"/>
      <c r="W55" s="505"/>
      <c r="X55" s="508"/>
      <c r="Y55" s="505"/>
      <c r="Z55" s="519"/>
      <c r="AA55" s="520"/>
      <c r="AB55" s="520"/>
      <c r="AC55" s="520"/>
      <c r="AD55" s="520"/>
      <c r="AE55" s="520"/>
      <c r="AF55" s="520"/>
      <c r="AG55" s="1271"/>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16"/>
      <c r="IK55" s="516"/>
      <c r="IL55" s="503"/>
      <c r="IM55" s="503"/>
      <c r="IN55" s="503"/>
      <c r="IO55" s="503"/>
      <c r="IP55" s="503"/>
      <c r="IQ55" s="503"/>
      <c r="IR55" s="503"/>
      <c r="IS55" s="503"/>
      <c r="IT55" s="503"/>
      <c r="IU55" s="503"/>
      <c r="IV55" s="503"/>
      <c r="IW55" s="503"/>
      <c r="IX55" s="503"/>
      <c r="IY55" s="503"/>
      <c r="IZ55" s="503"/>
      <c r="JA55" s="516"/>
      <c r="JB55" s="503"/>
      <c r="JC55" s="503"/>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714"/>
      <c r="E56" s="714"/>
      <c r="F56" s="901"/>
      <c r="G56" s="150"/>
      <c r="H56" s="36"/>
      <c r="I56" s="1218"/>
      <c r="J56" s="36"/>
      <c r="K56" s="901"/>
      <c r="L56" s="36"/>
      <c r="M56" s="2033"/>
      <c r="N56" s="1218"/>
      <c r="O56" s="809"/>
      <c r="R56" s="454"/>
      <c r="S56" s="454"/>
      <c r="T56" s="36"/>
      <c r="U56" s="36"/>
      <c r="V56" s="505"/>
      <c r="W56" s="505"/>
      <c r="X56" s="508"/>
      <c r="Y56" s="505"/>
      <c r="Z56" s="519"/>
      <c r="AA56" s="520"/>
      <c r="AB56" s="520"/>
      <c r="AC56" s="520"/>
      <c r="AD56" s="520"/>
      <c r="AE56" s="520"/>
      <c r="AF56" s="520"/>
      <c r="AG56" s="1271"/>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16"/>
      <c r="IK56" s="516"/>
      <c r="IL56" s="503"/>
      <c r="IM56" s="503"/>
      <c r="IN56" s="503"/>
      <c r="IO56" s="503"/>
      <c r="IP56" s="503"/>
      <c r="IQ56" s="503"/>
      <c r="IR56" s="503"/>
      <c r="IS56" s="503"/>
      <c r="IT56" s="503"/>
      <c r="IU56" s="503"/>
      <c r="IV56" s="503"/>
      <c r="IW56" s="503"/>
      <c r="IX56" s="503"/>
      <c r="IY56" s="503"/>
      <c r="IZ56" s="503"/>
      <c r="JA56" s="516"/>
      <c r="JB56" s="503"/>
      <c r="JC56" s="503"/>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826" t="s">
        <v>3685</v>
      </c>
      <c r="B57" s="825"/>
      <c r="C57" s="1"/>
      <c r="D57" s="1208" t="s">
        <v>593</v>
      </c>
      <c r="E57" s="1209">
        <v>0</v>
      </c>
      <c r="F57" s="1210">
        <f>'Part VI-Revenues &amp; Expenses'!$J$108</f>
        <v>0</v>
      </c>
      <c r="G57" s="121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212">
        <f>F57*G57</f>
        <v>0</v>
      </c>
      <c r="J57" s="43"/>
      <c r="K57" s="1210">
        <f>'Part VI-Revenues &amp; Expenses'!$J$109</f>
        <v>0</v>
      </c>
      <c r="L57" s="121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212">
        <f>K57*L57</f>
        <v>0</v>
      </c>
      <c r="O57" s="809"/>
      <c r="P57" s="2439">
        <f>'Part IX A-Scoring Criteria'!O310</f>
        <v>0</v>
      </c>
      <c r="Q57" s="2440"/>
      <c r="R57" s="454"/>
      <c r="U57" s="36"/>
      <c r="V57" s="505"/>
      <c r="W57" s="505"/>
      <c r="X57" s="508"/>
      <c r="Y57" s="505"/>
      <c r="Z57" s="519"/>
      <c r="AA57" s="520"/>
      <c r="AB57" s="520"/>
      <c r="AC57" s="520"/>
      <c r="AD57" s="520"/>
      <c r="AE57" s="520"/>
      <c r="AF57" s="520"/>
      <c r="AG57" s="1271"/>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16"/>
      <c r="IK57" s="516"/>
      <c r="IL57" s="503"/>
      <c r="IM57" s="503"/>
      <c r="IN57" s="503"/>
      <c r="IO57" s="503"/>
      <c r="IP57" s="503"/>
      <c r="IQ57" s="503"/>
      <c r="IR57" s="503"/>
      <c r="IS57" s="503"/>
      <c r="IT57" s="503"/>
      <c r="IU57" s="503"/>
      <c r="IV57" s="503"/>
      <c r="IW57" s="503"/>
      <c r="IX57" s="503"/>
      <c r="IY57" s="503"/>
      <c r="IZ57" s="503"/>
      <c r="JA57" s="516"/>
      <c r="JB57" s="503"/>
      <c r="JC57" s="503"/>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208" t="s">
        <v>2537</v>
      </c>
      <c r="E58" s="1209">
        <v>1</v>
      </c>
      <c r="F58" s="1210">
        <f>'Part VI-Revenues &amp; Expenses'!$K$108</f>
        <v>0</v>
      </c>
      <c r="G58" s="121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212">
        <f>F58*G58</f>
        <v>0</v>
      </c>
      <c r="J58" s="43"/>
      <c r="K58" s="1210">
        <f>'Part VI-Revenues &amp; Expenses'!$K$109</f>
        <v>0</v>
      </c>
      <c r="L58" s="121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212">
        <f>K58*L58</f>
        <v>0</v>
      </c>
      <c r="P58" s="2438" t="s">
        <v>4293</v>
      </c>
      <c r="Q58" s="2438"/>
      <c r="U58" s="36"/>
      <c r="V58" s="505"/>
      <c r="W58" s="505"/>
      <c r="X58" s="508"/>
      <c r="Y58" s="505"/>
      <c r="Z58" s="519"/>
      <c r="AA58" s="520"/>
      <c r="AB58" s="520"/>
      <c r="AC58" s="520"/>
      <c r="AD58" s="520"/>
      <c r="AE58" s="520"/>
      <c r="AF58" s="520"/>
      <c r="AG58" s="1271"/>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16"/>
      <c r="IK58" s="516"/>
      <c r="IL58" s="503"/>
      <c r="IM58" s="503"/>
      <c r="IN58" s="503"/>
      <c r="IO58" s="503"/>
      <c r="IP58" s="503"/>
      <c r="IQ58" s="503"/>
      <c r="IR58" s="503"/>
      <c r="IS58" s="503"/>
      <c r="IT58" s="503"/>
      <c r="IU58" s="503"/>
      <c r="IV58" s="503"/>
      <c r="IW58" s="503"/>
      <c r="IX58" s="503"/>
      <c r="IY58" s="503"/>
      <c r="IZ58" s="503"/>
      <c r="JA58" s="516"/>
      <c r="JB58" s="503"/>
      <c r="JC58" s="503"/>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208" t="s">
        <v>2538</v>
      </c>
      <c r="E59" s="1209">
        <v>2</v>
      </c>
      <c r="F59" s="1210">
        <f>'Part VI-Revenues &amp; Expenses'!$L$108</f>
        <v>0</v>
      </c>
      <c r="G59" s="121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212">
        <f>F59*G59</f>
        <v>0</v>
      </c>
      <c r="J59" s="43"/>
      <c r="K59" s="1210">
        <f>'Part VI-Revenues &amp; Expenses'!$L$109</f>
        <v>0</v>
      </c>
      <c r="L59" s="121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212">
        <f>K59*L59</f>
        <v>0</v>
      </c>
      <c r="P59" s="2439">
        <f>'Part IX A-Scoring Criteria'!O56</f>
        <v>0</v>
      </c>
      <c r="Q59" s="2440"/>
      <c r="U59" s="36"/>
      <c r="V59" s="505"/>
      <c r="W59" s="505"/>
      <c r="X59" s="508"/>
      <c r="Y59" s="505"/>
      <c r="Z59" s="519"/>
      <c r="AA59" s="520"/>
      <c r="AB59" s="520"/>
      <c r="AC59" s="520"/>
      <c r="AD59" s="520"/>
      <c r="AE59" s="520"/>
      <c r="AF59" s="520"/>
      <c r="AG59" s="1271"/>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16"/>
      <c r="IK59" s="516"/>
      <c r="IL59" s="503"/>
      <c r="IM59" s="503"/>
      <c r="IN59" s="503"/>
      <c r="IO59" s="503"/>
      <c r="IP59" s="503"/>
      <c r="IQ59" s="503"/>
      <c r="IR59" s="503"/>
      <c r="IS59" s="503"/>
      <c r="IT59" s="503"/>
      <c r="IU59" s="503"/>
      <c r="IV59" s="503"/>
      <c r="IW59" s="503"/>
      <c r="IX59" s="503"/>
      <c r="IY59" s="503"/>
      <c r="IZ59" s="503"/>
      <c r="JA59" s="516"/>
      <c r="JB59" s="503"/>
      <c r="JC59" s="503"/>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208" t="s">
        <v>2539</v>
      </c>
      <c r="E60" s="1209">
        <v>3</v>
      </c>
      <c r="F60" s="1210">
        <f>'Part VI-Revenues &amp; Expenses'!$M$108</f>
        <v>0</v>
      </c>
      <c r="G60" s="121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212">
        <f>F60*G60</f>
        <v>0</v>
      </c>
      <c r="J60" s="43"/>
      <c r="K60" s="1210">
        <f>'Part VI-Revenues &amp; Expenses'!$M$109</f>
        <v>0</v>
      </c>
      <c r="L60" s="121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212">
        <f>K60*L60</f>
        <v>0</v>
      </c>
      <c r="O60" s="809"/>
      <c r="U60" s="36"/>
      <c r="V60" s="505"/>
      <c r="W60" s="505"/>
      <c r="X60" s="508"/>
      <c r="Y60" s="505"/>
      <c r="Z60" s="519"/>
      <c r="AA60" s="520"/>
      <c r="AB60" s="520"/>
      <c r="AC60" s="520"/>
      <c r="AD60" s="520"/>
      <c r="AE60" s="520"/>
      <c r="AF60" s="520"/>
      <c r="AG60" s="1271"/>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16"/>
      <c r="IK60" s="516"/>
      <c r="IL60" s="503"/>
      <c r="IM60" s="503"/>
      <c r="IN60" s="503"/>
      <c r="IO60" s="503"/>
      <c r="IP60" s="503"/>
      <c r="IQ60" s="503"/>
      <c r="IR60" s="503"/>
      <c r="IS60" s="503"/>
      <c r="IT60" s="503"/>
      <c r="IU60" s="503"/>
      <c r="IV60" s="503"/>
      <c r="IW60" s="503"/>
      <c r="IX60" s="503"/>
      <c r="IY60" s="503"/>
      <c r="IZ60" s="503"/>
      <c r="JA60" s="516"/>
      <c r="JB60" s="503"/>
      <c r="JC60" s="503"/>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213" t="s">
        <v>2540</v>
      </c>
      <c r="E61" s="1209">
        <v>4</v>
      </c>
      <c r="F61" s="1210">
        <f>'Part VI-Revenues &amp; Expenses'!$N$108</f>
        <v>0</v>
      </c>
      <c r="G61" s="121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212">
        <f>F61*G61</f>
        <v>0</v>
      </c>
      <c r="J61" s="43"/>
      <c r="K61" s="1210">
        <f>'Part VI-Revenues &amp; Expenses'!$N$109</f>
        <v>0</v>
      </c>
      <c r="L61" s="121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212">
        <f>K61*L61</f>
        <v>0</v>
      </c>
      <c r="O61" s="809"/>
      <c r="P61" s="2450" t="s">
        <v>2994</v>
      </c>
      <c r="Q61" s="2450"/>
      <c r="U61" s="36"/>
      <c r="V61" s="505"/>
      <c r="W61" s="505"/>
      <c r="X61" s="508"/>
      <c r="Y61" s="505"/>
      <c r="Z61" s="519"/>
      <c r="AA61" s="520"/>
      <c r="AB61" s="520"/>
      <c r="AC61" s="520"/>
      <c r="AD61" s="520"/>
      <c r="AE61" s="520"/>
      <c r="AF61" s="520"/>
      <c r="AG61" s="1271"/>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16"/>
      <c r="IK61" s="516"/>
      <c r="IL61" s="503"/>
      <c r="IM61" s="503"/>
      <c r="IN61" s="503"/>
      <c r="IO61" s="503"/>
      <c r="IP61" s="503"/>
      <c r="IQ61" s="503"/>
      <c r="IR61" s="503"/>
      <c r="IS61" s="503"/>
      <c r="IT61" s="503"/>
      <c r="IU61" s="503"/>
      <c r="IV61" s="503"/>
      <c r="IW61" s="503"/>
      <c r="IX61" s="503"/>
      <c r="IY61" s="503"/>
      <c r="IZ61" s="503"/>
      <c r="JA61" s="516"/>
      <c r="JB61" s="503"/>
      <c r="JC61" s="503"/>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827" t="s">
        <v>3700</v>
      </c>
      <c r="E62" s="36"/>
      <c r="F62" s="881">
        <f>SUM(F57:F61)</f>
        <v>0</v>
      </c>
      <c r="G62" s="900"/>
      <c r="H62" s="882"/>
      <c r="I62" s="883">
        <f>SUM(I57:I61)</f>
        <v>0</v>
      </c>
      <c r="J62" s="884"/>
      <c r="K62" s="881">
        <f>SUM(K57:K61)</f>
        <v>0</v>
      </c>
      <c r="L62" s="884"/>
      <c r="M62" s="882"/>
      <c r="N62" s="883">
        <f>SUM(N57:N61)</f>
        <v>0</v>
      </c>
      <c r="O62" s="809"/>
      <c r="P62" s="2450"/>
      <c r="Q62" s="2450"/>
      <c r="U62" s="36"/>
      <c r="V62" s="505"/>
      <c r="W62" s="505"/>
      <c r="X62" s="508"/>
      <c r="Y62" s="505"/>
      <c r="Z62" s="519"/>
      <c r="AA62" s="520"/>
      <c r="AB62" s="520"/>
      <c r="AC62" s="520"/>
      <c r="AD62" s="520"/>
      <c r="AE62" s="520"/>
      <c r="AF62" s="520"/>
      <c r="AG62" s="1271"/>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c r="IA62" s="503"/>
      <c r="IB62" s="503"/>
      <c r="IC62" s="503"/>
      <c r="ID62" s="503"/>
      <c r="IE62" s="503"/>
      <c r="IF62" s="503"/>
      <c r="IG62" s="503"/>
      <c r="IH62" s="503"/>
      <c r="II62" s="503"/>
      <c r="IJ62" s="516"/>
      <c r="IK62" s="516"/>
      <c r="IL62" s="503"/>
      <c r="IM62" s="503"/>
      <c r="IN62" s="503"/>
      <c r="IO62" s="503"/>
      <c r="IP62" s="503"/>
      <c r="IQ62" s="503"/>
      <c r="IR62" s="503"/>
      <c r="IS62" s="503"/>
      <c r="IT62" s="503"/>
      <c r="IU62" s="503"/>
      <c r="IV62" s="503"/>
      <c r="IW62" s="503"/>
      <c r="IX62" s="503"/>
      <c r="IY62" s="503"/>
      <c r="IZ62" s="503"/>
      <c r="JA62" s="516"/>
      <c r="JB62" s="503"/>
      <c r="JC62" s="503"/>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714"/>
      <c r="E63" s="714"/>
      <c r="F63" s="901"/>
      <c r="G63" s="150"/>
      <c r="H63" s="36"/>
      <c r="I63" s="1218"/>
      <c r="J63" s="36"/>
      <c r="K63" s="901"/>
      <c r="L63" s="36"/>
      <c r="M63" s="2033"/>
      <c r="N63" s="1218"/>
      <c r="O63" s="809"/>
      <c r="P63" s="2450"/>
      <c r="Q63" s="2450"/>
      <c r="R63" s="454"/>
      <c r="U63" s="36"/>
      <c r="V63" s="505"/>
      <c r="W63" s="505"/>
      <c r="X63" s="508"/>
      <c r="Y63" s="505"/>
      <c r="Z63" s="519"/>
      <c r="AA63" s="520"/>
      <c r="AB63" s="520"/>
      <c r="AC63" s="520"/>
      <c r="AD63" s="520"/>
      <c r="AE63" s="520"/>
      <c r="AF63" s="520"/>
      <c r="AG63" s="1271"/>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16"/>
      <c r="IK63" s="516"/>
      <c r="IL63" s="503"/>
      <c r="IM63" s="503"/>
      <c r="IN63" s="503"/>
      <c r="IO63" s="503"/>
      <c r="IP63" s="503"/>
      <c r="IQ63" s="503"/>
      <c r="IR63" s="503"/>
      <c r="IS63" s="503"/>
      <c r="IT63" s="503"/>
      <c r="IU63" s="503"/>
      <c r="IV63" s="503"/>
      <c r="IW63" s="503"/>
      <c r="IX63" s="503"/>
      <c r="IY63" s="503"/>
      <c r="IZ63" s="503"/>
      <c r="JA63" s="516"/>
      <c r="JB63" s="503"/>
      <c r="JC63" s="503"/>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826" t="s">
        <v>3686</v>
      </c>
      <c r="B64" s="8"/>
      <c r="C64" s="1"/>
      <c r="D64" s="1208" t="s">
        <v>593</v>
      </c>
      <c r="E64" s="1209">
        <v>0</v>
      </c>
      <c r="F64" s="1210">
        <f>'Part VI-Revenues &amp; Expenses'!$J$110</f>
        <v>0</v>
      </c>
      <c r="G64" s="121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212">
        <f>F64*G64</f>
        <v>0</v>
      </c>
      <c r="J64" s="43"/>
      <c r="K64" s="1210">
        <f>'Part VI-Revenues &amp; Expenses'!$J$111</f>
        <v>0</v>
      </c>
      <c r="L64" s="121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212">
        <f>K64*L64</f>
        <v>0</v>
      </c>
      <c r="O64" s="809"/>
      <c r="P64" s="2451"/>
      <c r="Q64" s="2451"/>
      <c r="R64" s="454"/>
      <c r="U64" s="36"/>
      <c r="V64" s="505"/>
      <c r="W64" s="505"/>
      <c r="X64" s="508"/>
      <c r="Y64" s="505"/>
      <c r="Z64" s="519"/>
      <c r="AA64" s="520"/>
      <c r="AB64" s="520"/>
      <c r="AC64" s="520"/>
      <c r="AD64" s="520"/>
      <c r="AE64" s="520"/>
      <c r="AF64" s="520"/>
      <c r="AG64" s="1271"/>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16"/>
      <c r="IK64" s="516"/>
      <c r="IL64" s="503"/>
      <c r="IM64" s="503"/>
      <c r="IN64" s="503"/>
      <c r="IO64" s="503"/>
      <c r="IP64" s="503"/>
      <c r="IQ64" s="503"/>
      <c r="IR64" s="503"/>
      <c r="IS64" s="503"/>
      <c r="IT64" s="503"/>
      <c r="IU64" s="503"/>
      <c r="IV64" s="503"/>
      <c r="IW64" s="503"/>
      <c r="IX64" s="503"/>
      <c r="IY64" s="503"/>
      <c r="IZ64" s="503"/>
      <c r="JA64" s="516"/>
      <c r="JB64" s="503"/>
      <c r="JC64" s="503"/>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208" t="s">
        <v>2537</v>
      </c>
      <c r="E65" s="1209">
        <v>1</v>
      </c>
      <c r="F65" s="1210">
        <f>'Part VI-Revenues &amp; Expenses'!$K$110</f>
        <v>139</v>
      </c>
      <c r="G65" s="121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139 units = </v>
      </c>
      <c r="I65" s="1212">
        <f>F65*G65</f>
        <v>21655227</v>
      </c>
      <c r="J65" s="43"/>
      <c r="K65" s="1210">
        <f>'Part VI-Revenues &amp; Expenses'!$K$111</f>
        <v>0</v>
      </c>
      <c r="L65" s="121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212">
        <f>K65*L65</f>
        <v>0</v>
      </c>
      <c r="O65" s="809"/>
      <c r="P65" s="2483">
        <f>IF(P53&gt;1,P53, IF(AND('Part IV-Uses of Funds'!$T$164="Yes",'Part IX A-Scoring Criteria'!$O$310&gt;0),I71+N71,I71))</f>
        <v>26262265</v>
      </c>
      <c r="Q65" s="2484"/>
      <c r="R65" s="454"/>
      <c r="U65" s="36"/>
      <c r="V65" s="505"/>
      <c r="W65" s="505"/>
      <c r="X65" s="508"/>
      <c r="Y65" s="505"/>
      <c r="Z65" s="519"/>
      <c r="AA65" s="520"/>
      <c r="AB65" s="520"/>
      <c r="AC65" s="520"/>
      <c r="AD65" s="520"/>
      <c r="AE65" s="520"/>
      <c r="AF65" s="520"/>
      <c r="AG65" s="1271"/>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16"/>
      <c r="IK65" s="516"/>
      <c r="IL65" s="503"/>
      <c r="IM65" s="503"/>
      <c r="IN65" s="503"/>
      <c r="IO65" s="503"/>
      <c r="IP65" s="503"/>
      <c r="IQ65" s="503"/>
      <c r="IR65" s="503"/>
      <c r="IS65" s="503"/>
      <c r="IT65" s="503"/>
      <c r="IU65" s="503"/>
      <c r="IV65" s="503"/>
      <c r="IW65" s="503"/>
      <c r="IX65" s="503"/>
      <c r="IY65" s="503"/>
      <c r="IZ65" s="503"/>
      <c r="JA65" s="516"/>
      <c r="JB65" s="503"/>
      <c r="JC65" s="503"/>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208" t="s">
        <v>2538</v>
      </c>
      <c r="E66" s="1209">
        <v>2</v>
      </c>
      <c r="F66" s="1210">
        <f>'Part VI-Revenues &amp; Expenses'!$L$110</f>
        <v>23</v>
      </c>
      <c r="G66" s="121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23 units = </v>
      </c>
      <c r="I66" s="1212">
        <f>F66*G66</f>
        <v>4607038</v>
      </c>
      <c r="J66" s="43"/>
      <c r="K66" s="1210">
        <f>'Part VI-Revenues &amp; Expenses'!$L$111</f>
        <v>0</v>
      </c>
      <c r="L66" s="121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212">
        <f>K66*L66</f>
        <v>0</v>
      </c>
      <c r="P66" s="2485"/>
      <c r="Q66" s="2486"/>
      <c r="R66" s="454"/>
      <c r="U66" s="36"/>
      <c r="V66" s="505"/>
      <c r="W66" s="505"/>
      <c r="X66" s="508"/>
      <c r="Y66" s="505"/>
      <c r="Z66" s="519"/>
      <c r="AA66" s="520"/>
      <c r="AB66" s="520"/>
      <c r="AC66" s="520"/>
      <c r="AD66" s="520"/>
      <c r="AE66" s="520"/>
      <c r="AF66" s="520"/>
      <c r="AG66" s="1271"/>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16"/>
      <c r="IK66" s="516"/>
      <c r="IL66" s="503"/>
      <c r="IM66" s="503"/>
      <c r="IN66" s="503"/>
      <c r="IO66" s="503"/>
      <c r="IP66" s="503"/>
      <c r="IQ66" s="503"/>
      <c r="IR66" s="503"/>
      <c r="IS66" s="503"/>
      <c r="IT66" s="503"/>
      <c r="IU66" s="503"/>
      <c r="IV66" s="503"/>
      <c r="IW66" s="503"/>
      <c r="IX66" s="503"/>
      <c r="IY66" s="503"/>
      <c r="IZ66" s="503"/>
      <c r="JA66" s="516"/>
      <c r="JB66" s="503"/>
      <c r="JC66" s="503"/>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208" t="s">
        <v>2539</v>
      </c>
      <c r="E67" s="1209">
        <v>3</v>
      </c>
      <c r="F67" s="1210">
        <f>'Part VI-Revenues &amp; Expenses'!$M$110</f>
        <v>0</v>
      </c>
      <c r="G67" s="121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212">
        <f>F67*G67</f>
        <v>0</v>
      </c>
      <c r="J67" s="43"/>
      <c r="K67" s="1210">
        <f>'Part VI-Revenues &amp; Expenses'!$M$111</f>
        <v>0</v>
      </c>
      <c r="L67" s="121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212">
        <f>K67*L67</f>
        <v>0</v>
      </c>
      <c r="P67" s="2454" t="s">
        <v>2871</v>
      </c>
      <c r="Q67" s="2454"/>
      <c r="R67" s="454"/>
      <c r="U67" s="36"/>
      <c r="V67" s="505"/>
      <c r="W67" s="505"/>
      <c r="X67" s="508"/>
      <c r="Y67" s="505"/>
      <c r="Z67" s="519"/>
      <c r="AA67" s="520"/>
      <c r="AB67" s="520"/>
      <c r="AC67" s="520"/>
      <c r="AD67" s="520"/>
      <c r="AE67" s="520"/>
      <c r="AF67" s="520"/>
      <c r="AG67" s="1271"/>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16"/>
      <c r="IK67" s="516"/>
      <c r="IL67" s="503"/>
      <c r="IM67" s="503"/>
      <c r="IN67" s="503"/>
      <c r="IO67" s="503"/>
      <c r="IP67" s="503"/>
      <c r="IQ67" s="503"/>
      <c r="IR67" s="503"/>
      <c r="IS67" s="503"/>
      <c r="IT67" s="503"/>
      <c r="IU67" s="503"/>
      <c r="IV67" s="503"/>
      <c r="IW67" s="503"/>
      <c r="IX67" s="503"/>
      <c r="IY67" s="503"/>
      <c r="IZ67" s="503"/>
      <c r="JA67" s="516"/>
      <c r="JB67" s="503"/>
      <c r="JC67" s="503"/>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213" t="s">
        <v>2540</v>
      </c>
      <c r="E68" s="1209">
        <v>4</v>
      </c>
      <c r="F68" s="1210">
        <f>'Part VI-Revenues &amp; Expenses'!$N$110</f>
        <v>0</v>
      </c>
      <c r="G68" s="121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212">
        <f>F68*G68</f>
        <v>0</v>
      </c>
      <c r="J68" s="43"/>
      <c r="K68" s="1210">
        <f>'Part VI-Revenues &amp; Expenses'!$N$111</f>
        <v>0</v>
      </c>
      <c r="L68" s="121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212">
        <f>K68*L68</f>
        <v>0</v>
      </c>
      <c r="O68" s="809"/>
      <c r="P68" s="2454"/>
      <c r="Q68" s="2454"/>
      <c r="R68" s="454"/>
      <c r="U68" s="36"/>
      <c r="V68" s="505"/>
      <c r="W68" s="505"/>
      <c r="X68" s="508"/>
      <c r="Y68" s="505"/>
      <c r="Z68" s="519"/>
      <c r="AA68" s="520"/>
      <c r="AB68" s="520"/>
      <c r="AC68" s="520"/>
      <c r="AD68" s="520"/>
      <c r="AE68" s="520"/>
      <c r="AF68" s="520"/>
      <c r="AG68" s="1271"/>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16"/>
      <c r="IK68" s="516"/>
      <c r="IL68" s="503"/>
      <c r="IM68" s="503"/>
      <c r="IN68" s="503"/>
      <c r="IO68" s="503"/>
      <c r="IP68" s="503"/>
      <c r="IQ68" s="503"/>
      <c r="IR68" s="503"/>
      <c r="IS68" s="503"/>
      <c r="IT68" s="503"/>
      <c r="IU68" s="503"/>
      <c r="IV68" s="503"/>
      <c r="IW68" s="503"/>
      <c r="IX68" s="503"/>
      <c r="IY68" s="503"/>
      <c r="IZ68" s="503"/>
      <c r="JA68" s="516"/>
      <c r="JB68" s="503"/>
      <c r="JC68" s="503"/>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827" t="s">
        <v>3700</v>
      </c>
      <c r="E69" s="36"/>
      <c r="F69" s="881">
        <f>SUM(F64:F68)</f>
        <v>162</v>
      </c>
      <c r="G69" s="900"/>
      <c r="H69" s="882"/>
      <c r="I69" s="883">
        <f>SUM(I64:I68)</f>
        <v>26262265</v>
      </c>
      <c r="J69" s="884"/>
      <c r="K69" s="881">
        <f>SUM(K64:K68)</f>
        <v>0</v>
      </c>
      <c r="L69" s="884"/>
      <c r="M69" s="882"/>
      <c r="N69" s="883">
        <f>SUM(N64:N68)</f>
        <v>0</v>
      </c>
      <c r="O69" s="809"/>
      <c r="P69" s="2454"/>
      <c r="Q69" s="2454"/>
      <c r="R69" s="454"/>
      <c r="U69" s="36"/>
      <c r="V69" s="505"/>
      <c r="W69" s="505"/>
      <c r="X69" s="508"/>
      <c r="Y69" s="505"/>
      <c r="Z69" s="519"/>
      <c r="AA69" s="520"/>
      <c r="AB69" s="520"/>
      <c r="AC69" s="520"/>
      <c r="AD69" s="520"/>
      <c r="AE69" s="520"/>
      <c r="AF69" s="520"/>
      <c r="AG69" s="1271"/>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16"/>
      <c r="IK69" s="516"/>
      <c r="IL69" s="503"/>
      <c r="IM69" s="503"/>
      <c r="IN69" s="503"/>
      <c r="IO69" s="503"/>
      <c r="IP69" s="503"/>
      <c r="IQ69" s="503"/>
      <c r="IR69" s="503"/>
      <c r="IS69" s="503"/>
      <c r="IT69" s="503"/>
      <c r="IU69" s="503"/>
      <c r="IV69" s="503"/>
      <c r="IW69" s="503"/>
      <c r="IX69" s="503"/>
      <c r="IY69" s="503"/>
      <c r="IZ69" s="503"/>
      <c r="JA69" s="516"/>
      <c r="JB69" s="503"/>
      <c r="JC69" s="503"/>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808"/>
      <c r="I70" s="808"/>
      <c r="J70" s="808"/>
      <c r="K70" s="808"/>
      <c r="L70" s="808"/>
      <c r="M70" s="808"/>
      <c r="N70" s="2052"/>
      <c r="O70" s="809"/>
      <c r="P70" s="2454"/>
      <c r="Q70" s="2454"/>
      <c r="R70" s="454"/>
      <c r="S70" s="454"/>
      <c r="T70" s="36"/>
      <c r="U70" s="36"/>
      <c r="V70" s="505"/>
      <c r="W70" s="505"/>
      <c r="X70" s="508"/>
      <c r="Y70" s="505"/>
      <c r="Z70" s="519"/>
      <c r="AA70" s="520"/>
      <c r="AB70" s="520"/>
      <c r="AC70" s="520"/>
      <c r="AD70" s="520"/>
      <c r="AE70" s="520"/>
      <c r="AF70" s="520"/>
      <c r="AG70" s="1271"/>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c r="IA70" s="503"/>
      <c r="IB70" s="503"/>
      <c r="IC70" s="503"/>
      <c r="ID70" s="503"/>
      <c r="IE70" s="503"/>
      <c r="IF70" s="503"/>
      <c r="IG70" s="503"/>
      <c r="IH70" s="503"/>
      <c r="II70" s="503"/>
      <c r="IJ70" s="516"/>
      <c r="IK70" s="516"/>
      <c r="IL70" s="503"/>
      <c r="IM70" s="503"/>
      <c r="IN70" s="503"/>
      <c r="IO70" s="503"/>
      <c r="IP70" s="503"/>
      <c r="IQ70" s="503"/>
      <c r="IR70" s="503"/>
      <c r="IS70" s="503"/>
      <c r="IT70" s="503"/>
      <c r="IU70" s="503"/>
      <c r="IV70" s="503"/>
      <c r="IW70" s="503"/>
      <c r="IX70" s="503"/>
      <c r="IY70" s="503"/>
      <c r="IZ70" s="503"/>
      <c r="JA70" s="516"/>
      <c r="JB70" s="503"/>
      <c r="JC70" s="503"/>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3701</v>
      </c>
      <c r="B71" s="1"/>
      <c r="C71" s="1"/>
      <c r="D71" s="96"/>
      <c r="E71" s="116"/>
      <c r="F71" s="888">
        <f>F48+F55+F62+F69</f>
        <v>162</v>
      </c>
      <c r="G71" s="367"/>
      <c r="H71" s="889"/>
      <c r="I71" s="888">
        <f>I48+I55+I62+I69</f>
        <v>26262265</v>
      </c>
      <c r="J71" s="889"/>
      <c r="K71" s="888">
        <f>K48+K55+K62+K69</f>
        <v>0</v>
      </c>
      <c r="L71" s="889"/>
      <c r="M71" s="889"/>
      <c r="N71" s="888">
        <f>N48+N55+N62+N69</f>
        <v>0</v>
      </c>
      <c r="O71" s="809"/>
      <c r="P71" s="2454"/>
      <c r="Q71" s="2454"/>
      <c r="R71" s="454"/>
      <c r="S71" s="454"/>
      <c r="T71" s="36"/>
      <c r="U71" s="36"/>
      <c r="V71" s="505"/>
      <c r="W71" s="505"/>
      <c r="X71" s="508"/>
      <c r="Y71" s="505"/>
      <c r="Z71" s="519"/>
      <c r="AA71" s="520"/>
      <c r="AB71" s="520"/>
      <c r="AC71" s="520"/>
      <c r="AD71" s="520"/>
      <c r="AE71" s="520"/>
      <c r="AF71" s="520"/>
      <c r="AG71" s="1271"/>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c r="IA71" s="503"/>
      <c r="IB71" s="503"/>
      <c r="IC71" s="503"/>
      <c r="ID71" s="503"/>
      <c r="IE71" s="503"/>
      <c r="IF71" s="503"/>
      <c r="IG71" s="503"/>
      <c r="IH71" s="503"/>
      <c r="II71" s="503"/>
      <c r="IJ71" s="516"/>
      <c r="IK71" s="516"/>
      <c r="IL71" s="503"/>
      <c r="IM71" s="503"/>
      <c r="IN71" s="503"/>
      <c r="IO71" s="503"/>
      <c r="IP71" s="503"/>
      <c r="IQ71" s="503"/>
      <c r="IR71" s="503"/>
      <c r="IS71" s="503"/>
      <c r="IT71" s="503"/>
      <c r="IU71" s="503"/>
      <c r="IV71" s="503"/>
      <c r="IW71" s="503"/>
      <c r="IX71" s="503"/>
      <c r="IY71" s="503"/>
      <c r="IZ71" s="503"/>
      <c r="JA71" s="516"/>
      <c r="JB71" s="503"/>
      <c r="JC71" s="503"/>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1946</v>
      </c>
      <c r="D72" s="101"/>
      <c r="E72" s="101"/>
      <c r="F72" s="101"/>
      <c r="G72" s="101"/>
      <c r="H72" s="41"/>
      <c r="I72" s="2041"/>
      <c r="J72" s="2041"/>
      <c r="K72" s="147" t="s">
        <v>1947</v>
      </c>
      <c r="L72" s="2029"/>
      <c r="M72" s="2029"/>
      <c r="N72" s="2029"/>
      <c r="O72" s="2029"/>
      <c r="P72" s="2029"/>
      <c r="Q72" s="1343"/>
    </row>
    <row r="73" spans="1:295" ht="10.5" customHeight="1">
      <c r="A73" s="2539"/>
      <c r="B73" s="2540"/>
      <c r="C73" s="2540"/>
      <c r="D73" s="2540"/>
      <c r="E73" s="2540"/>
      <c r="F73" s="2540"/>
      <c r="G73" s="2540"/>
      <c r="H73" s="2540"/>
      <c r="I73" s="2540"/>
      <c r="J73" s="2541"/>
      <c r="K73" s="2513"/>
      <c r="L73" s="2514"/>
      <c r="M73" s="2514"/>
      <c r="N73" s="2514"/>
      <c r="O73" s="2514"/>
      <c r="P73" s="2514"/>
      <c r="Q73" s="2515"/>
      <c r="R73" s="498" t="s">
        <v>1308</v>
      </c>
      <c r="U73" s="146"/>
      <c r="V73" s="146"/>
      <c r="W73" s="146"/>
      <c r="X73" s="146"/>
      <c r="Y73" s="146"/>
      <c r="Z73" s="146"/>
      <c r="AA73" s="146"/>
      <c r="AB73" s="146"/>
      <c r="AC73" s="146"/>
      <c r="AD73" s="146"/>
      <c r="AE73" s="529"/>
    </row>
    <row r="74" spans="1:295" ht="3" customHeight="1">
      <c r="B74" s="2041"/>
      <c r="C74" s="2033"/>
      <c r="D74" s="2033"/>
      <c r="E74" s="2033"/>
      <c r="F74" s="2033"/>
      <c r="G74" s="2033"/>
      <c r="H74" s="2033"/>
      <c r="I74" s="2033"/>
      <c r="J74" s="2033"/>
      <c r="K74" s="2033"/>
      <c r="L74" s="2033"/>
      <c r="M74" s="2033"/>
      <c r="N74" s="2033"/>
      <c r="O74" s="2033"/>
      <c r="P74" s="2033"/>
      <c r="Q74" s="2029"/>
    </row>
    <row r="75" spans="1:295" ht="12.75" customHeight="1">
      <c r="A75" s="2037">
        <v>3</v>
      </c>
      <c r="B75" s="4" t="s">
        <v>1241</v>
      </c>
      <c r="C75" s="4"/>
      <c r="D75" s="4"/>
      <c r="E75" s="2033"/>
      <c r="F75" s="2033"/>
      <c r="G75" s="150" t="s">
        <v>101</v>
      </c>
      <c r="H75" s="2033"/>
      <c r="J75" s="3310" t="str">
        <f>'Part I-Project Information'!$H$67</f>
        <v>HFOP</v>
      </c>
      <c r="K75" s="3311"/>
      <c r="L75" s="3312"/>
      <c r="O75" s="142" t="s">
        <v>1948</v>
      </c>
      <c r="P75" s="3300"/>
      <c r="Q75" s="3301"/>
    </row>
    <row r="76" spans="1:295" ht="10.5" customHeight="1">
      <c r="B76" s="101" t="s">
        <v>1946</v>
      </c>
      <c r="D76" s="101"/>
      <c r="E76" s="101"/>
      <c r="F76" s="101"/>
      <c r="G76" s="101"/>
      <c r="H76" s="41"/>
      <c r="I76" s="2041"/>
      <c r="J76" s="2041"/>
      <c r="K76" s="147" t="s">
        <v>1947</v>
      </c>
      <c r="L76" s="2029"/>
      <c r="M76" s="2029"/>
      <c r="N76" s="2029"/>
      <c r="O76" s="2029"/>
      <c r="P76" s="2029"/>
      <c r="Q76" s="1343"/>
    </row>
    <row r="77" spans="1:295" ht="10.5" customHeight="1">
      <c r="A77" s="2539"/>
      <c r="B77" s="2540"/>
      <c r="C77" s="2540"/>
      <c r="D77" s="2540"/>
      <c r="E77" s="2540"/>
      <c r="F77" s="2540"/>
      <c r="G77" s="2540"/>
      <c r="H77" s="2540"/>
      <c r="I77" s="2540"/>
      <c r="J77" s="2541"/>
      <c r="K77" s="2513"/>
      <c r="L77" s="2514"/>
      <c r="M77" s="2514"/>
      <c r="N77" s="2514"/>
      <c r="O77" s="2514"/>
      <c r="P77" s="2514"/>
      <c r="Q77" s="2515"/>
      <c r="R77" s="498" t="s">
        <v>1308</v>
      </c>
      <c r="U77" s="146"/>
      <c r="V77" s="146"/>
      <c r="W77" s="146"/>
      <c r="X77" s="146"/>
      <c r="Y77" s="146"/>
      <c r="Z77" s="146"/>
      <c r="AA77" s="146"/>
      <c r="AB77" s="146"/>
      <c r="AC77" s="146"/>
      <c r="AD77" s="146"/>
      <c r="AE77" s="529"/>
    </row>
    <row r="78" spans="1:295" ht="3" customHeight="1">
      <c r="A78" s="2029"/>
      <c r="B78" s="2041"/>
      <c r="C78" s="2033"/>
      <c r="D78" s="2033"/>
      <c r="E78" s="2033"/>
      <c r="F78" s="2033"/>
      <c r="G78" s="2033"/>
      <c r="H78" s="2033"/>
      <c r="I78" s="2033"/>
      <c r="J78" s="2033"/>
      <c r="K78" s="2033"/>
      <c r="L78" s="2033"/>
      <c r="M78" s="2033"/>
      <c r="N78" s="2033"/>
      <c r="O78" s="2033"/>
      <c r="P78" s="2033"/>
      <c r="Q78" s="2029"/>
    </row>
    <row r="79" spans="1:295" ht="12.75" customHeight="1">
      <c r="A79" s="2037">
        <v>4</v>
      </c>
      <c r="B79" s="2037" t="s">
        <v>2758</v>
      </c>
      <c r="C79" s="121"/>
      <c r="D79" s="2033"/>
      <c r="E79" s="2033"/>
      <c r="F79" s="2033"/>
      <c r="G79" s="2033"/>
      <c r="H79" s="2033"/>
      <c r="I79" s="2033"/>
      <c r="J79" s="2033"/>
      <c r="K79" s="2033"/>
      <c r="L79" s="2033"/>
      <c r="M79" s="2033"/>
      <c r="O79" s="142" t="s">
        <v>1948</v>
      </c>
      <c r="P79" s="3300"/>
      <c r="Q79" s="3301"/>
    </row>
    <row r="80" spans="1:295" ht="1.5" customHeight="1"/>
    <row r="81" spans="1:31" ht="10.5" customHeight="1">
      <c r="B81" s="937" t="s">
        <v>2068</v>
      </c>
      <c r="C81" s="432" t="s">
        <v>4524</v>
      </c>
      <c r="D81" s="1505"/>
      <c r="E81" s="1505"/>
      <c r="F81" s="1505"/>
      <c r="G81" s="1505"/>
      <c r="H81" s="1505"/>
      <c r="I81" s="1505"/>
      <c r="J81" s="1506" t="s">
        <v>4525</v>
      </c>
      <c r="K81" s="1505"/>
      <c r="L81" s="1505"/>
      <c r="M81" s="1505"/>
      <c r="O81" s="153"/>
      <c r="P81" s="2074" t="s">
        <v>4708</v>
      </c>
    </row>
    <row r="82" spans="1:31" ht="10.5" customHeight="1">
      <c r="B82" s="121" t="s">
        <v>2071</v>
      </c>
      <c r="C82" s="1344" t="s">
        <v>4128</v>
      </c>
      <c r="D82" s="1344"/>
      <c r="E82" s="1344"/>
      <c r="F82" s="1344"/>
      <c r="G82" s="1344"/>
      <c r="H82" s="1344"/>
      <c r="I82" s="1344"/>
      <c r="J82" s="1344"/>
      <c r="K82" s="1344"/>
      <c r="L82" s="1344"/>
      <c r="M82" s="1344"/>
      <c r="O82" s="1344"/>
      <c r="P82" s="1344"/>
      <c r="Q82" s="1344"/>
    </row>
    <row r="83" spans="1:31" ht="10.9" customHeight="1">
      <c r="A83" s="154"/>
      <c r="B83" s="70" t="s">
        <v>1813</v>
      </c>
      <c r="C83" s="1344" t="s">
        <v>3974</v>
      </c>
      <c r="E83" s="2034"/>
      <c r="F83" s="2034"/>
      <c r="G83" s="2034"/>
      <c r="H83" s="34"/>
      <c r="I83" s="37" t="s">
        <v>2833</v>
      </c>
      <c r="J83" s="3313" t="s">
        <v>4709</v>
      </c>
      <c r="K83" s="3314"/>
      <c r="L83" s="3314"/>
      <c r="M83" s="3314"/>
      <c r="N83" s="3314"/>
      <c r="O83" s="3314"/>
      <c r="P83" s="3314"/>
      <c r="Q83" s="3315"/>
    </row>
    <row r="84" spans="1:31" ht="10.9" customHeight="1">
      <c r="A84" s="154"/>
      <c r="B84" s="70" t="s">
        <v>1814</v>
      </c>
      <c r="C84" s="1344" t="s">
        <v>4126</v>
      </c>
      <c r="E84" s="2034"/>
      <c r="F84" s="2034"/>
      <c r="G84" s="2034"/>
      <c r="H84" s="34"/>
      <c r="I84" s="37" t="s">
        <v>2833</v>
      </c>
      <c r="J84" s="3316" t="s">
        <v>4710</v>
      </c>
      <c r="K84" s="3317"/>
      <c r="L84" s="3317"/>
      <c r="M84" s="3317"/>
      <c r="N84" s="3317"/>
      <c r="O84" s="3317"/>
      <c r="P84" s="3317"/>
      <c r="Q84" s="3318"/>
    </row>
    <row r="85" spans="1:31" ht="10.9" customHeight="1">
      <c r="A85" s="154"/>
      <c r="B85" s="70" t="s">
        <v>1815</v>
      </c>
      <c r="C85" s="1344" t="s">
        <v>4127</v>
      </c>
      <c r="E85" s="2034"/>
      <c r="F85" s="2034"/>
      <c r="G85" s="2034"/>
      <c r="H85" s="34"/>
      <c r="I85" s="37" t="s">
        <v>2833</v>
      </c>
      <c r="J85" s="3316"/>
      <c r="K85" s="3317"/>
      <c r="L85" s="3317"/>
      <c r="M85" s="3317"/>
      <c r="N85" s="3317"/>
      <c r="O85" s="3317"/>
      <c r="P85" s="3317"/>
      <c r="Q85" s="3318"/>
    </row>
    <row r="86" spans="1:31" ht="10.9" customHeight="1">
      <c r="A86" s="154"/>
      <c r="B86" s="527" t="s">
        <v>2459</v>
      </c>
      <c r="C86" s="1344" t="s">
        <v>3702</v>
      </c>
      <c r="E86" s="2034"/>
      <c r="I86" s="37" t="s">
        <v>2833</v>
      </c>
      <c r="J86" s="3319"/>
      <c r="K86" s="3320"/>
      <c r="L86" s="3320"/>
      <c r="M86" s="3320"/>
      <c r="N86" s="3320"/>
      <c r="O86" s="3320"/>
      <c r="P86" s="3320"/>
      <c r="Q86" s="3321"/>
    </row>
    <row r="87" spans="1:31" ht="10.9" customHeight="1">
      <c r="A87" s="154"/>
      <c r="B87" s="121" t="s">
        <v>786</v>
      </c>
      <c r="C87" s="41" t="s">
        <v>4094</v>
      </c>
      <c r="D87" s="1344"/>
      <c r="E87" s="2034"/>
      <c r="J87" s="37"/>
      <c r="K87" s="37"/>
      <c r="L87" s="37"/>
      <c r="M87" s="37"/>
      <c r="N87" s="37"/>
      <c r="O87" s="37"/>
      <c r="P87" s="37"/>
      <c r="Q87" s="37"/>
    </row>
    <row r="88" spans="1:31" ht="10.9" customHeight="1">
      <c r="A88" s="154"/>
      <c r="B88" s="48"/>
      <c r="C88" s="57" t="s">
        <v>4129</v>
      </c>
      <c r="D88" s="144"/>
      <c r="E88" s="144"/>
      <c r="F88" s="144"/>
      <c r="G88" s="144"/>
      <c r="H88" s="144"/>
      <c r="I88" s="43"/>
      <c r="J88" s="43"/>
      <c r="K88" s="527" t="s">
        <v>786</v>
      </c>
      <c r="L88" s="3322"/>
      <c r="M88" s="3323"/>
      <c r="N88" s="3323"/>
      <c r="O88" s="3323"/>
      <c r="P88" s="3324"/>
      <c r="Q88" s="698"/>
    </row>
    <row r="89" spans="1:31" ht="10.5" customHeight="1">
      <c r="B89" s="101" t="s">
        <v>1946</v>
      </c>
      <c r="D89" s="101"/>
      <c r="E89" s="101"/>
      <c r="F89" s="101"/>
      <c r="G89" s="101"/>
      <c r="H89" s="41"/>
      <c r="I89" s="2041"/>
      <c r="J89" s="2041"/>
      <c r="K89" s="147" t="s">
        <v>1947</v>
      </c>
      <c r="L89" s="2029"/>
      <c r="M89" s="2029"/>
      <c r="N89" s="2029"/>
      <c r="O89" s="2029"/>
      <c r="P89" s="2029"/>
      <c r="Q89" s="1343"/>
    </row>
    <row r="90" spans="1:31" ht="10.5" customHeight="1">
      <c r="A90" s="2539" t="s">
        <v>4711</v>
      </c>
      <c r="B90" s="2540"/>
      <c r="C90" s="2540"/>
      <c r="D90" s="2540"/>
      <c r="E90" s="2540"/>
      <c r="F90" s="2540"/>
      <c r="G90" s="2540"/>
      <c r="H90" s="2540"/>
      <c r="I90" s="2540"/>
      <c r="J90" s="2541"/>
      <c r="K90" s="2513"/>
      <c r="L90" s="2514"/>
      <c r="M90" s="2514"/>
      <c r="N90" s="2514"/>
      <c r="O90" s="2514"/>
      <c r="P90" s="2514"/>
      <c r="Q90" s="2515"/>
      <c r="R90" s="498" t="s">
        <v>1308</v>
      </c>
      <c r="U90" s="146"/>
      <c r="V90" s="146"/>
      <c r="W90" s="146"/>
      <c r="X90" s="146"/>
      <c r="Y90" s="146"/>
      <c r="Z90" s="146"/>
      <c r="AA90" s="146"/>
      <c r="AB90" s="146"/>
      <c r="AC90" s="146"/>
      <c r="AD90" s="146"/>
      <c r="AE90" s="529"/>
    </row>
    <row r="91" spans="1:31" ht="3" customHeight="1">
      <c r="A91" s="2029"/>
      <c r="B91" s="2041"/>
      <c r="C91" s="2033"/>
      <c r="D91" s="2033"/>
      <c r="E91" s="2033"/>
      <c r="F91" s="2033"/>
      <c r="G91" s="2033"/>
      <c r="H91" s="2033"/>
      <c r="I91" s="2033"/>
      <c r="J91" s="2033"/>
      <c r="K91" s="2033"/>
      <c r="L91" s="2033"/>
      <c r="M91" s="2033"/>
      <c r="N91" s="2033"/>
      <c r="O91" s="2033"/>
      <c r="P91" s="2033"/>
      <c r="Q91" s="2029"/>
    </row>
    <row r="92" spans="1:31" ht="13.9" customHeight="1">
      <c r="A92" s="2037">
        <v>5</v>
      </c>
      <c r="B92" s="2037" t="s">
        <v>2759</v>
      </c>
      <c r="C92" s="2037"/>
      <c r="D92" s="2033"/>
      <c r="E92" s="2033"/>
      <c r="F92" s="2033"/>
      <c r="G92" s="2033"/>
      <c r="H92" s="2033"/>
      <c r="I92" s="2033"/>
      <c r="J92" s="2033"/>
      <c r="K92" s="2033"/>
      <c r="O92" s="142" t="s">
        <v>1948</v>
      </c>
      <c r="P92" s="3300"/>
      <c r="Q92" s="3301"/>
    </row>
    <row r="93" spans="1:31" ht="3" customHeight="1"/>
    <row r="94" spans="1:31" ht="12" customHeight="1">
      <c r="B94" s="48" t="s">
        <v>2068</v>
      </c>
      <c r="C94" s="155" t="s">
        <v>2557</v>
      </c>
      <c r="D94" s="144"/>
      <c r="E94" s="144"/>
      <c r="F94" s="144"/>
      <c r="G94" s="144"/>
      <c r="H94" s="144"/>
      <c r="I94" s="43"/>
      <c r="J94" s="43"/>
      <c r="K94" s="43"/>
      <c r="L94" s="527" t="s">
        <v>2068</v>
      </c>
      <c r="M94" s="3325" t="s">
        <v>4712</v>
      </c>
      <c r="N94" s="3326"/>
      <c r="O94" s="3326"/>
      <c r="P94" s="3327"/>
      <c r="Q94" s="700"/>
    </row>
    <row r="95" spans="1:31" ht="12" customHeight="1">
      <c r="B95" s="48" t="s">
        <v>2071</v>
      </c>
      <c r="C95" s="54" t="s">
        <v>2123</v>
      </c>
      <c r="D95" s="144"/>
      <c r="E95" s="144"/>
      <c r="F95" s="144"/>
      <c r="L95" s="527" t="s">
        <v>2071</v>
      </c>
      <c r="M95" s="3328" t="s">
        <v>4713</v>
      </c>
      <c r="N95" s="3329"/>
      <c r="O95" s="3329"/>
      <c r="P95" s="3330"/>
      <c r="Q95" s="701"/>
    </row>
    <row r="96" spans="1:31" ht="12" customHeight="1">
      <c r="B96" s="48" t="s">
        <v>786</v>
      </c>
      <c r="C96" s="54" t="s">
        <v>3157</v>
      </c>
      <c r="D96" s="144"/>
      <c r="E96" s="144"/>
      <c r="F96" s="144"/>
      <c r="L96" s="527" t="s">
        <v>786</v>
      </c>
      <c r="M96" s="3331">
        <v>0.98399999999999999</v>
      </c>
      <c r="N96" s="3332"/>
      <c r="O96" s="3332"/>
      <c r="P96" s="3333"/>
      <c r="Q96" s="701"/>
    </row>
    <row r="97" spans="1:31" ht="12" customHeight="1">
      <c r="B97" s="48" t="s">
        <v>2203</v>
      </c>
      <c r="C97" s="54" t="s">
        <v>4302</v>
      </c>
      <c r="D97" s="144"/>
      <c r="E97" s="144"/>
      <c r="F97" s="144"/>
      <c r="L97" s="527" t="s">
        <v>2203</v>
      </c>
      <c r="M97" s="3334">
        <v>5.8000000000000003E-2</v>
      </c>
      <c r="N97" s="3335"/>
      <c r="O97" s="3335"/>
      <c r="P97" s="3336"/>
      <c r="Q97" s="702"/>
    </row>
    <row r="98" spans="1:31" ht="12" customHeight="1">
      <c r="B98" s="152" t="s">
        <v>1811</v>
      </c>
      <c r="C98" s="2436" t="s">
        <v>3868</v>
      </c>
      <c r="D98" s="2436"/>
      <c r="E98" s="2436"/>
      <c r="F98" s="2436"/>
      <c r="G98" s="2436"/>
      <c r="H98" s="2436"/>
      <c r="I98" s="2436"/>
      <c r="J98" s="2436"/>
      <c r="K98" s="2436"/>
      <c r="L98" s="2436"/>
      <c r="M98" s="2436"/>
      <c r="N98" s="2436"/>
      <c r="O98" s="2436"/>
      <c r="P98" s="2436"/>
      <c r="Q98" s="2436"/>
    </row>
    <row r="99" spans="1:31" ht="12" customHeight="1">
      <c r="B99" s="48"/>
      <c r="C99" s="54"/>
      <c r="D99" s="2051" t="s">
        <v>2474</v>
      </c>
      <c r="E99" s="1344" t="s">
        <v>647</v>
      </c>
      <c r="F99" s="1344"/>
      <c r="H99" s="54"/>
      <c r="I99" s="2051" t="s">
        <v>2474</v>
      </c>
      <c r="J99" s="1344" t="s">
        <v>647</v>
      </c>
      <c r="K99" s="1344"/>
      <c r="M99" s="54"/>
      <c r="N99" s="2051" t="s">
        <v>2474</v>
      </c>
      <c r="O99" s="1344" t="s">
        <v>647</v>
      </c>
      <c r="P99" s="1344"/>
      <c r="Q99" s="527"/>
    </row>
    <row r="100" spans="1:31" ht="12" customHeight="1">
      <c r="B100" s="48"/>
      <c r="C100" s="54">
        <v>1</v>
      </c>
      <c r="D100" s="3337" t="s">
        <v>4714</v>
      </c>
      <c r="E100" s="3338" t="s">
        <v>4715</v>
      </c>
      <c r="F100" s="3338"/>
      <c r="G100" s="3338"/>
      <c r="H100" s="54">
        <v>3</v>
      </c>
      <c r="I100" s="3337"/>
      <c r="J100" s="3338"/>
      <c r="K100" s="3338"/>
      <c r="L100" s="3338"/>
      <c r="M100" s="54">
        <v>5</v>
      </c>
      <c r="N100" s="3337"/>
      <c r="O100" s="3338"/>
      <c r="P100" s="3338"/>
      <c r="Q100" s="3338"/>
    </row>
    <row r="101" spans="1:31" ht="12" customHeight="1">
      <c r="B101" s="48"/>
      <c r="C101" s="54">
        <v>2</v>
      </c>
      <c r="D101" s="3339" t="s">
        <v>4716</v>
      </c>
      <c r="E101" s="3340" t="s">
        <v>4717</v>
      </c>
      <c r="F101" s="3340"/>
      <c r="G101" s="3340"/>
      <c r="H101" s="54">
        <v>4</v>
      </c>
      <c r="I101" s="3339"/>
      <c r="J101" s="3340"/>
      <c r="K101" s="3340"/>
      <c r="L101" s="3340"/>
      <c r="M101" s="54">
        <v>6</v>
      </c>
      <c r="N101" s="3339"/>
      <c r="O101" s="3340"/>
      <c r="P101" s="3340"/>
      <c r="Q101" s="3340"/>
    </row>
    <row r="102" spans="1:31" ht="12" customHeight="1">
      <c r="B102" s="48" t="s">
        <v>1812</v>
      </c>
      <c r="C102" s="54" t="s">
        <v>0</v>
      </c>
      <c r="D102" s="144"/>
      <c r="E102" s="144"/>
      <c r="F102" s="144"/>
      <c r="G102" s="144"/>
      <c r="H102" s="144"/>
      <c r="I102" s="43"/>
      <c r="J102" s="43"/>
      <c r="K102" s="144"/>
      <c r="L102" s="2034"/>
      <c r="M102" s="2034"/>
      <c r="O102" s="527" t="s">
        <v>1812</v>
      </c>
      <c r="P102" s="3341" t="s">
        <v>3297</v>
      </c>
      <c r="Q102" s="3342"/>
    </row>
    <row r="103" spans="1:31" ht="11.25" customHeight="1">
      <c r="B103" s="151" t="s">
        <v>1946</v>
      </c>
      <c r="D103" s="151"/>
      <c r="E103" s="151"/>
      <c r="F103" s="151"/>
      <c r="G103" s="151"/>
      <c r="H103" s="41"/>
      <c r="I103" s="2041"/>
      <c r="J103" s="2041"/>
      <c r="K103" s="2041"/>
      <c r="L103" s="2029"/>
      <c r="M103" s="2029"/>
      <c r="N103" s="2029"/>
      <c r="O103" s="2029"/>
      <c r="P103" s="2029"/>
      <c r="Q103" s="1343"/>
    </row>
    <row r="104" spans="1:31" ht="44.25" customHeight="1">
      <c r="A104" s="2539" t="s">
        <v>4718</v>
      </c>
      <c r="B104" s="2540"/>
      <c r="C104" s="2540"/>
      <c r="D104" s="2540"/>
      <c r="E104" s="2540"/>
      <c r="F104" s="2540"/>
      <c r="G104" s="2540"/>
      <c r="H104" s="2540"/>
      <c r="I104" s="2540"/>
      <c r="J104" s="2540"/>
      <c r="K104" s="2540"/>
      <c r="L104" s="2540"/>
      <c r="M104" s="2540"/>
      <c r="N104" s="2540"/>
      <c r="O104" s="2540"/>
      <c r="P104" s="2540"/>
      <c r="Q104" s="2541"/>
      <c r="U104" s="146"/>
      <c r="V104" s="146"/>
      <c r="W104" s="146"/>
      <c r="X104" s="146"/>
      <c r="Y104" s="146"/>
      <c r="Z104" s="146"/>
      <c r="AA104" s="146"/>
      <c r="AB104" s="146"/>
      <c r="AC104" s="146"/>
      <c r="AD104" s="146"/>
      <c r="AE104" s="529"/>
    </row>
    <row r="105" spans="1:31" ht="11.25" customHeight="1">
      <c r="B105" s="147" t="s">
        <v>1947</v>
      </c>
      <c r="C105" s="148"/>
      <c r="D105" s="2033"/>
      <c r="E105" s="2033"/>
      <c r="F105" s="2033"/>
      <c r="G105" s="2033"/>
      <c r="H105" s="2033"/>
      <c r="I105" s="2033"/>
      <c r="J105" s="2033"/>
      <c r="K105" s="2033"/>
      <c r="L105" s="2033"/>
      <c r="M105" s="2033"/>
      <c r="N105" s="2033"/>
      <c r="O105" s="2033"/>
      <c r="P105" s="2033"/>
      <c r="Q105" s="2033"/>
    </row>
    <row r="106" spans="1:31" ht="44.25" customHeight="1">
      <c r="A106" s="2513"/>
      <c r="B106" s="2514"/>
      <c r="C106" s="2514"/>
      <c r="D106" s="2514"/>
      <c r="E106" s="2514"/>
      <c r="F106" s="2514"/>
      <c r="G106" s="2514"/>
      <c r="H106" s="2514"/>
      <c r="I106" s="2514"/>
      <c r="J106" s="2514"/>
      <c r="K106" s="2514"/>
      <c r="L106" s="2514"/>
      <c r="M106" s="2514"/>
      <c r="N106" s="2514"/>
      <c r="O106" s="2514"/>
      <c r="P106" s="2514"/>
      <c r="Q106" s="2515"/>
    </row>
    <row r="107" spans="1:31" ht="13.9" customHeight="1">
      <c r="A107" s="2037">
        <v>6</v>
      </c>
      <c r="B107" s="2037" t="s">
        <v>2760</v>
      </c>
      <c r="C107" s="2037"/>
      <c r="D107" s="2033"/>
      <c r="E107" s="2033"/>
      <c r="F107" s="2033"/>
      <c r="G107" s="2033"/>
      <c r="H107" s="2033"/>
      <c r="I107" s="2033"/>
      <c r="J107" s="2033"/>
      <c r="K107" s="2033"/>
      <c r="L107" s="2033"/>
      <c r="M107" s="2033"/>
      <c r="O107" s="142" t="s">
        <v>1948</v>
      </c>
      <c r="P107" s="3300"/>
      <c r="Q107" s="3301"/>
    </row>
    <row r="108" spans="1:31" ht="3" customHeight="1"/>
    <row r="109" spans="1:31" ht="12" customHeight="1">
      <c r="B109" s="48" t="s">
        <v>2068</v>
      </c>
      <c r="C109" s="54" t="s">
        <v>517</v>
      </c>
      <c r="D109" s="54"/>
      <c r="E109" s="54"/>
      <c r="F109" s="54"/>
      <c r="G109" s="54"/>
      <c r="H109" s="54"/>
      <c r="I109" s="54"/>
      <c r="J109" s="54"/>
      <c r="K109" s="54"/>
      <c r="L109" s="54"/>
      <c r="M109" s="54"/>
      <c r="O109" s="527" t="s">
        <v>2068</v>
      </c>
      <c r="P109" s="2084" t="s">
        <v>3300</v>
      </c>
      <c r="Q109" s="700"/>
    </row>
    <row r="110" spans="1:31" ht="12" customHeight="1">
      <c r="B110" s="48" t="s">
        <v>2071</v>
      </c>
      <c r="C110" s="54" t="s">
        <v>1360</v>
      </c>
      <c r="D110" s="54"/>
      <c r="E110" s="54"/>
      <c r="F110" s="54"/>
      <c r="G110" s="54"/>
      <c r="H110" s="54"/>
      <c r="I110" s="54"/>
      <c r="J110" s="54"/>
      <c r="K110" s="54"/>
      <c r="L110" s="1344"/>
      <c r="M110" s="1344"/>
      <c r="O110" s="527" t="s">
        <v>2071</v>
      </c>
      <c r="P110" s="2086" t="s">
        <v>3300</v>
      </c>
      <c r="Q110" s="701"/>
    </row>
    <row r="111" spans="1:31" ht="12" customHeight="1">
      <c r="A111" s="143"/>
      <c r="B111" s="37"/>
      <c r="D111" s="40" t="s">
        <v>579</v>
      </c>
      <c r="E111" s="43"/>
      <c r="F111" s="43"/>
      <c r="G111" s="43"/>
      <c r="H111" s="43"/>
      <c r="I111" s="43"/>
      <c r="L111" s="70" t="s">
        <v>580</v>
      </c>
      <c r="M111" s="3322"/>
      <c r="N111" s="3323"/>
      <c r="O111" s="3323"/>
      <c r="P111" s="3343"/>
      <c r="Q111" s="701"/>
    </row>
    <row r="112" spans="1:31">
      <c r="A112" s="154"/>
      <c r="B112" s="2041"/>
      <c r="C112" s="160" t="s">
        <v>1813</v>
      </c>
      <c r="D112" s="2463" t="s">
        <v>3941</v>
      </c>
      <c r="E112" s="2476"/>
      <c r="F112" s="2476"/>
      <c r="G112" s="2476"/>
      <c r="H112" s="2476"/>
      <c r="I112" s="2476"/>
      <c r="J112" s="2476"/>
      <c r="K112" s="2476"/>
      <c r="L112" s="2476"/>
      <c r="M112" s="2476"/>
      <c r="N112" s="2476"/>
      <c r="O112" s="160" t="s">
        <v>1813</v>
      </c>
      <c r="P112" s="2084"/>
      <c r="Q112" s="701"/>
    </row>
    <row r="113" spans="1:32" ht="12" customHeight="1">
      <c r="A113" s="154"/>
      <c r="B113" s="2041"/>
      <c r="C113" s="70" t="s">
        <v>1814</v>
      </c>
      <c r="D113" s="2463" t="s">
        <v>3942</v>
      </c>
      <c r="E113" s="2476"/>
      <c r="F113" s="2476"/>
      <c r="G113" s="2476"/>
      <c r="H113" s="2476"/>
      <c r="I113" s="2476"/>
      <c r="J113" s="2476"/>
      <c r="K113" s="2476"/>
      <c r="L113" s="2476"/>
      <c r="M113" s="2476"/>
      <c r="N113" s="2476"/>
      <c r="O113" s="70" t="s">
        <v>1814</v>
      </c>
      <c r="P113" s="2085"/>
      <c r="Q113" s="701"/>
    </row>
    <row r="114" spans="1:32" ht="12" customHeight="1">
      <c r="A114" s="154"/>
      <c r="B114" s="2041"/>
      <c r="C114" s="160" t="s">
        <v>1815</v>
      </c>
      <c r="D114" s="54" t="s">
        <v>3158</v>
      </c>
      <c r="E114" s="54"/>
      <c r="F114" s="54"/>
      <c r="G114" s="54"/>
      <c r="H114" s="54"/>
      <c r="I114" s="54"/>
      <c r="J114" s="54"/>
      <c r="K114" s="54"/>
      <c r="L114" s="54"/>
      <c r="M114" s="54"/>
      <c r="O114" s="160" t="s">
        <v>1815</v>
      </c>
      <c r="P114" s="2085"/>
      <c r="Q114" s="701"/>
    </row>
    <row r="115" spans="1:32" s="143" customFormat="1" ht="24.75" customHeight="1">
      <c r="A115" s="154"/>
      <c r="B115" s="485"/>
      <c r="C115" s="174" t="s">
        <v>2459</v>
      </c>
      <c r="D115" s="2436" t="s">
        <v>2803</v>
      </c>
      <c r="E115" s="2436"/>
      <c r="F115" s="2436"/>
      <c r="G115" s="2436"/>
      <c r="H115" s="2436"/>
      <c r="I115" s="2436"/>
      <c r="J115" s="2436"/>
      <c r="K115" s="2436"/>
      <c r="L115" s="2436"/>
      <c r="M115" s="2436"/>
      <c r="N115" s="2436"/>
      <c r="O115" s="174" t="s">
        <v>2459</v>
      </c>
      <c r="P115" s="2094"/>
      <c r="Q115" s="704"/>
      <c r="AE115" s="530"/>
      <c r="AF115" s="530"/>
    </row>
    <row r="116" spans="1:32" ht="12" customHeight="1">
      <c r="B116" s="48" t="s">
        <v>786</v>
      </c>
      <c r="C116" s="54" t="s">
        <v>148</v>
      </c>
      <c r="D116" s="54"/>
      <c r="E116" s="54"/>
      <c r="F116" s="54"/>
      <c r="G116" s="54"/>
      <c r="H116" s="54"/>
      <c r="I116" s="54"/>
      <c r="J116" s="54"/>
      <c r="K116" s="54"/>
      <c r="L116" s="54"/>
      <c r="M116" s="54"/>
      <c r="O116" s="527" t="s">
        <v>786</v>
      </c>
      <c r="P116" s="2086"/>
      <c r="Q116" s="702"/>
    </row>
    <row r="117" spans="1:32" ht="12" customHeight="1">
      <c r="B117" s="48" t="s">
        <v>2203</v>
      </c>
      <c r="C117" s="54" t="s">
        <v>1490</v>
      </c>
      <c r="D117" s="54"/>
      <c r="E117" s="54"/>
      <c r="G117" s="54"/>
      <c r="I117" s="54"/>
      <c r="K117" s="54"/>
      <c r="L117" s="1344"/>
      <c r="M117" s="1344"/>
      <c r="N117" s="1344"/>
      <c r="O117" s="1344"/>
      <c r="P117" s="1344"/>
      <c r="Q117" s="1344"/>
    </row>
    <row r="118" spans="1:32" ht="12" customHeight="1">
      <c r="B118" s="48"/>
      <c r="C118" s="70" t="s">
        <v>1813</v>
      </c>
      <c r="D118" s="54" t="s">
        <v>1491</v>
      </c>
      <c r="E118" s="54"/>
      <c r="F118" s="54"/>
      <c r="G118" s="54"/>
      <c r="H118" s="54"/>
      <c r="I118" s="54"/>
      <c r="J118" s="54"/>
      <c r="K118" s="54"/>
      <c r="L118" s="1344"/>
      <c r="M118" s="1344"/>
      <c r="O118" s="70" t="s">
        <v>1813</v>
      </c>
      <c r="P118" s="2084" t="s">
        <v>3300</v>
      </c>
      <c r="Q118" s="700"/>
    </row>
    <row r="119" spans="1:32" ht="12" customHeight="1">
      <c r="B119" s="48"/>
      <c r="C119" s="70" t="s">
        <v>1814</v>
      </c>
      <c r="D119" s="54" t="s">
        <v>1492</v>
      </c>
      <c r="E119" s="54"/>
      <c r="F119" s="54"/>
      <c r="G119" s="54"/>
      <c r="H119" s="54"/>
      <c r="I119" s="54"/>
      <c r="J119" s="54"/>
      <c r="K119" s="54"/>
      <c r="L119" s="1344"/>
      <c r="M119" s="1344"/>
      <c r="O119" s="70" t="s">
        <v>1814</v>
      </c>
      <c r="P119" s="2085" t="s">
        <v>3300</v>
      </c>
      <c r="Q119" s="701"/>
    </row>
    <row r="120" spans="1:32" ht="12" customHeight="1">
      <c r="B120" s="48"/>
      <c r="C120" s="70" t="s">
        <v>1815</v>
      </c>
      <c r="D120" s="54" t="s">
        <v>1493</v>
      </c>
      <c r="E120" s="54"/>
      <c r="F120" s="54"/>
      <c r="G120" s="54"/>
      <c r="H120" s="54"/>
      <c r="I120" s="54"/>
      <c r="J120" s="54"/>
      <c r="K120" s="54"/>
      <c r="L120" s="1344"/>
      <c r="M120" s="1344"/>
      <c r="O120" s="70" t="s">
        <v>1815</v>
      </c>
      <c r="P120" s="2086" t="s">
        <v>3300</v>
      </c>
      <c r="Q120" s="702"/>
    </row>
    <row r="121" spans="1:32" ht="11.25" customHeight="1">
      <c r="B121" s="151" t="s">
        <v>1946</v>
      </c>
      <c r="D121" s="151"/>
      <c r="E121" s="151"/>
      <c r="F121" s="151"/>
      <c r="G121" s="151"/>
      <c r="H121" s="41"/>
      <c r="I121" s="2041"/>
      <c r="J121" s="2041"/>
      <c r="K121" s="2041"/>
      <c r="L121" s="2029"/>
      <c r="M121" s="2029"/>
      <c r="N121" s="2029"/>
      <c r="O121" s="2029"/>
      <c r="P121" s="2029"/>
      <c r="Q121" s="1343"/>
    </row>
    <row r="122" spans="1:32" ht="24" customHeight="1">
      <c r="A122" s="2539" t="s">
        <v>4719</v>
      </c>
      <c r="B122" s="2540"/>
      <c r="C122" s="2540"/>
      <c r="D122" s="2540"/>
      <c r="E122" s="2540"/>
      <c r="F122" s="2540"/>
      <c r="G122" s="2540"/>
      <c r="H122" s="2540"/>
      <c r="I122" s="2540"/>
      <c r="J122" s="2540"/>
      <c r="K122" s="2540"/>
      <c r="L122" s="2540"/>
      <c r="M122" s="2540"/>
      <c r="N122" s="2540"/>
      <c r="O122" s="2540"/>
      <c r="P122" s="2540"/>
      <c r="Q122" s="2541"/>
      <c r="U122" s="146"/>
      <c r="V122" s="146"/>
      <c r="W122" s="146"/>
      <c r="X122" s="146"/>
      <c r="Y122" s="146"/>
      <c r="Z122" s="146"/>
      <c r="AA122" s="146"/>
      <c r="AB122" s="146"/>
      <c r="AC122" s="146"/>
      <c r="AD122" s="146"/>
      <c r="AE122" s="529"/>
    </row>
    <row r="123" spans="1:32" ht="11.25" customHeight="1">
      <c r="B123" s="147" t="s">
        <v>1947</v>
      </c>
      <c r="C123" s="148"/>
      <c r="D123" s="2033"/>
      <c r="E123" s="2033"/>
      <c r="F123" s="2033"/>
      <c r="G123" s="2033"/>
      <c r="H123" s="2033"/>
      <c r="I123" s="2033"/>
      <c r="J123" s="2033"/>
      <c r="K123" s="2033"/>
      <c r="L123" s="2033"/>
      <c r="M123" s="2033"/>
      <c r="N123" s="2033"/>
      <c r="O123" s="2033"/>
      <c r="P123" s="2033"/>
      <c r="Q123" s="2033"/>
    </row>
    <row r="124" spans="1:32" ht="24" customHeight="1">
      <c r="A124" s="2513"/>
      <c r="B124" s="2514"/>
      <c r="C124" s="2514"/>
      <c r="D124" s="2514"/>
      <c r="E124" s="2514"/>
      <c r="F124" s="2514"/>
      <c r="G124" s="2514"/>
      <c r="H124" s="2514"/>
      <c r="I124" s="2514"/>
      <c r="J124" s="2514"/>
      <c r="K124" s="2514"/>
      <c r="L124" s="2514"/>
      <c r="M124" s="2514"/>
      <c r="N124" s="2514"/>
      <c r="O124" s="2514"/>
      <c r="P124" s="2514"/>
      <c r="Q124" s="2515"/>
    </row>
    <row r="125" spans="1:32" ht="4.9000000000000004" customHeight="1">
      <c r="A125" s="2029"/>
      <c r="B125" s="2041"/>
      <c r="C125" s="2033"/>
      <c r="D125" s="2033"/>
      <c r="E125" s="2033"/>
      <c r="F125" s="2033"/>
      <c r="G125" s="2033"/>
      <c r="H125" s="2033"/>
      <c r="I125" s="2033"/>
      <c r="J125" s="2033"/>
      <c r="K125" s="2033"/>
      <c r="L125" s="2033"/>
      <c r="M125" s="2033"/>
      <c r="N125" s="2033"/>
      <c r="O125" s="2033"/>
      <c r="P125" s="2033"/>
      <c r="Q125" s="2029"/>
    </row>
    <row r="126" spans="1:32" ht="13.9" customHeight="1">
      <c r="A126" s="2037">
        <v>7</v>
      </c>
      <c r="B126" s="2037" t="s">
        <v>2761</v>
      </c>
      <c r="C126" s="41"/>
      <c r="D126" s="2033"/>
      <c r="E126" s="2033"/>
      <c r="F126" s="2033"/>
      <c r="G126" s="2033"/>
      <c r="H126" s="2033"/>
      <c r="I126" s="2033"/>
      <c r="J126" s="2033"/>
      <c r="K126" s="2033"/>
      <c r="L126" s="2033"/>
      <c r="M126" s="2033"/>
      <c r="O126" s="142" t="s">
        <v>1948</v>
      </c>
      <c r="P126" s="3300"/>
      <c r="Q126" s="3301"/>
    </row>
    <row r="127" spans="1:32" ht="6.6" customHeight="1"/>
    <row r="128" spans="1:32" ht="12" customHeight="1">
      <c r="B128" s="48" t="s">
        <v>2068</v>
      </c>
      <c r="C128" s="54" t="s">
        <v>4303</v>
      </c>
      <c r="D128" s="144"/>
      <c r="E128" s="144"/>
      <c r="F128" s="144"/>
      <c r="G128" s="144"/>
      <c r="H128" s="144"/>
      <c r="I128" s="43"/>
      <c r="J128" s="43"/>
      <c r="K128" s="43"/>
      <c r="L128" s="527" t="s">
        <v>2068</v>
      </c>
      <c r="M128" s="3344" t="s">
        <v>4720</v>
      </c>
      <c r="N128" s="3345"/>
      <c r="O128" s="3345"/>
      <c r="P128" s="3346"/>
      <c r="Q128" s="698"/>
    </row>
    <row r="129" spans="2:17" ht="12" customHeight="1">
      <c r="B129" s="48" t="s">
        <v>2071</v>
      </c>
      <c r="C129" s="54" t="s">
        <v>1604</v>
      </c>
      <c r="D129" s="144"/>
      <c r="E129" s="144"/>
      <c r="F129" s="144"/>
      <c r="G129" s="144"/>
      <c r="H129" s="144"/>
      <c r="I129" s="43"/>
      <c r="J129" s="43"/>
      <c r="K129" s="144"/>
      <c r="L129" s="144"/>
      <c r="M129" s="2034"/>
      <c r="O129" s="527" t="s">
        <v>2071</v>
      </c>
      <c r="P129" s="2084" t="s">
        <v>3297</v>
      </c>
      <c r="Q129" s="3347"/>
    </row>
    <row r="130" spans="2:17" ht="12" customHeight="1">
      <c r="B130" s="48" t="s">
        <v>786</v>
      </c>
      <c r="C130" s="54" t="s">
        <v>157</v>
      </c>
      <c r="D130" s="144"/>
      <c r="E130" s="144"/>
      <c r="F130" s="144"/>
      <c r="G130" s="144"/>
      <c r="H130" s="144"/>
      <c r="I130" s="43"/>
      <c r="J130" s="43"/>
      <c r="K130" s="144"/>
      <c r="L130" s="2034"/>
      <c r="M130" s="2034"/>
      <c r="O130" s="527" t="s">
        <v>786</v>
      </c>
      <c r="P130" s="2086" t="s">
        <v>3297</v>
      </c>
      <c r="Q130" s="3348"/>
    </row>
    <row r="131" spans="2:17" ht="12" customHeight="1">
      <c r="B131" s="48"/>
      <c r="C131" s="69" t="s">
        <v>1813</v>
      </c>
      <c r="D131" s="54" t="s">
        <v>2802</v>
      </c>
      <c r="E131" s="144"/>
      <c r="F131" s="144"/>
      <c r="G131" s="144"/>
      <c r="H131" s="144"/>
      <c r="I131" s="43"/>
      <c r="J131" s="43"/>
      <c r="K131" s="144"/>
      <c r="L131" s="70" t="s">
        <v>1813</v>
      </c>
      <c r="M131" s="3344" t="s">
        <v>4720</v>
      </c>
      <c r="N131" s="3345"/>
      <c r="O131" s="3345"/>
      <c r="P131" s="3346"/>
      <c r="Q131" s="698"/>
    </row>
    <row r="132" spans="2:17" ht="12" customHeight="1">
      <c r="B132" s="149"/>
      <c r="C132" s="70" t="s">
        <v>1814</v>
      </c>
      <c r="D132" s="37" t="s">
        <v>3943</v>
      </c>
      <c r="E132" s="43"/>
      <c r="F132" s="43"/>
      <c r="G132" s="43"/>
      <c r="H132" s="54"/>
      <c r="I132" s="43"/>
      <c r="J132" s="43"/>
      <c r="K132" s="144"/>
      <c r="L132" s="2034"/>
      <c r="M132" s="2034"/>
      <c r="O132" s="527" t="s">
        <v>1814</v>
      </c>
      <c r="P132" s="3341">
        <v>72.599999999999994</v>
      </c>
      <c r="Q132" s="3342"/>
    </row>
    <row r="133" spans="2:17" ht="12" customHeight="1">
      <c r="B133" s="149"/>
      <c r="C133" s="527" t="s">
        <v>1815</v>
      </c>
      <c r="D133" s="54" t="s">
        <v>1440</v>
      </c>
      <c r="E133" s="43"/>
      <c r="F133" s="43"/>
      <c r="G133" s="43"/>
      <c r="H133" s="54"/>
      <c r="I133" s="43"/>
      <c r="J133" s="43"/>
      <c r="K133" s="144"/>
      <c r="L133" s="2034"/>
      <c r="M133" s="2034"/>
      <c r="N133" s="2034"/>
      <c r="O133" s="2034"/>
    </row>
    <row r="134" spans="2:17" ht="11.45" customHeight="1">
      <c r="B134" s="2029"/>
      <c r="C134" s="70"/>
      <c r="D134" s="2622" t="s">
        <v>4721</v>
      </c>
      <c r="E134" s="2623"/>
      <c r="F134" s="2623"/>
      <c r="G134" s="2623"/>
      <c r="H134" s="2623"/>
      <c r="I134" s="2623"/>
      <c r="J134" s="2623"/>
      <c r="K134" s="2623"/>
      <c r="L134" s="2623"/>
      <c r="M134" s="2623"/>
      <c r="N134" s="2623"/>
      <c r="O134" s="2623"/>
      <c r="P134" s="2623"/>
      <c r="Q134" s="2624"/>
    </row>
    <row r="135" spans="2:17" ht="12" customHeight="1">
      <c r="B135" s="48" t="s">
        <v>2203</v>
      </c>
      <c r="C135" s="54" t="s">
        <v>1314</v>
      </c>
      <c r="D135" s="144"/>
      <c r="E135" s="144"/>
      <c r="F135" s="144"/>
      <c r="G135" s="144"/>
      <c r="H135" s="144"/>
      <c r="I135" s="43"/>
      <c r="J135" s="43"/>
      <c r="K135" s="144"/>
      <c r="L135" s="2034"/>
      <c r="M135" s="2034"/>
      <c r="N135" s="2034"/>
      <c r="O135" s="527" t="s">
        <v>2203</v>
      </c>
    </row>
    <row r="136" spans="2:17" ht="12" customHeight="1">
      <c r="B136" s="48"/>
      <c r="C136" s="70" t="s">
        <v>1813</v>
      </c>
      <c r="D136" s="54" t="s">
        <v>155</v>
      </c>
      <c r="E136" s="144"/>
      <c r="F136" s="144"/>
      <c r="G136" s="144"/>
      <c r="H136" s="144"/>
      <c r="I136" s="43"/>
      <c r="J136" s="43"/>
      <c r="K136" s="144"/>
      <c r="L136" s="2034"/>
      <c r="M136" s="2034"/>
      <c r="O136" s="70" t="s">
        <v>1813</v>
      </c>
      <c r="P136" s="2084" t="s">
        <v>3297</v>
      </c>
      <c r="Q136" s="700"/>
    </row>
    <row r="137" spans="2:17" ht="12" customHeight="1">
      <c r="B137" s="48"/>
      <c r="C137" s="70" t="s">
        <v>1814</v>
      </c>
      <c r="D137" s="54" t="s">
        <v>1315</v>
      </c>
      <c r="E137" s="144"/>
      <c r="F137" s="144"/>
      <c r="G137" s="144"/>
      <c r="H137" s="43"/>
      <c r="I137" s="43"/>
      <c r="J137" s="43"/>
      <c r="K137" s="144"/>
      <c r="L137" s="2034"/>
      <c r="M137" s="2034"/>
      <c r="O137" s="70" t="s">
        <v>1814</v>
      </c>
      <c r="P137" s="2085" t="s">
        <v>3300</v>
      </c>
      <c r="Q137" s="701"/>
    </row>
    <row r="138" spans="2:17" ht="12" customHeight="1">
      <c r="B138" s="48"/>
      <c r="C138" s="70"/>
      <c r="D138" s="54" t="s">
        <v>2737</v>
      </c>
      <c r="E138" s="495" t="s">
        <v>2532</v>
      </c>
      <c r="F138" s="54" t="s">
        <v>2738</v>
      </c>
      <c r="G138" s="43"/>
      <c r="H138" s="54"/>
      <c r="I138" s="43"/>
      <c r="J138" s="43"/>
      <c r="K138" s="144"/>
      <c r="L138" s="2034"/>
      <c r="M138" s="2034"/>
      <c r="O138" s="495" t="s">
        <v>2532</v>
      </c>
      <c r="P138" s="3349"/>
      <c r="Q138" s="3350"/>
    </row>
    <row r="139" spans="2:17" ht="12" customHeight="1">
      <c r="B139" s="48"/>
      <c r="C139" s="70"/>
      <c r="E139" s="495" t="s">
        <v>2533</v>
      </c>
      <c r="F139" s="54" t="s">
        <v>2739</v>
      </c>
      <c r="G139" s="43"/>
      <c r="H139" s="54"/>
      <c r="I139" s="43"/>
      <c r="J139" s="43"/>
      <c r="K139" s="144"/>
      <c r="L139" s="2034"/>
      <c r="M139" s="2034"/>
      <c r="O139" s="495" t="s">
        <v>2533</v>
      </c>
      <c r="P139" s="2085"/>
      <c r="Q139" s="701"/>
    </row>
    <row r="140" spans="2:17" ht="12" customHeight="1">
      <c r="B140" s="48"/>
      <c r="C140" s="70"/>
      <c r="E140" s="495" t="s">
        <v>2534</v>
      </c>
      <c r="F140" s="54" t="s">
        <v>2740</v>
      </c>
      <c r="G140" s="43"/>
      <c r="H140" s="54"/>
      <c r="I140" s="43"/>
      <c r="J140" s="43"/>
      <c r="K140" s="144"/>
      <c r="L140" s="2034"/>
      <c r="M140" s="2034"/>
      <c r="O140" s="495" t="s">
        <v>2534</v>
      </c>
      <c r="P140" s="2085"/>
      <c r="Q140" s="701"/>
    </row>
    <row r="141" spans="2:17" ht="12" customHeight="1">
      <c r="B141" s="48"/>
      <c r="C141" s="70" t="s">
        <v>1815</v>
      </c>
      <c r="D141" s="54" t="s">
        <v>1316</v>
      </c>
      <c r="E141" s="144"/>
      <c r="F141" s="144"/>
      <c r="G141" s="144"/>
      <c r="H141" s="54"/>
      <c r="I141" s="43"/>
      <c r="J141" s="43"/>
      <c r="K141" s="144"/>
      <c r="L141" s="2034"/>
      <c r="M141" s="2034"/>
      <c r="O141" s="70" t="s">
        <v>1815</v>
      </c>
      <c r="P141" s="2085" t="s">
        <v>3300</v>
      </c>
      <c r="Q141" s="701"/>
    </row>
    <row r="142" spans="2:17" ht="12" customHeight="1">
      <c r="B142" s="48"/>
      <c r="C142" s="70"/>
      <c r="D142" s="54" t="s">
        <v>2737</v>
      </c>
      <c r="E142" s="495" t="s">
        <v>2532</v>
      </c>
      <c r="F142" s="54" t="s">
        <v>2741</v>
      </c>
      <c r="G142" s="43"/>
      <c r="H142" s="54"/>
      <c r="I142" s="43"/>
      <c r="J142" s="43"/>
      <c r="K142" s="144"/>
      <c r="L142" s="2034"/>
      <c r="O142" s="495" t="s">
        <v>2532</v>
      </c>
      <c r="P142" s="3349"/>
      <c r="Q142" s="3350"/>
    </row>
    <row r="143" spans="2:17" ht="12" customHeight="1">
      <c r="B143" s="48"/>
      <c r="C143" s="70"/>
      <c r="E143" s="495" t="s">
        <v>2533</v>
      </c>
      <c r="F143" s="54" t="s">
        <v>2742</v>
      </c>
      <c r="G143" s="43"/>
      <c r="H143" s="54"/>
      <c r="I143" s="43"/>
      <c r="J143" s="43"/>
      <c r="O143" s="495" t="s">
        <v>2533</v>
      </c>
      <c r="P143" s="2085"/>
      <c r="Q143" s="701"/>
    </row>
    <row r="144" spans="2:17" ht="12" customHeight="1">
      <c r="B144" s="48"/>
      <c r="C144" s="70"/>
      <c r="E144" s="495" t="s">
        <v>2534</v>
      </c>
      <c r="F144" s="54" t="s">
        <v>2740</v>
      </c>
      <c r="G144" s="43"/>
      <c r="H144" s="54"/>
      <c r="I144" s="43"/>
      <c r="J144" s="43"/>
      <c r="O144" s="495" t="s">
        <v>2534</v>
      </c>
      <c r="P144" s="2085"/>
      <c r="Q144" s="701"/>
    </row>
    <row r="145" spans="1:32" ht="12" customHeight="1">
      <c r="B145" s="37"/>
      <c r="C145" s="70" t="s">
        <v>2459</v>
      </c>
      <c r="D145" s="54" t="s">
        <v>2743</v>
      </c>
      <c r="E145" s="144"/>
      <c r="F145" s="144"/>
      <c r="G145" s="144"/>
      <c r="H145" s="144"/>
      <c r="I145" s="43"/>
      <c r="J145" s="43"/>
      <c r="O145" s="70" t="s">
        <v>2459</v>
      </c>
      <c r="P145" s="2086" t="s">
        <v>3300</v>
      </c>
      <c r="Q145" s="702"/>
    </row>
    <row r="146" spans="1:32" ht="12" customHeight="1">
      <c r="B146" s="48" t="s">
        <v>1811</v>
      </c>
      <c r="C146" s="156" t="s">
        <v>2510</v>
      </c>
      <c r="D146" s="144"/>
      <c r="E146" s="144"/>
      <c r="F146" s="144"/>
      <c r="G146" s="144"/>
      <c r="H146" s="144"/>
      <c r="I146" s="43"/>
      <c r="J146" s="43"/>
      <c r="K146" s="144"/>
      <c r="L146" s="2034"/>
      <c r="M146" s="2034"/>
      <c r="N146" s="2034"/>
      <c r="O146" s="2034"/>
      <c r="P146" s="2034"/>
      <c r="Q146" s="2034"/>
    </row>
    <row r="147" spans="1:32" ht="12" customHeight="1">
      <c r="C147" s="70" t="s">
        <v>1813</v>
      </c>
      <c r="D147" s="54" t="s">
        <v>2593</v>
      </c>
      <c r="E147" s="144"/>
      <c r="F147" s="2084" t="s">
        <v>3300</v>
      </c>
      <c r="G147" s="700"/>
      <c r="H147" s="70" t="s">
        <v>1616</v>
      </c>
      <c r="I147" s="57" t="s">
        <v>2745</v>
      </c>
      <c r="L147" s="2084" t="s">
        <v>3300</v>
      </c>
      <c r="M147" s="700"/>
      <c r="N147" s="527" t="s">
        <v>537</v>
      </c>
      <c r="O147" s="54" t="s">
        <v>1619</v>
      </c>
      <c r="P147" s="2084"/>
      <c r="Q147" s="700"/>
    </row>
    <row r="148" spans="1:32" ht="12" customHeight="1">
      <c r="B148" s="37"/>
      <c r="C148" s="70" t="s">
        <v>1814</v>
      </c>
      <c r="D148" s="54" t="s">
        <v>3033</v>
      </c>
      <c r="E148" s="144"/>
      <c r="F148" s="2085" t="s">
        <v>3297</v>
      </c>
      <c r="G148" s="701"/>
      <c r="H148" s="70" t="s">
        <v>1617</v>
      </c>
      <c r="I148" s="57" t="s">
        <v>2746</v>
      </c>
      <c r="L148" s="2085" t="s">
        <v>3300</v>
      </c>
      <c r="M148" s="701"/>
      <c r="N148" s="527" t="s">
        <v>538</v>
      </c>
      <c r="O148" s="54" t="s">
        <v>1618</v>
      </c>
      <c r="P148" s="2085"/>
      <c r="Q148" s="701"/>
    </row>
    <row r="149" spans="1:32" ht="12" customHeight="1">
      <c r="B149" s="37"/>
      <c r="C149" s="70" t="s">
        <v>1815</v>
      </c>
      <c r="D149" s="54" t="s">
        <v>2744</v>
      </c>
      <c r="E149" s="144"/>
      <c r="F149" s="2085" t="s">
        <v>3300</v>
      </c>
      <c r="G149" s="701"/>
      <c r="H149" s="527" t="s">
        <v>100</v>
      </c>
      <c r="I149" s="57" t="s">
        <v>3034</v>
      </c>
      <c r="L149" s="2085" t="s">
        <v>3297</v>
      </c>
      <c r="M149" s="701"/>
      <c r="N149" s="527" t="s">
        <v>3036</v>
      </c>
      <c r="O149" s="54" t="s">
        <v>1620</v>
      </c>
      <c r="P149" s="2086"/>
      <c r="Q149" s="702"/>
    </row>
    <row r="150" spans="1:32" ht="12" customHeight="1">
      <c r="B150" s="37"/>
      <c r="C150" s="70" t="s">
        <v>2459</v>
      </c>
      <c r="D150" s="54" t="s">
        <v>3037</v>
      </c>
      <c r="E150" s="144"/>
      <c r="F150" s="2086" t="s">
        <v>3300</v>
      </c>
      <c r="G150" s="702"/>
      <c r="H150" s="527" t="s">
        <v>536</v>
      </c>
      <c r="I150" s="54" t="s">
        <v>3032</v>
      </c>
      <c r="L150" s="2086" t="s">
        <v>3300</v>
      </c>
      <c r="M150" s="702"/>
      <c r="O150" s="70"/>
    </row>
    <row r="151" spans="1:32" ht="12" customHeight="1">
      <c r="B151" s="37"/>
      <c r="C151" s="527" t="s">
        <v>3176</v>
      </c>
      <c r="D151" s="54" t="s">
        <v>3035</v>
      </c>
      <c r="E151" s="144"/>
      <c r="F151" s="144"/>
      <c r="G151" s="144"/>
      <c r="H151" s="144"/>
      <c r="I151" s="144"/>
      <c r="J151" s="144"/>
      <c r="K151" s="144"/>
      <c r="L151" s="144"/>
      <c r="M151" s="54"/>
      <c r="O151" s="70"/>
      <c r="P151" s="70"/>
    </row>
    <row r="152" spans="1:32" ht="12" customHeight="1">
      <c r="B152" s="37"/>
      <c r="D152" s="3322"/>
      <c r="E152" s="3323"/>
      <c r="F152" s="3323"/>
      <c r="G152" s="3323"/>
      <c r="H152" s="3323"/>
      <c r="I152" s="3323"/>
      <c r="J152" s="3323"/>
      <c r="K152" s="3323"/>
      <c r="L152" s="3323"/>
      <c r="M152" s="3323"/>
      <c r="N152" s="3323"/>
      <c r="O152" s="3323"/>
      <c r="P152" s="3324"/>
      <c r="Q152" s="698"/>
    </row>
    <row r="153" spans="1:32" ht="12" customHeight="1">
      <c r="B153" s="48" t="s">
        <v>1812</v>
      </c>
      <c r="C153" s="54" t="s">
        <v>4098</v>
      </c>
      <c r="D153" s="144"/>
      <c r="E153" s="144"/>
      <c r="F153" s="144"/>
      <c r="G153" s="144"/>
      <c r="H153" s="144"/>
      <c r="I153" s="43"/>
      <c r="J153" s="43"/>
      <c r="K153" s="144"/>
      <c r="L153" s="144"/>
      <c r="M153" s="2034"/>
    </row>
    <row r="154" spans="1:32" ht="12" customHeight="1">
      <c r="A154" s="154"/>
      <c r="B154" s="43"/>
      <c r="C154" s="70" t="s">
        <v>1813</v>
      </c>
      <c r="D154" s="54" t="s">
        <v>3038</v>
      </c>
      <c r="E154" s="144"/>
      <c r="F154" s="144"/>
      <c r="G154" s="144"/>
      <c r="H154" s="144"/>
      <c r="O154" s="70" t="s">
        <v>1813</v>
      </c>
      <c r="P154" s="2084" t="s">
        <v>3300</v>
      </c>
      <c r="Q154" s="700"/>
    </row>
    <row r="155" spans="1:32" ht="12" customHeight="1">
      <c r="A155" s="154"/>
      <c r="B155" s="2041"/>
      <c r="C155" s="70" t="s">
        <v>1814</v>
      </c>
      <c r="D155" s="54" t="s">
        <v>514</v>
      </c>
      <c r="E155" s="54"/>
      <c r="F155" s="54"/>
      <c r="G155" s="54"/>
      <c r="H155" s="54"/>
      <c r="I155" s="43"/>
      <c r="J155" s="43"/>
      <c r="K155" s="54"/>
      <c r="L155" s="54"/>
      <c r="M155" s="54"/>
      <c r="O155" s="70" t="s">
        <v>1814</v>
      </c>
      <c r="P155" s="2085" t="s">
        <v>3297</v>
      </c>
      <c r="Q155" s="701"/>
    </row>
    <row r="156" spans="1:32" ht="12" customHeight="1">
      <c r="A156" s="154"/>
      <c r="B156" s="2041"/>
      <c r="C156" s="70" t="s">
        <v>1815</v>
      </c>
      <c r="D156" s="54" t="s">
        <v>714</v>
      </c>
      <c r="E156" s="54"/>
      <c r="F156" s="54"/>
      <c r="G156" s="54"/>
      <c r="H156" s="54"/>
      <c r="I156" s="43"/>
      <c r="J156" s="43"/>
      <c r="K156" s="54"/>
      <c r="L156" s="54"/>
      <c r="M156" s="54"/>
      <c r="O156" s="70" t="s">
        <v>1815</v>
      </c>
      <c r="P156" s="2085" t="s">
        <v>3297</v>
      </c>
      <c r="Q156" s="701"/>
    </row>
    <row r="157" spans="1:32" ht="12" customHeight="1">
      <c r="B157" s="48" t="s">
        <v>2031</v>
      </c>
      <c r="C157" s="54" t="s">
        <v>1829</v>
      </c>
      <c r="D157" s="144"/>
      <c r="E157" s="144"/>
      <c r="F157" s="144"/>
      <c r="G157" s="144"/>
      <c r="H157" s="144"/>
      <c r="I157" s="43"/>
      <c r="J157" s="43"/>
      <c r="K157" s="144"/>
      <c r="L157" s="144"/>
      <c r="M157" s="2034"/>
      <c r="O157" s="527" t="s">
        <v>2031</v>
      </c>
      <c r="P157" s="2086"/>
      <c r="Q157" s="702"/>
    </row>
    <row r="158" spans="1:32" ht="12" customHeight="1">
      <c r="A158" s="457" t="s">
        <v>3869</v>
      </c>
      <c r="C158" s="54"/>
      <c r="D158" s="144"/>
      <c r="E158" s="144"/>
      <c r="F158" s="144"/>
      <c r="G158" s="144"/>
      <c r="H158" s="144"/>
      <c r="I158" s="43"/>
      <c r="J158" s="43"/>
      <c r="K158" s="144"/>
      <c r="L158" s="144"/>
      <c r="M158" s="2034"/>
      <c r="N158" s="2034"/>
      <c r="O158" s="2034"/>
      <c r="P158" s="2034"/>
      <c r="Q158" s="2034"/>
      <c r="R158" s="2034"/>
    </row>
    <row r="159" spans="1:32" s="1" customFormat="1" ht="23.45" customHeight="1">
      <c r="B159" s="152" t="s">
        <v>3708</v>
      </c>
      <c r="C159" s="2436" t="s">
        <v>154</v>
      </c>
      <c r="D159" s="2436"/>
      <c r="E159" s="2436"/>
      <c r="F159" s="2436"/>
      <c r="G159" s="2436"/>
      <c r="H159" s="2436"/>
      <c r="I159" s="2436"/>
      <c r="J159" s="2436"/>
      <c r="K159" s="2436"/>
      <c r="L159" s="2436"/>
      <c r="M159" s="174" t="s">
        <v>3708</v>
      </c>
      <c r="N159" s="3351" t="s">
        <v>1847</v>
      </c>
      <c r="O159" s="3352"/>
      <c r="P159" s="3353" t="s">
        <v>1847</v>
      </c>
      <c r="Q159" s="3354"/>
      <c r="AE159" s="5"/>
      <c r="AF159" s="5"/>
    </row>
    <row r="160" spans="1:32" s="1" customFormat="1" ht="12" customHeight="1">
      <c r="B160" s="48" t="s">
        <v>646</v>
      </c>
      <c r="C160" s="123" t="s">
        <v>1</v>
      </c>
      <c r="D160" s="2035"/>
      <c r="E160" s="2035"/>
      <c r="G160" s="527" t="s">
        <v>646</v>
      </c>
      <c r="H160" s="2622"/>
      <c r="I160" s="2623"/>
      <c r="J160" s="2623"/>
      <c r="K160" s="2623"/>
      <c r="L160" s="2623"/>
      <c r="M160" s="2623"/>
      <c r="N160" s="2623"/>
      <c r="O160" s="2623"/>
      <c r="P160" s="2624"/>
      <c r="Q160" s="697"/>
      <c r="AE160" s="5"/>
      <c r="AF160" s="5"/>
    </row>
    <row r="161" spans="1:32" s="1" customFormat="1" ht="12" customHeight="1">
      <c r="B161" s="48" t="s">
        <v>3709</v>
      </c>
      <c r="C161" s="1344" t="s">
        <v>1476</v>
      </c>
      <c r="D161" s="11"/>
      <c r="E161" s="11"/>
      <c r="F161" s="11"/>
      <c r="G161" s="7"/>
      <c r="H161" s="7"/>
      <c r="I161" s="1344"/>
      <c r="K161" s="7"/>
      <c r="L161" s="7"/>
      <c r="M161" s="7"/>
      <c r="O161" s="527" t="s">
        <v>3709</v>
      </c>
      <c r="P161" s="2074"/>
      <c r="Q161" s="697"/>
      <c r="AE161" s="5"/>
      <c r="AF161" s="5"/>
    </row>
    <row r="162" spans="1:32" ht="11.25" customHeight="1">
      <c r="B162" s="151" t="s">
        <v>1946</v>
      </c>
      <c r="D162" s="151"/>
      <c r="E162" s="151"/>
      <c r="F162" s="151"/>
      <c r="G162" s="151"/>
      <c r="H162" s="41"/>
      <c r="I162" s="2041"/>
      <c r="J162" s="2041"/>
      <c r="K162" s="2041"/>
      <c r="L162" s="2029"/>
      <c r="M162" s="2029"/>
      <c r="N162" s="2029"/>
      <c r="O162" s="2029"/>
      <c r="P162" s="2029"/>
      <c r="Q162" s="1343"/>
    </row>
    <row r="163" spans="1:32" ht="11.45" customHeight="1">
      <c r="A163" s="2539" t="s">
        <v>4722</v>
      </c>
      <c r="B163" s="2540"/>
      <c r="C163" s="2540"/>
      <c r="D163" s="2540"/>
      <c r="E163" s="2540"/>
      <c r="F163" s="2540"/>
      <c r="G163" s="2540"/>
      <c r="H163" s="2540"/>
      <c r="I163" s="2540"/>
      <c r="J163" s="2540"/>
      <c r="K163" s="2540"/>
      <c r="L163" s="2540"/>
      <c r="M163" s="2540"/>
      <c r="N163" s="2540"/>
      <c r="O163" s="2540"/>
      <c r="P163" s="2540"/>
      <c r="Q163" s="2541"/>
      <c r="R163" s="499" t="s">
        <v>1308</v>
      </c>
      <c r="S163" s="499"/>
      <c r="U163" s="146"/>
      <c r="V163" s="146"/>
      <c r="W163" s="146"/>
      <c r="X163" s="146"/>
      <c r="Y163" s="146"/>
      <c r="Z163" s="146"/>
      <c r="AA163" s="146"/>
      <c r="AB163" s="146"/>
      <c r="AC163" s="146"/>
      <c r="AD163" s="146"/>
      <c r="AE163" s="529"/>
    </row>
    <row r="164" spans="1:32" s="28" customFormat="1" ht="3" customHeight="1">
      <c r="C164" s="125"/>
      <c r="D164" s="125"/>
      <c r="R164" s="499"/>
      <c r="S164" s="499"/>
      <c r="AE164" s="125"/>
      <c r="AF164" s="125"/>
    </row>
    <row r="165" spans="1:32" ht="11.25" customHeight="1">
      <c r="B165" s="147" t="s">
        <v>1947</v>
      </c>
      <c r="C165" s="148"/>
      <c r="D165" s="2033"/>
      <c r="E165" s="2033"/>
      <c r="F165" s="2033"/>
      <c r="G165" s="2033"/>
      <c r="H165" s="2033"/>
      <c r="I165" s="2033"/>
      <c r="J165" s="2033"/>
      <c r="K165" s="2033"/>
      <c r="L165" s="2033"/>
      <c r="M165" s="2033"/>
      <c r="N165" s="2033"/>
      <c r="O165" s="2033"/>
      <c r="P165" s="2033"/>
      <c r="Q165" s="2033"/>
    </row>
    <row r="166" spans="1:32" ht="11.45" customHeight="1">
      <c r="A166" s="2513"/>
      <c r="B166" s="2514"/>
      <c r="C166" s="2514"/>
      <c r="D166" s="2514"/>
      <c r="E166" s="2514"/>
      <c r="F166" s="2514"/>
      <c r="G166" s="2514"/>
      <c r="H166" s="2514"/>
      <c r="I166" s="2514"/>
      <c r="J166" s="2514"/>
      <c r="K166" s="2514"/>
      <c r="L166" s="2514"/>
      <c r="M166" s="2514"/>
      <c r="N166" s="2514"/>
      <c r="O166" s="2514"/>
      <c r="P166" s="2514"/>
      <c r="Q166" s="2515"/>
    </row>
    <row r="167" spans="1:32" ht="3" customHeight="1">
      <c r="A167" s="2029"/>
      <c r="B167" s="2041"/>
      <c r="C167" s="2033"/>
      <c r="D167" s="2033"/>
      <c r="E167" s="2033"/>
      <c r="F167" s="2033"/>
      <c r="G167" s="2033"/>
      <c r="H167" s="2033"/>
      <c r="I167" s="2033"/>
      <c r="J167" s="2033"/>
      <c r="K167" s="2033"/>
      <c r="L167" s="2033"/>
      <c r="M167" s="2033"/>
      <c r="N167" s="2033"/>
      <c r="O167" s="2033"/>
      <c r="P167" s="2033"/>
      <c r="Q167" s="2029"/>
    </row>
    <row r="168" spans="1:32" ht="13.9" customHeight="1">
      <c r="A168" s="2037">
        <v>8</v>
      </c>
      <c r="B168" s="2037" t="s">
        <v>2762</v>
      </c>
      <c r="C168" s="2037"/>
      <c r="D168" s="2033"/>
      <c r="E168" s="2033"/>
      <c r="F168" s="2033"/>
      <c r="G168" s="2033"/>
      <c r="H168" s="2033"/>
      <c r="I168" s="2033"/>
      <c r="J168" s="2033"/>
      <c r="K168" s="2033"/>
      <c r="O168" s="142" t="s">
        <v>1948</v>
      </c>
      <c r="P168" s="3300"/>
      <c r="Q168" s="3301"/>
    </row>
    <row r="169" spans="1:32" ht="12" customHeight="1">
      <c r="B169" s="48" t="s">
        <v>2068</v>
      </c>
      <c r="C169" s="54" t="s">
        <v>4130</v>
      </c>
      <c r="D169" s="54"/>
      <c r="E169" s="54"/>
      <c r="F169" s="54"/>
      <c r="G169" s="54"/>
      <c r="I169" s="54" t="s">
        <v>2835</v>
      </c>
      <c r="K169" s="3355">
        <v>42642</v>
      </c>
      <c r="L169" s="3356"/>
      <c r="N169" s="54"/>
      <c r="O169" s="527" t="s">
        <v>2068</v>
      </c>
      <c r="P169" s="2074" t="s">
        <v>3297</v>
      </c>
      <c r="Q169" s="697"/>
    </row>
    <row r="170" spans="1:32" ht="12" customHeight="1">
      <c r="A170" s="149"/>
      <c r="B170" s="48" t="s">
        <v>2071</v>
      </c>
      <c r="C170" s="150" t="s">
        <v>156</v>
      </c>
      <c r="D170" s="150"/>
      <c r="E170" s="150"/>
      <c r="F170" s="150"/>
      <c r="G170" s="150"/>
      <c r="H170" s="150"/>
      <c r="M170" s="527" t="s">
        <v>2071</v>
      </c>
      <c r="N170" s="3357" t="s">
        <v>4723</v>
      </c>
      <c r="O170" s="3358"/>
      <c r="P170" s="3359" t="s">
        <v>1847</v>
      </c>
      <c r="Q170" s="3360"/>
    </row>
    <row r="171" spans="1:32" ht="12" customHeight="1">
      <c r="A171" s="149"/>
      <c r="B171" s="48" t="s">
        <v>786</v>
      </c>
      <c r="C171" s="150" t="s">
        <v>715</v>
      </c>
      <c r="D171" s="150"/>
      <c r="E171" s="150"/>
      <c r="F171" s="150"/>
      <c r="G171" s="150"/>
      <c r="H171" s="150"/>
      <c r="J171" s="527" t="s">
        <v>786</v>
      </c>
      <c r="K171" s="3322" t="s">
        <v>4724</v>
      </c>
      <c r="L171" s="3323"/>
      <c r="M171" s="3323"/>
      <c r="N171" s="3323"/>
      <c r="O171" s="3323"/>
      <c r="P171" s="3324"/>
      <c r="Q171" s="697"/>
    </row>
    <row r="172" spans="1:32" ht="12" customHeight="1">
      <c r="A172" s="149"/>
      <c r="B172" s="48" t="s">
        <v>2203</v>
      </c>
      <c r="C172" s="150" t="s">
        <v>3162</v>
      </c>
      <c r="D172" s="150"/>
      <c r="E172" s="150"/>
      <c r="F172" s="150"/>
      <c r="G172" s="150"/>
      <c r="H172" s="150"/>
      <c r="J172" s="527"/>
      <c r="K172" s="527"/>
      <c r="L172" s="527"/>
      <c r="M172" s="527"/>
      <c r="N172" s="527"/>
      <c r="O172" s="527" t="s">
        <v>2203</v>
      </c>
      <c r="P172" s="2074" t="s">
        <v>3300</v>
      </c>
      <c r="Q172" s="697"/>
    </row>
    <row r="173" spans="1:32" ht="12" customHeight="1">
      <c r="B173" s="151" t="s">
        <v>1946</v>
      </c>
      <c r="D173" s="151"/>
      <c r="E173" s="151"/>
      <c r="F173" s="151"/>
      <c r="G173" s="151"/>
      <c r="H173" s="41"/>
      <c r="I173" s="2041"/>
      <c r="J173" s="2041"/>
      <c r="K173" s="2041"/>
      <c r="L173" s="2029"/>
      <c r="M173" s="2029"/>
      <c r="N173" s="2029"/>
      <c r="O173" s="2029"/>
      <c r="P173" s="2029"/>
      <c r="Q173" s="1343"/>
    </row>
    <row r="174" spans="1:32" ht="11.45" customHeight="1">
      <c r="A174" s="2539" t="s">
        <v>4725</v>
      </c>
      <c r="B174" s="2540"/>
      <c r="C174" s="2540"/>
      <c r="D174" s="2540"/>
      <c r="E174" s="2540"/>
      <c r="F174" s="2540"/>
      <c r="G174" s="2540"/>
      <c r="H174" s="2540"/>
      <c r="I174" s="2540"/>
      <c r="J174" s="2540"/>
      <c r="K174" s="2540"/>
      <c r="L174" s="2540"/>
      <c r="M174" s="2540"/>
      <c r="N174" s="2540"/>
      <c r="O174" s="2540"/>
      <c r="P174" s="2540"/>
      <c r="Q174" s="2541"/>
      <c r="U174" s="146"/>
      <c r="V174" s="146"/>
      <c r="W174" s="146"/>
      <c r="X174" s="146"/>
      <c r="Y174" s="146"/>
      <c r="Z174" s="146"/>
      <c r="AA174" s="146"/>
      <c r="AB174" s="146"/>
      <c r="AC174" s="146"/>
      <c r="AD174" s="146"/>
      <c r="AE174" s="529"/>
    </row>
    <row r="175" spans="1:32" ht="12" customHeight="1">
      <c r="B175" s="147" t="s">
        <v>1947</v>
      </c>
      <c r="C175" s="148"/>
      <c r="D175" s="2033"/>
      <c r="E175" s="2033"/>
      <c r="F175" s="2033"/>
      <c r="G175" s="2033"/>
      <c r="H175" s="2033"/>
      <c r="I175" s="2033"/>
      <c r="J175" s="2033"/>
      <c r="K175" s="2033"/>
      <c r="L175" s="2033"/>
      <c r="M175" s="2033"/>
      <c r="N175" s="2033"/>
      <c r="O175" s="2033"/>
      <c r="P175" s="2033"/>
      <c r="Q175" s="2033"/>
    </row>
    <row r="176" spans="1:32" ht="11.45" customHeight="1">
      <c r="A176" s="2513"/>
      <c r="B176" s="2514"/>
      <c r="C176" s="2514"/>
      <c r="D176" s="2514"/>
      <c r="E176" s="2514"/>
      <c r="F176" s="2514"/>
      <c r="G176" s="2514"/>
      <c r="H176" s="2514"/>
      <c r="I176" s="2514"/>
      <c r="J176" s="2514"/>
      <c r="K176" s="2514"/>
      <c r="L176" s="2514"/>
      <c r="M176" s="2514"/>
      <c r="N176" s="2514"/>
      <c r="O176" s="2514"/>
      <c r="P176" s="2514"/>
      <c r="Q176" s="2515"/>
    </row>
    <row r="177" spans="1:31" ht="3" customHeight="1">
      <c r="A177" s="2029"/>
      <c r="B177" s="2041"/>
      <c r="C177" s="2033"/>
      <c r="D177" s="2033"/>
      <c r="E177" s="2033"/>
      <c r="F177" s="2033"/>
      <c r="G177" s="2033"/>
      <c r="H177" s="2033"/>
      <c r="I177" s="2033"/>
      <c r="J177" s="2033"/>
      <c r="K177" s="2033"/>
      <c r="L177" s="2033"/>
      <c r="M177" s="2033"/>
      <c r="Q177" s="2029"/>
    </row>
    <row r="178" spans="1:31" ht="13.9" customHeight="1">
      <c r="A178" s="2037">
        <v>9</v>
      </c>
      <c r="B178" s="2037" t="s">
        <v>2763</v>
      </c>
      <c r="C178" s="2037"/>
      <c r="D178" s="2033"/>
      <c r="E178" s="2033"/>
      <c r="F178" s="2033"/>
      <c r="G178" s="2033"/>
      <c r="H178" s="2033"/>
      <c r="I178" s="2033"/>
      <c r="J178" s="2033"/>
      <c r="K178" s="2033"/>
      <c r="L178" s="2033"/>
      <c r="M178" s="2033"/>
      <c r="O178" s="142" t="s">
        <v>1948</v>
      </c>
      <c r="P178" s="3300"/>
      <c r="Q178" s="3301"/>
    </row>
    <row r="179" spans="1:31" ht="21.75" customHeight="1">
      <c r="B179" s="152" t="s">
        <v>2068</v>
      </c>
      <c r="C179" s="2436" t="s">
        <v>4304</v>
      </c>
      <c r="D179" s="2436"/>
      <c r="E179" s="2436"/>
      <c r="F179" s="2436"/>
      <c r="G179" s="2436"/>
      <c r="H179" s="2436"/>
      <c r="I179" s="2436"/>
      <c r="J179" s="2436"/>
      <c r="K179" s="2436"/>
      <c r="L179" s="2436"/>
      <c r="M179" s="2436"/>
      <c r="N179" s="2436"/>
      <c r="O179" s="174" t="s">
        <v>2068</v>
      </c>
      <c r="P179" s="2084" t="s">
        <v>3297</v>
      </c>
      <c r="Q179" s="700"/>
    </row>
    <row r="180" spans="1:31" ht="22.15" customHeight="1">
      <c r="B180" s="152" t="s">
        <v>2071</v>
      </c>
      <c r="C180" s="2436" t="s">
        <v>4305</v>
      </c>
      <c r="D180" s="2436"/>
      <c r="E180" s="2436"/>
      <c r="F180" s="2436"/>
      <c r="G180" s="2436"/>
      <c r="H180" s="2436"/>
      <c r="I180" s="2436"/>
      <c r="J180" s="2436"/>
      <c r="K180" s="2436"/>
      <c r="L180" s="2436"/>
      <c r="M180" s="2436"/>
      <c r="N180" s="2436"/>
      <c r="O180" s="174" t="s">
        <v>2071</v>
      </c>
      <c r="P180" s="2085"/>
      <c r="Q180" s="701"/>
    </row>
    <row r="181" spans="1:31" ht="21.75" customHeight="1">
      <c r="B181" s="152" t="s">
        <v>786</v>
      </c>
      <c r="C181" s="2436" t="s">
        <v>2747</v>
      </c>
      <c r="D181" s="2436"/>
      <c r="E181" s="2436"/>
      <c r="F181" s="2436"/>
      <c r="G181" s="2436"/>
      <c r="H181" s="2436"/>
      <c r="I181" s="2436"/>
      <c r="J181" s="2436"/>
      <c r="K181" s="2436"/>
      <c r="L181" s="2436"/>
      <c r="M181" s="2436"/>
      <c r="N181" s="2436"/>
      <c r="O181" s="174" t="s">
        <v>786</v>
      </c>
      <c r="P181" s="2086"/>
      <c r="Q181" s="702"/>
    </row>
    <row r="182" spans="1:31" ht="12" customHeight="1">
      <c r="B182" s="151" t="s">
        <v>1946</v>
      </c>
      <c r="D182" s="151"/>
      <c r="E182" s="151"/>
      <c r="F182" s="151"/>
      <c r="G182" s="151"/>
      <c r="H182" s="41"/>
      <c r="I182" s="2041"/>
      <c r="J182" s="2041"/>
      <c r="K182" s="2041"/>
      <c r="L182" s="2029"/>
      <c r="M182" s="2029"/>
      <c r="N182" s="2029"/>
      <c r="O182" s="2029"/>
      <c r="P182" s="2029"/>
      <c r="Q182" s="1343"/>
    </row>
    <row r="183" spans="1:31" ht="11.45" customHeight="1">
      <c r="A183" s="2539" t="s">
        <v>4726</v>
      </c>
      <c r="B183" s="2540"/>
      <c r="C183" s="2540"/>
      <c r="D183" s="2540"/>
      <c r="E183" s="2540"/>
      <c r="F183" s="2540"/>
      <c r="G183" s="2540"/>
      <c r="H183" s="2540"/>
      <c r="I183" s="2540"/>
      <c r="J183" s="2540"/>
      <c r="K183" s="2540"/>
      <c r="L183" s="2540"/>
      <c r="M183" s="2540"/>
      <c r="N183" s="2540"/>
      <c r="O183" s="2540"/>
      <c r="P183" s="2540"/>
      <c r="Q183" s="2541"/>
      <c r="U183" s="146"/>
      <c r="V183" s="146"/>
      <c r="W183" s="146"/>
      <c r="X183" s="146"/>
      <c r="Y183" s="146"/>
      <c r="Z183" s="146"/>
      <c r="AA183" s="146"/>
      <c r="AB183" s="146"/>
      <c r="AC183" s="146"/>
      <c r="AD183" s="146"/>
      <c r="AE183" s="529"/>
    </row>
    <row r="184" spans="1:31" ht="12" customHeight="1">
      <c r="B184" s="147" t="s">
        <v>1947</v>
      </c>
      <c r="C184" s="148"/>
      <c r="D184" s="2033"/>
      <c r="E184" s="2033"/>
      <c r="F184" s="2033"/>
      <c r="G184" s="2033"/>
      <c r="H184" s="2033"/>
      <c r="I184" s="2033"/>
      <c r="J184" s="2033"/>
      <c r="K184" s="2033"/>
      <c r="L184" s="2033"/>
      <c r="M184" s="2033"/>
      <c r="N184" s="2033"/>
      <c r="O184" s="2033"/>
      <c r="P184" s="2033"/>
      <c r="Q184" s="2033"/>
    </row>
    <row r="185" spans="1:31" ht="11.45" customHeight="1">
      <c r="A185" s="2513"/>
      <c r="B185" s="2514"/>
      <c r="C185" s="2514"/>
      <c r="D185" s="2514"/>
      <c r="E185" s="2514"/>
      <c r="F185" s="2514"/>
      <c r="G185" s="2514"/>
      <c r="H185" s="2514"/>
      <c r="I185" s="2514"/>
      <c r="J185" s="2514"/>
      <c r="K185" s="2514"/>
      <c r="L185" s="2514"/>
      <c r="M185" s="2514"/>
      <c r="N185" s="2514"/>
      <c r="O185" s="2514"/>
      <c r="P185" s="2514"/>
      <c r="Q185" s="2515"/>
    </row>
    <row r="186" spans="1:31" ht="3" customHeight="1">
      <c r="B186" s="2041"/>
      <c r="C186" s="2033"/>
      <c r="D186" s="2033"/>
      <c r="E186" s="2033"/>
      <c r="F186" s="2033"/>
      <c r="G186" s="2033"/>
      <c r="H186" s="2033"/>
      <c r="I186" s="2033"/>
      <c r="J186" s="2033"/>
      <c r="K186" s="2033"/>
      <c r="L186" s="2033"/>
      <c r="M186" s="2033"/>
      <c r="N186" s="2033"/>
      <c r="O186" s="2033"/>
      <c r="P186" s="2033"/>
      <c r="Q186" s="2029"/>
    </row>
    <row r="187" spans="1:31" ht="13.9" customHeight="1">
      <c r="A187" s="2008">
        <v>10</v>
      </c>
      <c r="B187" s="2470" t="s">
        <v>2764</v>
      </c>
      <c r="C187" s="2470"/>
      <c r="D187" s="2470"/>
      <c r="O187" s="142" t="s">
        <v>1948</v>
      </c>
      <c r="P187" s="3300"/>
      <c r="Q187" s="3301"/>
    </row>
    <row r="188" spans="1:31" ht="12" customHeight="1">
      <c r="B188" s="152" t="s">
        <v>2068</v>
      </c>
      <c r="C188" s="1294" t="s">
        <v>490</v>
      </c>
      <c r="D188" s="1294"/>
      <c r="E188" s="1294"/>
      <c r="F188" s="1294"/>
      <c r="G188" s="1294"/>
      <c r="H188" s="1294"/>
      <c r="I188" s="1294"/>
      <c r="J188" s="1294"/>
      <c r="K188" s="1294"/>
      <c r="L188" s="1294"/>
      <c r="M188" s="1294"/>
      <c r="O188" s="174" t="s">
        <v>2068</v>
      </c>
      <c r="P188" s="2084" t="s">
        <v>3297</v>
      </c>
      <c r="Q188" s="700"/>
    </row>
    <row r="189" spans="1:31" ht="12" customHeight="1">
      <c r="B189" s="152" t="s">
        <v>2071</v>
      </c>
      <c r="C189" s="1294" t="s">
        <v>2748</v>
      </c>
      <c r="D189" s="1294"/>
      <c r="E189" s="1294"/>
      <c r="F189" s="1294"/>
      <c r="G189" s="1294"/>
      <c r="H189" s="1294"/>
      <c r="I189" s="1294"/>
      <c r="J189" s="1294"/>
      <c r="K189" s="1294"/>
      <c r="L189" s="1294"/>
      <c r="M189" s="1294"/>
      <c r="O189" s="174" t="s">
        <v>2071</v>
      </c>
      <c r="P189" s="2085" t="s">
        <v>3297</v>
      </c>
      <c r="Q189" s="701"/>
    </row>
    <row r="190" spans="1:31" ht="12" customHeight="1">
      <c r="B190" s="152" t="s">
        <v>786</v>
      </c>
      <c r="C190" s="1294" t="s">
        <v>2749</v>
      </c>
      <c r="D190" s="1294"/>
      <c r="E190" s="1294"/>
      <c r="F190" s="1294"/>
      <c r="G190" s="1294"/>
      <c r="H190" s="1294"/>
      <c r="I190" s="1294"/>
      <c r="J190" s="1294"/>
      <c r="K190" s="1294"/>
      <c r="L190" s="1294"/>
      <c r="M190" s="1294"/>
      <c r="O190" s="174" t="s">
        <v>786</v>
      </c>
      <c r="P190" s="2085" t="s">
        <v>3297</v>
      </c>
      <c r="Q190" s="701"/>
    </row>
    <row r="191" spans="1:31" ht="12" customHeight="1">
      <c r="B191" s="152"/>
      <c r="C191" s="1294" t="s">
        <v>2737</v>
      </c>
      <c r="D191" s="1294"/>
      <c r="E191" s="495" t="s">
        <v>1813</v>
      </c>
      <c r="F191" s="1294" t="s">
        <v>2750</v>
      </c>
      <c r="G191" s="1294"/>
      <c r="H191" s="1294"/>
      <c r="I191" s="1294"/>
      <c r="J191" s="1294"/>
      <c r="K191" s="1294"/>
      <c r="L191" s="1294"/>
      <c r="M191" s="1294"/>
      <c r="O191" s="495" t="s">
        <v>1813</v>
      </c>
      <c r="P191" s="2085" t="s">
        <v>3297</v>
      </c>
      <c r="Q191" s="701"/>
    </row>
    <row r="192" spans="1:31" ht="12" customHeight="1">
      <c r="B192" s="152"/>
      <c r="C192" s="1294"/>
      <c r="D192" s="1294"/>
      <c r="E192" s="495" t="s">
        <v>1814</v>
      </c>
      <c r="F192" s="1294" t="s">
        <v>2751</v>
      </c>
      <c r="G192" s="1294"/>
      <c r="H192" s="1294"/>
      <c r="I192" s="1294"/>
      <c r="J192" s="1294"/>
      <c r="K192" s="1294"/>
      <c r="L192" s="1294"/>
      <c r="M192" s="1294"/>
      <c r="O192" s="495" t="s">
        <v>1814</v>
      </c>
      <c r="P192" s="2085" t="s">
        <v>3297</v>
      </c>
      <c r="Q192" s="701"/>
    </row>
    <row r="193" spans="1:32" s="143" customFormat="1" ht="21.75" customHeight="1">
      <c r="B193" s="152"/>
      <c r="C193" s="1294"/>
      <c r="D193" s="1294"/>
      <c r="E193" s="174" t="s">
        <v>1815</v>
      </c>
      <c r="F193" s="2436" t="s">
        <v>3944</v>
      </c>
      <c r="G193" s="2436"/>
      <c r="H193" s="2436"/>
      <c r="I193" s="2436"/>
      <c r="J193" s="2436"/>
      <c r="K193" s="2436"/>
      <c r="L193" s="2436"/>
      <c r="M193" s="2436"/>
      <c r="N193" s="2436"/>
      <c r="O193" s="174" t="s">
        <v>1815</v>
      </c>
      <c r="P193" s="2094" t="s">
        <v>3297</v>
      </c>
      <c r="Q193" s="704"/>
      <c r="AE193" s="530"/>
      <c r="AF193" s="530"/>
    </row>
    <row r="194" spans="1:32" ht="12" customHeight="1">
      <c r="B194" s="152"/>
      <c r="C194" s="1294"/>
      <c r="D194" s="1294"/>
      <c r="E194" s="495" t="s">
        <v>2459</v>
      </c>
      <c r="F194" s="1294" t="s">
        <v>2752</v>
      </c>
      <c r="G194" s="1294"/>
      <c r="H194" s="1294"/>
      <c r="I194" s="1294"/>
      <c r="J194" s="1294"/>
      <c r="K194" s="1294"/>
      <c r="L194" s="1294"/>
      <c r="M194" s="1294"/>
      <c r="O194" s="495" t="s">
        <v>2459</v>
      </c>
      <c r="P194" s="2085" t="s">
        <v>3297</v>
      </c>
      <c r="Q194" s="701"/>
    </row>
    <row r="195" spans="1:32" s="143" customFormat="1" ht="21.75" customHeight="1">
      <c r="B195" s="152"/>
      <c r="C195" s="1294"/>
      <c r="D195" s="1294"/>
      <c r="E195" s="174" t="s">
        <v>1616</v>
      </c>
      <c r="F195" s="2436" t="s">
        <v>2753</v>
      </c>
      <c r="G195" s="2436"/>
      <c r="H195" s="2436"/>
      <c r="I195" s="2436"/>
      <c r="J195" s="2436"/>
      <c r="K195" s="2436"/>
      <c r="L195" s="2436"/>
      <c r="M195" s="2436"/>
      <c r="N195" s="2436"/>
      <c r="O195" s="174" t="s">
        <v>1616</v>
      </c>
      <c r="P195" s="2094" t="s">
        <v>3297</v>
      </c>
      <c r="Q195" s="704"/>
      <c r="AE195" s="530"/>
      <c r="AF195" s="530"/>
    </row>
    <row r="196" spans="1:32" ht="21.75" customHeight="1">
      <c r="B196" s="152" t="s">
        <v>2203</v>
      </c>
      <c r="C196" s="2436" t="s">
        <v>2754</v>
      </c>
      <c r="D196" s="2436"/>
      <c r="E196" s="2436"/>
      <c r="F196" s="2436"/>
      <c r="G196" s="2436"/>
      <c r="H196" s="2436"/>
      <c r="I196" s="2436"/>
      <c r="J196" s="2436"/>
      <c r="K196" s="2436"/>
      <c r="L196" s="2436"/>
      <c r="M196" s="2436"/>
      <c r="N196" s="2436"/>
      <c r="O196" s="174" t="s">
        <v>2203</v>
      </c>
      <c r="P196" s="2085" t="s">
        <v>3297</v>
      </c>
      <c r="Q196" s="701"/>
    </row>
    <row r="197" spans="1:32" ht="12" customHeight="1">
      <c r="B197" s="152" t="s">
        <v>1811</v>
      </c>
      <c r="C197" s="1294" t="s">
        <v>2475</v>
      </c>
      <c r="D197" s="1294"/>
      <c r="E197" s="1294"/>
      <c r="F197" s="1294"/>
      <c r="G197" s="1294"/>
      <c r="H197" s="1294"/>
      <c r="I197" s="1294"/>
      <c r="J197" s="1294"/>
      <c r="K197" s="1294"/>
      <c r="L197" s="1294"/>
      <c r="M197" s="1294"/>
      <c r="O197" s="174" t="s">
        <v>1811</v>
      </c>
      <c r="P197" s="2086" t="s">
        <v>3297</v>
      </c>
      <c r="Q197" s="702"/>
    </row>
    <row r="198" spans="1:32" ht="12" customHeight="1">
      <c r="B198" s="151" t="s">
        <v>1946</v>
      </c>
      <c r="D198" s="151"/>
      <c r="E198" s="151"/>
      <c r="F198" s="151"/>
      <c r="G198" s="151"/>
      <c r="H198" s="41"/>
      <c r="I198" s="2041"/>
      <c r="J198" s="2041"/>
      <c r="K198" s="2041"/>
      <c r="L198" s="2029"/>
      <c r="M198" s="2029"/>
      <c r="N198" s="2029"/>
      <c r="O198" s="2029"/>
      <c r="P198" s="2029"/>
      <c r="Q198" s="1343"/>
    </row>
    <row r="199" spans="1:32" ht="11.45" customHeight="1">
      <c r="A199" s="2539" t="s">
        <v>4727</v>
      </c>
      <c r="B199" s="2540"/>
      <c r="C199" s="2540"/>
      <c r="D199" s="2540"/>
      <c r="E199" s="2540"/>
      <c r="F199" s="2540"/>
      <c r="G199" s="2540"/>
      <c r="H199" s="2540"/>
      <c r="I199" s="2540"/>
      <c r="J199" s="2540"/>
      <c r="K199" s="2540"/>
      <c r="L199" s="2540"/>
      <c r="M199" s="2540"/>
      <c r="N199" s="2540"/>
      <c r="O199" s="2540"/>
      <c r="P199" s="2540"/>
      <c r="Q199" s="2541"/>
      <c r="U199" s="146"/>
      <c r="V199" s="146"/>
      <c r="W199" s="146"/>
      <c r="X199" s="146"/>
      <c r="Y199" s="146"/>
      <c r="Z199" s="146"/>
      <c r="AA199" s="146"/>
      <c r="AB199" s="146"/>
      <c r="AC199" s="146"/>
      <c r="AD199" s="146"/>
      <c r="AE199" s="529"/>
    </row>
    <row r="200" spans="1:32" ht="12" customHeight="1">
      <c r="B200" s="147" t="s">
        <v>1947</v>
      </c>
      <c r="C200" s="148"/>
      <c r="D200" s="2033"/>
      <c r="E200" s="2033"/>
      <c r="F200" s="2033"/>
      <c r="G200" s="2033"/>
      <c r="H200" s="2033"/>
      <c r="I200" s="2033"/>
      <c r="J200" s="2033"/>
      <c r="K200" s="2033"/>
      <c r="L200" s="2033"/>
      <c r="M200" s="2033"/>
      <c r="N200" s="2033"/>
      <c r="O200" s="2033"/>
      <c r="P200" s="2033"/>
      <c r="Q200" s="2033"/>
    </row>
    <row r="201" spans="1:32" ht="11.45" customHeight="1">
      <c r="A201" s="2513"/>
      <c r="B201" s="2514"/>
      <c r="C201" s="2514"/>
      <c r="D201" s="2514"/>
      <c r="E201" s="2514"/>
      <c r="F201" s="2514"/>
      <c r="G201" s="2514"/>
      <c r="H201" s="2514"/>
      <c r="I201" s="2514"/>
      <c r="J201" s="2514"/>
      <c r="K201" s="2514"/>
      <c r="L201" s="2514"/>
      <c r="M201" s="2514"/>
      <c r="N201" s="2514"/>
      <c r="O201" s="2514"/>
      <c r="P201" s="2514"/>
      <c r="Q201" s="2515"/>
    </row>
    <row r="202" spans="1:32" ht="3" customHeight="1">
      <c r="A202" s="2029"/>
      <c r="B202" s="2041"/>
      <c r="C202" s="2033"/>
      <c r="D202" s="2033"/>
      <c r="E202" s="2033"/>
      <c r="F202" s="2033"/>
      <c r="G202" s="2033"/>
      <c r="H202" s="2033"/>
      <c r="I202" s="2033"/>
      <c r="J202" s="2033"/>
      <c r="K202" s="2033"/>
      <c r="L202" s="2033"/>
      <c r="M202" s="2033"/>
      <c r="N202" s="2033"/>
      <c r="O202" s="2033"/>
      <c r="P202" s="2033"/>
      <c r="Q202" s="2029"/>
    </row>
    <row r="203" spans="1:32" ht="13.9" customHeight="1">
      <c r="A203" s="2037">
        <v>11</v>
      </c>
      <c r="B203" s="2037" t="s">
        <v>2765</v>
      </c>
      <c r="C203" s="2037"/>
      <c r="D203" s="2033"/>
      <c r="E203" s="157"/>
      <c r="F203" s="157"/>
      <c r="G203" s="2033"/>
      <c r="J203" s="1345"/>
      <c r="K203" s="566"/>
      <c r="L203" s="566"/>
      <c r="M203" s="566"/>
      <c r="N203" s="566"/>
      <c r="O203" s="142" t="s">
        <v>1948</v>
      </c>
      <c r="P203" s="3300"/>
      <c r="Q203" s="3301"/>
    </row>
    <row r="204" spans="1:32" ht="12" customHeight="1">
      <c r="A204" s="149"/>
      <c r="B204" s="48" t="s">
        <v>2068</v>
      </c>
      <c r="C204" s="2436" t="s">
        <v>99</v>
      </c>
      <c r="D204" s="2436"/>
      <c r="E204" s="2436"/>
      <c r="F204" s="2436"/>
      <c r="G204" s="2436"/>
      <c r="H204" s="70" t="s">
        <v>1813</v>
      </c>
      <c r="I204" s="54" t="s">
        <v>158</v>
      </c>
      <c r="K204" s="3325" t="s">
        <v>1013</v>
      </c>
      <c r="L204" s="3326"/>
      <c r="M204" s="3326"/>
      <c r="N204" s="3361"/>
      <c r="O204" s="70" t="s">
        <v>1813</v>
      </c>
      <c r="P204" s="2084" t="s">
        <v>3300</v>
      </c>
      <c r="Q204" s="700"/>
    </row>
    <row r="205" spans="1:32" ht="12" customHeight="1">
      <c r="A205" s="149"/>
      <c r="B205" s="2041"/>
      <c r="C205" s="110"/>
      <c r="D205" s="110"/>
      <c r="E205" s="110"/>
      <c r="F205" s="110"/>
      <c r="H205" s="70" t="s">
        <v>1814</v>
      </c>
      <c r="I205" s="54" t="s">
        <v>1663</v>
      </c>
      <c r="K205" s="3362" t="s">
        <v>4728</v>
      </c>
      <c r="L205" s="3363"/>
      <c r="M205" s="3363"/>
      <c r="N205" s="3364"/>
      <c r="O205" s="70" t="s">
        <v>1814</v>
      </c>
      <c r="P205" s="2086" t="s">
        <v>3297</v>
      </c>
      <c r="Q205" s="702"/>
    </row>
    <row r="206" spans="1:32" ht="12" customHeight="1">
      <c r="B206" s="151" t="s">
        <v>1946</v>
      </c>
      <c r="D206" s="151"/>
      <c r="E206" s="151"/>
      <c r="F206" s="151"/>
      <c r="G206" s="151"/>
      <c r="J206" s="2041"/>
      <c r="K206" s="2041"/>
      <c r="L206" s="2029"/>
      <c r="M206" s="2029"/>
      <c r="N206" s="2029"/>
      <c r="O206" s="2029"/>
      <c r="P206" s="2029"/>
      <c r="Q206" s="1343"/>
    </row>
    <row r="207" spans="1:32" ht="11.45" customHeight="1">
      <c r="A207" s="2539" t="s">
        <v>4729</v>
      </c>
      <c r="B207" s="2540"/>
      <c r="C207" s="2540"/>
      <c r="D207" s="2540"/>
      <c r="E207" s="2540"/>
      <c r="F207" s="2540"/>
      <c r="G207" s="2540"/>
      <c r="H207" s="2540"/>
      <c r="I207" s="2540"/>
      <c r="J207" s="2540"/>
      <c r="K207" s="2540"/>
      <c r="L207" s="2540"/>
      <c r="M207" s="2540"/>
      <c r="N207" s="2540"/>
      <c r="O207" s="2540"/>
      <c r="P207" s="2540"/>
      <c r="Q207" s="2541"/>
      <c r="U207" s="146"/>
      <c r="V207" s="146"/>
      <c r="W207" s="146"/>
      <c r="X207" s="146"/>
      <c r="Y207" s="146"/>
      <c r="Z207" s="146"/>
      <c r="AA207" s="146"/>
      <c r="AB207" s="146"/>
      <c r="AC207" s="146"/>
      <c r="AD207" s="146"/>
      <c r="AE207" s="529"/>
    </row>
    <row r="208" spans="1:32" ht="12" customHeight="1">
      <c r="B208" s="147" t="s">
        <v>1947</v>
      </c>
      <c r="C208" s="148"/>
      <c r="D208" s="2033"/>
      <c r="E208" s="2033"/>
      <c r="F208" s="2033"/>
      <c r="G208" s="2033"/>
      <c r="H208" s="2033"/>
      <c r="I208" s="2033"/>
      <c r="J208" s="2033"/>
      <c r="K208" s="2033"/>
      <c r="L208" s="2033"/>
      <c r="M208" s="2033"/>
      <c r="N208" s="2033"/>
      <c r="O208" s="2033"/>
      <c r="P208" s="2033"/>
      <c r="Q208" s="2033"/>
    </row>
    <row r="209" spans="1:31" ht="11.45" customHeight="1">
      <c r="A209" s="2513"/>
      <c r="B209" s="2514"/>
      <c r="C209" s="2514"/>
      <c r="D209" s="2514"/>
      <c r="E209" s="2514"/>
      <c r="F209" s="2514"/>
      <c r="G209" s="2514"/>
      <c r="H209" s="2514"/>
      <c r="I209" s="2514"/>
      <c r="J209" s="2514"/>
      <c r="K209" s="2514"/>
      <c r="L209" s="2514"/>
      <c r="M209" s="2514"/>
      <c r="N209" s="2514"/>
      <c r="O209" s="2514"/>
      <c r="P209" s="2514"/>
      <c r="Q209" s="2515"/>
    </row>
    <row r="210" spans="1:31" ht="4.1500000000000004" customHeight="1">
      <c r="B210" s="2041"/>
      <c r="C210" s="2033"/>
      <c r="D210" s="2033"/>
      <c r="E210" s="2033"/>
      <c r="F210" s="2033"/>
      <c r="G210" s="2033"/>
      <c r="H210" s="2033"/>
      <c r="I210" s="2033"/>
      <c r="J210" s="2033"/>
      <c r="K210" s="2033"/>
      <c r="L210" s="2033"/>
      <c r="M210" s="2033"/>
      <c r="Q210" s="1343"/>
    </row>
    <row r="211" spans="1:31" ht="13.9" customHeight="1">
      <c r="A211" s="2037">
        <v>12</v>
      </c>
      <c r="B211" s="4" t="s">
        <v>2766</v>
      </c>
      <c r="C211" s="4"/>
      <c r="D211" s="92"/>
      <c r="E211" s="92"/>
      <c r="F211" s="92"/>
      <c r="G211" s="2033"/>
      <c r="H211" s="2033"/>
      <c r="I211" s="2033"/>
      <c r="J211" s="2033"/>
      <c r="K211" s="2033"/>
      <c r="L211" s="2033"/>
      <c r="M211" s="2033"/>
      <c r="O211" s="142" t="s">
        <v>1948</v>
      </c>
      <c r="P211" s="3300"/>
      <c r="Q211" s="3301"/>
    </row>
    <row r="212" spans="1:31" ht="4.1500000000000004" customHeight="1"/>
    <row r="213" spans="1:31" ht="11.45" customHeight="1">
      <c r="B213" s="152" t="s">
        <v>2068</v>
      </c>
      <c r="C213" s="677" t="s">
        <v>1813</v>
      </c>
      <c r="D213" s="452" t="s">
        <v>539</v>
      </c>
      <c r="E213" s="452"/>
      <c r="F213" s="452"/>
      <c r="G213" s="452"/>
      <c r="H213" s="452"/>
      <c r="I213" s="452"/>
      <c r="J213" s="452"/>
      <c r="K213" s="452"/>
      <c r="L213" s="452"/>
      <c r="M213" s="452"/>
      <c r="N213" s="452"/>
      <c r="O213" s="174" t="s">
        <v>1552</v>
      </c>
      <c r="P213" s="2084" t="s">
        <v>3300</v>
      </c>
      <c r="Q213" s="700"/>
    </row>
    <row r="214" spans="1:31" ht="11.45" customHeight="1">
      <c r="B214" s="152"/>
      <c r="C214" s="677" t="s">
        <v>1814</v>
      </c>
      <c r="D214" s="452" t="s">
        <v>1532</v>
      </c>
      <c r="E214" s="452"/>
      <c r="F214" s="452"/>
      <c r="G214" s="452"/>
      <c r="H214" s="452"/>
      <c r="I214" s="452"/>
      <c r="J214" s="452"/>
      <c r="K214" s="452"/>
      <c r="L214" s="452"/>
      <c r="M214" s="452"/>
      <c r="N214" s="452"/>
      <c r="O214" s="174" t="s">
        <v>1814</v>
      </c>
      <c r="P214" s="2085"/>
      <c r="Q214" s="701"/>
    </row>
    <row r="215" spans="1:31" ht="11.45" customHeight="1">
      <c r="A215" s="149"/>
      <c r="B215" s="152" t="s">
        <v>2071</v>
      </c>
      <c r="C215" s="2436" t="s">
        <v>1929</v>
      </c>
      <c r="D215" s="2436"/>
      <c r="E215" s="2436"/>
      <c r="F215" s="2436"/>
      <c r="G215" s="2436"/>
      <c r="H215" s="70" t="s">
        <v>1813</v>
      </c>
      <c r="I215" s="54" t="s">
        <v>665</v>
      </c>
      <c r="K215" s="3325" t="s">
        <v>4444</v>
      </c>
      <c r="L215" s="3326"/>
      <c r="M215" s="3326"/>
      <c r="N215" s="3361"/>
      <c r="O215" s="70" t="s">
        <v>1510</v>
      </c>
      <c r="P215" s="2085" t="s">
        <v>3297</v>
      </c>
      <c r="Q215" s="701"/>
    </row>
    <row r="216" spans="1:31" ht="11.45" customHeight="1">
      <c r="A216" s="149"/>
      <c r="B216" s="161"/>
      <c r="C216" s="2436"/>
      <c r="D216" s="2436"/>
      <c r="E216" s="2436"/>
      <c r="F216" s="2436"/>
      <c r="G216" s="2436"/>
      <c r="H216" s="70" t="s">
        <v>1814</v>
      </c>
      <c r="I216" s="54" t="s">
        <v>118</v>
      </c>
      <c r="K216" s="3362" t="s">
        <v>1922</v>
      </c>
      <c r="L216" s="3363"/>
      <c r="M216" s="3363"/>
      <c r="N216" s="3364"/>
      <c r="O216" s="70" t="s">
        <v>1814</v>
      </c>
      <c r="P216" s="2086" t="s">
        <v>3297</v>
      </c>
      <c r="Q216" s="702"/>
    </row>
    <row r="217" spans="1:31" ht="11.25" customHeight="1">
      <c r="B217" s="151" t="s">
        <v>1946</v>
      </c>
      <c r="D217" s="151"/>
      <c r="E217" s="151"/>
      <c r="F217" s="151"/>
      <c r="G217" s="151"/>
      <c r="H217" s="41"/>
      <c r="I217" s="2041"/>
      <c r="J217" s="2041"/>
      <c r="K217" s="2041"/>
      <c r="L217" s="2029"/>
      <c r="M217" s="2029"/>
      <c r="N217" s="2029"/>
      <c r="O217" s="2029"/>
      <c r="P217" s="2029"/>
      <c r="Q217" s="1343"/>
    </row>
    <row r="218" spans="1:31" ht="11.45" customHeight="1">
      <c r="A218" s="2539" t="s">
        <v>4730</v>
      </c>
      <c r="B218" s="2540"/>
      <c r="C218" s="2540"/>
      <c r="D218" s="2540"/>
      <c r="E218" s="2540"/>
      <c r="F218" s="2540"/>
      <c r="G218" s="2540"/>
      <c r="H218" s="2540"/>
      <c r="I218" s="2540"/>
      <c r="J218" s="2540"/>
      <c r="K218" s="2540"/>
      <c r="L218" s="2540"/>
      <c r="M218" s="2540"/>
      <c r="N218" s="2540"/>
      <c r="O218" s="2540"/>
      <c r="P218" s="2540"/>
      <c r="Q218" s="2541"/>
      <c r="U218" s="146"/>
      <c r="V218" s="146"/>
      <c r="W218" s="146"/>
      <c r="X218" s="146"/>
      <c r="Y218" s="146"/>
      <c r="Z218" s="146"/>
      <c r="AA218" s="146"/>
      <c r="AB218" s="146"/>
      <c r="AC218" s="146"/>
      <c r="AD218" s="146"/>
      <c r="AE218" s="529"/>
    </row>
    <row r="219" spans="1:31" ht="11.25" customHeight="1">
      <c r="B219" s="147" t="s">
        <v>1947</v>
      </c>
      <c r="C219" s="148"/>
      <c r="D219" s="2033"/>
      <c r="E219" s="2033"/>
      <c r="F219" s="2033"/>
      <c r="G219" s="2033"/>
      <c r="H219" s="2033"/>
      <c r="I219" s="2033"/>
      <c r="J219" s="2033"/>
      <c r="K219" s="2033"/>
      <c r="L219" s="2033"/>
      <c r="M219" s="2033"/>
      <c r="N219" s="2033"/>
      <c r="O219" s="2033"/>
      <c r="P219" s="2033"/>
      <c r="Q219" s="2033"/>
    </row>
    <row r="220" spans="1:31" ht="11.45" customHeight="1">
      <c r="A220" s="2513"/>
      <c r="B220" s="2514"/>
      <c r="C220" s="2514"/>
      <c r="D220" s="2514"/>
      <c r="E220" s="2514"/>
      <c r="F220" s="2514"/>
      <c r="G220" s="2514"/>
      <c r="H220" s="2514"/>
      <c r="I220" s="2514"/>
      <c r="J220" s="2514"/>
      <c r="K220" s="2514"/>
      <c r="L220" s="2514"/>
      <c r="M220" s="2514"/>
      <c r="N220" s="2514"/>
      <c r="O220" s="2514"/>
      <c r="P220" s="2514"/>
      <c r="Q220" s="2515"/>
    </row>
    <row r="221" spans="1:31" ht="3" customHeight="1">
      <c r="A221" s="2029"/>
      <c r="B221" s="2041"/>
      <c r="C221" s="2033"/>
      <c r="D221" s="2033"/>
      <c r="E221" s="2033"/>
      <c r="F221" s="2033"/>
      <c r="G221" s="2033"/>
      <c r="H221" s="2033"/>
      <c r="I221" s="2033"/>
      <c r="J221" s="2033"/>
      <c r="K221" s="2033"/>
      <c r="L221" s="2033"/>
      <c r="M221" s="2033"/>
      <c r="Q221" s="2029"/>
    </row>
    <row r="222" spans="1:31" ht="13.9" customHeight="1">
      <c r="A222" s="2037">
        <v>13</v>
      </c>
      <c r="B222" s="4" t="s">
        <v>2767</v>
      </c>
      <c r="C222" s="4"/>
      <c r="D222" s="92"/>
      <c r="E222" s="92"/>
      <c r="F222" s="92"/>
      <c r="G222" s="92"/>
      <c r="H222" s="2033"/>
      <c r="I222" s="2033"/>
      <c r="J222" s="2033"/>
      <c r="K222" s="2033"/>
      <c r="L222" s="2033"/>
      <c r="M222" s="2033"/>
      <c r="O222" s="142" t="s">
        <v>1948</v>
      </c>
      <c r="P222" s="3300"/>
      <c r="Q222" s="3301"/>
    </row>
    <row r="223" spans="1:31" ht="10.9" customHeight="1">
      <c r="B223" s="155" t="s">
        <v>149</v>
      </c>
    </row>
    <row r="224" spans="1:31" ht="11.45" customHeight="1">
      <c r="B224" s="48" t="s">
        <v>2068</v>
      </c>
      <c r="C224" s="54" t="s">
        <v>3206</v>
      </c>
      <c r="D224" s="43"/>
      <c r="E224" s="54"/>
      <c r="F224" s="54"/>
      <c r="G224" s="54"/>
      <c r="H224" s="54"/>
      <c r="I224" s="43"/>
      <c r="J224" s="43"/>
      <c r="K224" s="43"/>
      <c r="L224" s="1294"/>
      <c r="M224" s="1294"/>
      <c r="O224" s="174" t="s">
        <v>2068</v>
      </c>
      <c r="P224" s="2074" t="s">
        <v>3297</v>
      </c>
      <c r="Q224" s="697"/>
    </row>
    <row r="225" spans="1:32" ht="11.45" customHeight="1">
      <c r="B225" s="48"/>
      <c r="C225" s="54"/>
      <c r="D225" s="37" t="s">
        <v>3186</v>
      </c>
      <c r="E225" s="54"/>
      <c r="F225" s="54"/>
      <c r="G225" s="3365" t="s">
        <v>4731</v>
      </c>
      <c r="H225" s="3366"/>
      <c r="L225" s="2442" t="s">
        <v>4093</v>
      </c>
      <c r="M225" s="3365"/>
      <c r="N225" s="3366"/>
    </row>
    <row r="226" spans="1:32" ht="11.45" customHeight="1">
      <c r="B226" s="48"/>
      <c r="C226" s="54"/>
      <c r="D226" s="57" t="s">
        <v>3188</v>
      </c>
      <c r="E226" s="54"/>
      <c r="F226" s="54"/>
      <c r="G226" s="3367" t="s">
        <v>4732</v>
      </c>
      <c r="H226" s="3368"/>
      <c r="I226" s="3323"/>
      <c r="J226" s="3323"/>
      <c r="K226" s="3324"/>
      <c r="L226" s="2442"/>
      <c r="M226" s="3367"/>
      <c r="N226" s="3368"/>
      <c r="O226" s="3323"/>
      <c r="P226" s="3323"/>
      <c r="Q226" s="3324"/>
    </row>
    <row r="227" spans="1:32" ht="11.45" customHeight="1">
      <c r="B227" s="48"/>
      <c r="C227" s="54"/>
      <c r="D227" s="37" t="s">
        <v>3187</v>
      </c>
      <c r="E227" s="43"/>
      <c r="G227" s="3365">
        <v>42131</v>
      </c>
      <c r="H227" s="3366"/>
      <c r="I227" s="37"/>
      <c r="J227" s="43"/>
      <c r="K227" s="43"/>
      <c r="L227" s="2442"/>
      <c r="M227" s="3365"/>
      <c r="N227" s="3366"/>
    </row>
    <row r="228" spans="1:32" ht="11.45" customHeight="1">
      <c r="B228" s="48" t="s">
        <v>2071</v>
      </c>
      <c r="C228" s="54" t="s">
        <v>3039</v>
      </c>
      <c r="D228" s="54"/>
      <c r="E228" s="54"/>
      <c r="F228" s="54"/>
      <c r="G228" s="54"/>
      <c r="H228" s="54"/>
      <c r="I228" s="43"/>
      <c r="J228" s="43"/>
      <c r="K228" s="43"/>
      <c r="L228" s="150"/>
      <c r="M228" s="150"/>
      <c r="O228" s="174" t="s">
        <v>2071</v>
      </c>
      <c r="P228" s="2084" t="s">
        <v>3297</v>
      </c>
      <c r="Q228" s="700"/>
    </row>
    <row r="229" spans="1:32" ht="11.45" customHeight="1">
      <c r="B229" s="48" t="s">
        <v>786</v>
      </c>
      <c r="C229" s="54" t="s">
        <v>3040</v>
      </c>
      <c r="D229" s="54"/>
      <c r="E229" s="54"/>
      <c r="F229" s="54"/>
      <c r="G229" s="54"/>
      <c r="H229" s="54"/>
      <c r="I229" s="43"/>
      <c r="J229" s="43"/>
      <c r="K229" s="43"/>
      <c r="L229" s="150"/>
      <c r="M229" s="150"/>
      <c r="O229" s="174" t="s">
        <v>786</v>
      </c>
      <c r="P229" s="2085" t="s">
        <v>3297</v>
      </c>
      <c r="Q229" s="701"/>
    </row>
    <row r="230" spans="1:32" s="158" customFormat="1" ht="11.45" customHeight="1">
      <c r="B230" s="48" t="s">
        <v>2203</v>
      </c>
      <c r="C230" s="54" t="s">
        <v>3945</v>
      </c>
      <c r="D230" s="54"/>
      <c r="E230" s="54"/>
      <c r="F230" s="54"/>
      <c r="G230" s="54"/>
      <c r="H230" s="54"/>
      <c r="I230" s="100"/>
      <c r="J230" s="100"/>
      <c r="K230" s="100"/>
      <c r="L230" s="1294"/>
      <c r="M230" s="1294"/>
      <c r="N230" s="36"/>
      <c r="O230" s="527" t="s">
        <v>2203</v>
      </c>
      <c r="P230" s="2085" t="s">
        <v>3297</v>
      </c>
      <c r="Q230" s="701"/>
      <c r="AE230" s="531"/>
      <c r="AF230" s="531"/>
    </row>
    <row r="231" spans="1:32" s="158" customFormat="1" ht="11.45" customHeight="1">
      <c r="B231" s="48" t="s">
        <v>1811</v>
      </c>
      <c r="C231" s="54" t="s">
        <v>150</v>
      </c>
      <c r="D231" s="54"/>
      <c r="E231" s="54"/>
      <c r="F231" s="54"/>
      <c r="G231" s="54"/>
      <c r="H231" s="54"/>
      <c r="I231" s="100"/>
      <c r="J231" s="100"/>
      <c r="K231" s="100"/>
      <c r="L231" s="100"/>
      <c r="M231" s="100"/>
      <c r="O231" s="527" t="s">
        <v>1811</v>
      </c>
      <c r="P231" s="2086" t="s">
        <v>3297</v>
      </c>
      <c r="Q231" s="702"/>
      <c r="AE231" s="531"/>
      <c r="AF231" s="531"/>
    </row>
    <row r="232" spans="1:32" ht="11.25" customHeight="1">
      <c r="B232" s="151" t="s">
        <v>1946</v>
      </c>
      <c r="D232" s="151"/>
      <c r="E232" s="151"/>
      <c r="F232" s="151"/>
      <c r="G232" s="151"/>
      <c r="H232" s="41"/>
      <c r="I232" s="2041"/>
      <c r="J232" s="2041"/>
      <c r="K232" s="2041"/>
      <c r="L232" s="2029"/>
      <c r="M232" s="2029"/>
      <c r="N232" s="2029"/>
      <c r="O232" s="2029"/>
      <c r="P232" s="2029"/>
      <c r="Q232" s="1343"/>
    </row>
    <row r="233" spans="1:32" ht="13.15" customHeight="1">
      <c r="A233" s="2539" t="s">
        <v>4733</v>
      </c>
      <c r="B233" s="2540"/>
      <c r="C233" s="2540"/>
      <c r="D233" s="2540"/>
      <c r="E233" s="2540"/>
      <c r="F233" s="2540"/>
      <c r="G233" s="2540"/>
      <c r="H233" s="2540"/>
      <c r="I233" s="2540"/>
      <c r="J233" s="2540"/>
      <c r="K233" s="2540"/>
      <c r="L233" s="2540"/>
      <c r="M233" s="2540"/>
      <c r="N233" s="2540"/>
      <c r="O233" s="2540"/>
      <c r="P233" s="2540"/>
      <c r="Q233" s="2541"/>
      <c r="R233" s="499" t="s">
        <v>1308</v>
      </c>
      <c r="S233" s="499"/>
      <c r="U233" s="146"/>
      <c r="V233" s="146"/>
      <c r="W233" s="146"/>
      <c r="X233" s="146"/>
      <c r="Y233" s="146"/>
      <c r="Z233" s="146"/>
      <c r="AA233" s="146"/>
      <c r="AB233" s="146"/>
      <c r="AC233" s="146"/>
      <c r="AD233" s="146"/>
      <c r="AE233" s="529"/>
    </row>
    <row r="234" spans="1:32" s="28" customFormat="1" ht="3" customHeight="1">
      <c r="C234" s="125"/>
      <c r="D234" s="125"/>
      <c r="R234" s="499"/>
      <c r="S234" s="499"/>
      <c r="AE234" s="125"/>
      <c r="AF234" s="125"/>
    </row>
    <row r="235" spans="1:32" ht="11.25" customHeight="1">
      <c r="B235" s="147" t="s">
        <v>1947</v>
      </c>
      <c r="C235" s="148"/>
      <c r="D235" s="2033"/>
      <c r="E235" s="2033"/>
      <c r="F235" s="2033"/>
      <c r="G235" s="2033"/>
      <c r="H235" s="2033"/>
      <c r="I235" s="2033"/>
      <c r="J235" s="2033"/>
      <c r="K235" s="2033"/>
      <c r="L235" s="2033"/>
      <c r="M235" s="2033"/>
      <c r="N235" s="2033"/>
      <c r="O235" s="2033"/>
      <c r="P235" s="2033"/>
      <c r="Q235" s="2033"/>
    </row>
    <row r="236" spans="1:32" ht="13.15" customHeight="1">
      <c r="A236" s="2513"/>
      <c r="B236" s="2514"/>
      <c r="C236" s="2514"/>
      <c r="D236" s="2514"/>
      <c r="E236" s="2514"/>
      <c r="F236" s="2514"/>
      <c r="G236" s="2514"/>
      <c r="H236" s="2514"/>
      <c r="I236" s="2514"/>
      <c r="J236" s="2514"/>
      <c r="K236" s="2514"/>
      <c r="L236" s="2514"/>
      <c r="M236" s="2514"/>
      <c r="N236" s="2514"/>
      <c r="O236" s="2514"/>
      <c r="P236" s="2514"/>
      <c r="Q236" s="2515"/>
    </row>
    <row r="237" spans="1:32" ht="3" customHeight="1">
      <c r="A237" s="2029"/>
      <c r="B237" s="2041"/>
      <c r="C237" s="2033"/>
      <c r="D237" s="2033"/>
      <c r="E237" s="2033"/>
      <c r="F237" s="2033"/>
      <c r="G237" s="2033"/>
      <c r="H237" s="2033"/>
      <c r="I237" s="2033"/>
      <c r="J237" s="2033"/>
      <c r="K237" s="2033"/>
      <c r="L237" s="2033"/>
      <c r="M237" s="2033"/>
      <c r="Q237" s="2029"/>
    </row>
    <row r="238" spans="1:32" ht="13.9" customHeight="1">
      <c r="A238" s="2037">
        <v>14</v>
      </c>
      <c r="B238" s="2037" t="s">
        <v>2768</v>
      </c>
      <c r="C238" s="121"/>
      <c r="D238" s="2033"/>
      <c r="E238" s="2033"/>
      <c r="F238" s="2033"/>
      <c r="G238" s="2033"/>
      <c r="H238" s="2033"/>
      <c r="I238" s="2033"/>
      <c r="J238" s="2033"/>
      <c r="K238" s="2033"/>
      <c r="L238" s="2033"/>
      <c r="M238" s="2033"/>
      <c r="O238" s="142" t="s">
        <v>1948</v>
      </c>
      <c r="P238" s="3300"/>
      <c r="Q238" s="3301"/>
    </row>
    <row r="239" spans="1:32" s="28" customFormat="1" ht="11.45" customHeight="1">
      <c r="B239" s="155" t="s">
        <v>1242</v>
      </c>
      <c r="N239" s="130"/>
      <c r="P239" s="2074" t="s">
        <v>3297</v>
      </c>
      <c r="Q239" s="697"/>
      <c r="AE239" s="125"/>
      <c r="AF239" s="125"/>
    </row>
    <row r="240" spans="1:32" ht="12" customHeight="1">
      <c r="B240" s="48" t="s">
        <v>2068</v>
      </c>
      <c r="C240" s="37" t="s">
        <v>4538</v>
      </c>
      <c r="D240" s="43"/>
      <c r="E240" s="43"/>
      <c r="F240" s="43"/>
      <c r="G240" s="43"/>
      <c r="H240" s="43"/>
      <c r="I240" s="43"/>
      <c r="J240" s="43"/>
      <c r="K240" s="43"/>
      <c r="L240" s="43"/>
      <c r="M240" s="43"/>
      <c r="O240" s="527" t="s">
        <v>2068</v>
      </c>
      <c r="P240" s="2074" t="s">
        <v>4708</v>
      </c>
      <c r="Q240" s="697"/>
    </row>
    <row r="241" spans="1:32" ht="11.45" customHeight="1">
      <c r="B241" s="48"/>
      <c r="C241" s="70" t="s">
        <v>1813</v>
      </c>
      <c r="D241" s="54" t="s">
        <v>2015</v>
      </c>
      <c r="E241" s="54"/>
      <c r="F241" s="54"/>
      <c r="G241" s="54"/>
      <c r="H241" s="54"/>
      <c r="I241" s="43"/>
      <c r="K241" s="70" t="s">
        <v>1552</v>
      </c>
      <c r="L241" s="3322" t="s">
        <v>4734</v>
      </c>
      <c r="M241" s="3324"/>
      <c r="Q241" s="700"/>
    </row>
    <row r="242" spans="1:32" ht="11.45" customHeight="1">
      <c r="B242" s="48"/>
      <c r="C242" s="70" t="s">
        <v>1814</v>
      </c>
      <c r="D242" s="1344" t="s">
        <v>2853</v>
      </c>
      <c r="E242" s="1344"/>
      <c r="F242" s="1344"/>
      <c r="G242" s="1344"/>
      <c r="H242" s="1344"/>
      <c r="I242" s="43"/>
      <c r="K242" s="70" t="s">
        <v>1553</v>
      </c>
      <c r="L242" s="3369" t="s">
        <v>4741</v>
      </c>
      <c r="M242" s="3370"/>
      <c r="N242" s="3371" t="s">
        <v>2854</v>
      </c>
      <c r="O242" s="3372"/>
      <c r="P242" s="3373"/>
      <c r="Q242" s="701"/>
    </row>
    <row r="243" spans="1:32" ht="11.45" customHeight="1">
      <c r="B243" s="48"/>
      <c r="C243" s="70" t="s">
        <v>1815</v>
      </c>
      <c r="D243" s="1344" t="s">
        <v>583</v>
      </c>
      <c r="E243" s="1344"/>
      <c r="F243" s="1344"/>
      <c r="G243" s="1344"/>
      <c r="H243" s="1344"/>
      <c r="I243" s="43"/>
      <c r="K243" s="70" t="s">
        <v>1554</v>
      </c>
      <c r="L243" s="3322" t="s">
        <v>4735</v>
      </c>
      <c r="M243" s="3323"/>
      <c r="N243" s="3374"/>
      <c r="Q243" s="702"/>
      <c r="R243" s="43"/>
    </row>
    <row r="244" spans="1:32" ht="3" customHeight="1">
      <c r="B244" s="48"/>
      <c r="C244" s="70"/>
      <c r="D244" s="54"/>
      <c r="E244" s="54"/>
      <c r="F244" s="54"/>
      <c r="G244" s="54"/>
      <c r="H244" s="54"/>
      <c r="I244" s="43"/>
      <c r="J244" s="34"/>
      <c r="K244" s="43"/>
      <c r="L244" s="34"/>
      <c r="M244" s="34"/>
    </row>
    <row r="245" spans="1:32" ht="12" customHeight="1">
      <c r="B245" s="48" t="s">
        <v>2071</v>
      </c>
      <c r="C245" s="54" t="s">
        <v>2608</v>
      </c>
      <c r="D245" s="54"/>
      <c r="E245" s="54"/>
      <c r="F245" s="54"/>
      <c r="G245" s="54"/>
      <c r="H245" s="54"/>
      <c r="I245" s="54"/>
      <c r="J245" s="54"/>
      <c r="K245" s="43"/>
      <c r="L245" s="43"/>
      <c r="M245" s="43"/>
      <c r="N245" s="43"/>
      <c r="O245" s="527" t="s">
        <v>2071</v>
      </c>
      <c r="P245" s="2074" t="s">
        <v>4708</v>
      </c>
      <c r="Q245" s="697"/>
    </row>
    <row r="246" spans="1:32" ht="10.9" customHeight="1">
      <c r="B246" s="48"/>
      <c r="C246" s="54" t="s">
        <v>4131</v>
      </c>
      <c r="D246" s="54"/>
      <c r="E246" s="54"/>
      <c r="F246" s="54"/>
      <c r="G246" s="54"/>
      <c r="H246" s="54"/>
      <c r="I246" s="54"/>
      <c r="J246" s="54"/>
      <c r="K246" s="43"/>
      <c r="L246" s="43"/>
      <c r="M246" s="43"/>
      <c r="N246" s="43"/>
      <c r="O246" s="43"/>
      <c r="P246" s="2469" t="s">
        <v>3</v>
      </c>
      <c r="Q246" s="2469"/>
    </row>
    <row r="247" spans="1:32" ht="10.9" customHeight="1">
      <c r="B247" s="48"/>
      <c r="D247" s="54" t="s">
        <v>2</v>
      </c>
      <c r="E247" s="54"/>
      <c r="F247" s="54"/>
      <c r="G247" s="54"/>
      <c r="I247" s="323" t="s">
        <v>811</v>
      </c>
      <c r="J247" s="324" t="s">
        <v>812</v>
      </c>
      <c r="L247" s="54" t="s">
        <v>2855</v>
      </c>
      <c r="M247" s="43"/>
      <c r="N247" s="43"/>
      <c r="O247" s="323"/>
      <c r="P247" s="325" t="s">
        <v>811</v>
      </c>
      <c r="Q247" s="324" t="s">
        <v>812</v>
      </c>
    </row>
    <row r="248" spans="1:32" s="44" customFormat="1" ht="11.45" customHeight="1">
      <c r="A248" s="100"/>
      <c r="B248" s="53"/>
      <c r="C248" s="70" t="s">
        <v>1813</v>
      </c>
      <c r="D248" s="3375" t="s">
        <v>4736</v>
      </c>
      <c r="E248" s="3376"/>
      <c r="F248" s="3376"/>
      <c r="G248" s="3376"/>
      <c r="H248" s="3377"/>
      <c r="I248" s="3378"/>
      <c r="J248" s="3379"/>
      <c r="K248" s="70" t="s">
        <v>1815</v>
      </c>
      <c r="L248" s="3375" t="s">
        <v>4739</v>
      </c>
      <c r="M248" s="3376"/>
      <c r="N248" s="3376"/>
      <c r="O248" s="3377"/>
      <c r="P248" s="700"/>
      <c r="Q248" s="3379"/>
      <c r="AE248" s="56"/>
      <c r="AF248" s="56"/>
    </row>
    <row r="249" spans="1:32" s="44" customFormat="1" ht="11.45" customHeight="1">
      <c r="A249" s="100"/>
      <c r="B249" s="53"/>
      <c r="C249" s="70" t="s">
        <v>1814</v>
      </c>
      <c r="D249" s="3380" t="s">
        <v>4737</v>
      </c>
      <c r="E249" s="3381"/>
      <c r="F249" s="3381"/>
      <c r="G249" s="3381"/>
      <c r="H249" s="3382"/>
      <c r="I249" s="3383"/>
      <c r="J249" s="3384"/>
      <c r="K249" s="70" t="s">
        <v>2459</v>
      </c>
      <c r="L249" s="3380" t="s">
        <v>4740</v>
      </c>
      <c r="M249" s="3381"/>
      <c r="N249" s="3381"/>
      <c r="O249" s="3382"/>
      <c r="P249" s="702"/>
      <c r="Q249" s="338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786</v>
      </c>
      <c r="C251" s="54" t="s">
        <v>1438</v>
      </c>
      <c r="D251" s="54"/>
      <c r="E251" s="54"/>
      <c r="F251" s="54"/>
      <c r="G251" s="54"/>
      <c r="H251" s="54"/>
      <c r="I251" s="54"/>
      <c r="J251" s="54"/>
      <c r="K251" s="43"/>
      <c r="L251" s="54"/>
      <c r="M251" s="54"/>
      <c r="O251" s="527" t="s">
        <v>786</v>
      </c>
      <c r="P251" s="2084" t="s">
        <v>4708</v>
      </c>
      <c r="Q251" s="700"/>
    </row>
    <row r="252" spans="1:32" ht="11.45" customHeight="1">
      <c r="B252" s="48"/>
      <c r="C252" s="70" t="s">
        <v>1813</v>
      </c>
      <c r="D252" s="54" t="s">
        <v>3880</v>
      </c>
      <c r="E252" s="54"/>
      <c r="F252" s="54"/>
      <c r="G252" s="54"/>
      <c r="H252" s="54"/>
      <c r="I252" s="43"/>
      <c r="J252" s="34"/>
      <c r="K252" s="43"/>
      <c r="L252" s="34"/>
      <c r="M252" s="34"/>
      <c r="O252" s="70" t="s">
        <v>1813</v>
      </c>
      <c r="P252" s="2085" t="s">
        <v>3297</v>
      </c>
      <c r="Q252" s="701"/>
    </row>
    <row r="253" spans="1:32" ht="11.45" customHeight="1">
      <c r="C253" s="70" t="s">
        <v>1814</v>
      </c>
      <c r="D253" s="1344" t="s">
        <v>3041</v>
      </c>
      <c r="E253" s="1344"/>
      <c r="F253" s="1344"/>
      <c r="G253" s="1344"/>
      <c r="H253" s="1344"/>
      <c r="I253" s="43"/>
      <c r="J253" s="34"/>
      <c r="K253" s="43"/>
      <c r="L253" s="34"/>
      <c r="M253" s="34"/>
      <c r="O253" s="70" t="s">
        <v>1814</v>
      </c>
      <c r="P253" s="2085" t="s">
        <v>3297</v>
      </c>
      <c r="Q253" s="701"/>
    </row>
    <row r="254" spans="1:32" ht="11.45" customHeight="1">
      <c r="C254" s="70" t="s">
        <v>1815</v>
      </c>
      <c r="D254" s="1344" t="s">
        <v>3042</v>
      </c>
      <c r="E254" s="1344"/>
      <c r="F254" s="1344"/>
      <c r="G254" s="1344"/>
      <c r="H254" s="1344"/>
      <c r="I254" s="43"/>
      <c r="J254" s="34"/>
      <c r="K254" s="43"/>
      <c r="L254" s="34"/>
      <c r="M254" s="34"/>
      <c r="O254" s="70" t="s">
        <v>1815</v>
      </c>
      <c r="P254" s="2085" t="s">
        <v>3297</v>
      </c>
      <c r="Q254" s="701"/>
    </row>
    <row r="255" spans="1:32" ht="11.45" customHeight="1">
      <c r="B255" s="48"/>
      <c r="C255" s="70" t="s">
        <v>2459</v>
      </c>
      <c r="D255" s="1344" t="s">
        <v>3043</v>
      </c>
      <c r="E255" s="1344"/>
      <c r="F255" s="1344"/>
      <c r="G255" s="1344"/>
      <c r="H255" s="1344"/>
      <c r="I255" s="43"/>
      <c r="J255" s="34"/>
      <c r="K255" s="43"/>
      <c r="L255" s="34"/>
      <c r="M255" s="34"/>
      <c r="O255" s="70" t="s">
        <v>2459</v>
      </c>
      <c r="P255" s="2085" t="s">
        <v>3297</v>
      </c>
      <c r="Q255" s="701"/>
    </row>
    <row r="256" spans="1:32" ht="11.45" customHeight="1">
      <c r="B256" s="48"/>
      <c r="C256" s="70" t="s">
        <v>1616</v>
      </c>
      <c r="D256" s="1344" t="s">
        <v>3044</v>
      </c>
      <c r="E256" s="1344"/>
      <c r="F256" s="1344"/>
      <c r="G256" s="1344"/>
      <c r="H256" s="1344"/>
      <c r="I256" s="43"/>
      <c r="J256" s="34"/>
      <c r="K256" s="43"/>
      <c r="L256" s="34"/>
      <c r="M256" s="34"/>
      <c r="O256" s="70" t="s">
        <v>1616</v>
      </c>
      <c r="P256" s="2085" t="s">
        <v>3297</v>
      </c>
      <c r="Q256" s="701"/>
    </row>
    <row r="257" spans="1:31" ht="11.45" customHeight="1">
      <c r="B257" s="48"/>
      <c r="C257" s="527" t="s">
        <v>1617</v>
      </c>
      <c r="D257" s="54" t="s">
        <v>813</v>
      </c>
      <c r="E257" s="54"/>
      <c r="F257" s="54"/>
      <c r="G257" s="54"/>
      <c r="H257" s="54"/>
      <c r="I257" s="43"/>
      <c r="J257" s="34"/>
      <c r="K257" s="43"/>
      <c r="L257" s="34"/>
      <c r="M257" s="34"/>
      <c r="O257" s="527" t="s">
        <v>3029</v>
      </c>
      <c r="P257" s="2085" t="s">
        <v>3297</v>
      </c>
      <c r="Q257" s="701"/>
    </row>
    <row r="258" spans="1:31" ht="11.45" customHeight="1">
      <c r="B258" s="48"/>
      <c r="C258" s="70"/>
      <c r="D258" s="54" t="s">
        <v>1555</v>
      </c>
      <c r="E258" s="54"/>
      <c r="F258" s="54"/>
      <c r="G258" s="54"/>
      <c r="H258" s="54"/>
      <c r="I258" s="43"/>
      <c r="J258" s="34"/>
      <c r="K258" s="43"/>
      <c r="L258" s="34"/>
      <c r="M258" s="34"/>
      <c r="O258" s="527" t="s">
        <v>3030</v>
      </c>
      <c r="P258" s="2086" t="s">
        <v>3300</v>
      </c>
      <c r="Q258" s="702"/>
    </row>
    <row r="259" spans="1:31" ht="3" customHeight="1">
      <c r="B259" s="48"/>
      <c r="C259" s="70"/>
      <c r="D259" s="54"/>
      <c r="E259" s="54"/>
      <c r="F259" s="54"/>
      <c r="G259" s="54"/>
      <c r="H259" s="54"/>
      <c r="I259" s="43"/>
      <c r="J259" s="34"/>
      <c r="K259" s="43"/>
      <c r="L259" s="34"/>
      <c r="M259" s="34"/>
    </row>
    <row r="260" spans="1:31" ht="12" customHeight="1">
      <c r="B260" s="48" t="s">
        <v>2203</v>
      </c>
      <c r="C260" s="54" t="s">
        <v>4445</v>
      </c>
      <c r="D260" s="54"/>
      <c r="E260" s="54"/>
      <c r="F260" s="54"/>
      <c r="G260" s="54"/>
      <c r="H260" s="54"/>
      <c r="I260" s="54"/>
      <c r="J260" s="54"/>
      <c r="K260" s="43"/>
      <c r="L260" s="54"/>
      <c r="M260" s="54"/>
      <c r="O260" s="527" t="s">
        <v>2203</v>
      </c>
      <c r="P260" s="2084" t="s">
        <v>4708</v>
      </c>
      <c r="Q260" s="700"/>
    </row>
    <row r="261" spans="1:31" ht="11.45" customHeight="1">
      <c r="B261" s="48"/>
      <c r="C261" s="70" t="s">
        <v>1813</v>
      </c>
      <c r="D261" s="40" t="s">
        <v>1309</v>
      </c>
      <c r="E261" s="43"/>
      <c r="F261" s="43"/>
      <c r="G261" s="40"/>
      <c r="H261" s="1344"/>
      <c r="I261" s="43"/>
      <c r="J261" s="1344"/>
      <c r="K261" s="43"/>
      <c r="L261" s="1344"/>
      <c r="M261" s="1344"/>
      <c r="O261" s="70" t="s">
        <v>1813</v>
      </c>
      <c r="P261" s="2085" t="s">
        <v>3297</v>
      </c>
      <c r="Q261" s="701"/>
    </row>
    <row r="262" spans="1:31" ht="11.45" customHeight="1">
      <c r="B262" s="48"/>
      <c r="C262" s="70" t="s">
        <v>1814</v>
      </c>
      <c r="D262" s="40" t="s">
        <v>151</v>
      </c>
      <c r="E262" s="43"/>
      <c r="F262" s="43"/>
      <c r="G262" s="1344"/>
      <c r="H262" s="1344"/>
      <c r="I262" s="43"/>
      <c r="J262" s="1344"/>
      <c r="K262" s="43"/>
      <c r="L262" s="1344"/>
      <c r="M262" s="1344"/>
      <c r="O262" s="70" t="s">
        <v>1814</v>
      </c>
      <c r="P262" s="2085" t="s">
        <v>3297</v>
      </c>
      <c r="Q262" s="701"/>
    </row>
    <row r="263" spans="1:31" ht="11.45" customHeight="1">
      <c r="B263" s="48"/>
      <c r="C263" s="70" t="s">
        <v>1815</v>
      </c>
      <c r="D263" s="1344" t="s">
        <v>4306</v>
      </c>
      <c r="E263" s="43"/>
      <c r="F263" s="43"/>
      <c r="G263" s="1344"/>
      <c r="H263" s="1344"/>
      <c r="I263" s="43"/>
      <c r="J263" s="1344"/>
      <c r="K263" s="43"/>
      <c r="L263" s="1344"/>
      <c r="M263" s="1344"/>
      <c r="O263" s="70" t="s">
        <v>2465</v>
      </c>
      <c r="P263" s="2085" t="s">
        <v>3297</v>
      </c>
      <c r="Q263" s="701"/>
    </row>
    <row r="264" spans="1:31" ht="11.45" customHeight="1">
      <c r="B264" s="37"/>
      <c r="C264" s="43"/>
      <c r="D264" s="1344" t="s">
        <v>1341</v>
      </c>
      <c r="E264" s="43"/>
      <c r="F264" s="43"/>
      <c r="G264" s="1344"/>
      <c r="H264" s="1344"/>
      <c r="I264" s="43"/>
      <c r="J264" s="1344"/>
      <c r="K264" s="43"/>
      <c r="L264" s="1344"/>
      <c r="M264" s="1344"/>
      <c r="O264" s="70" t="s">
        <v>2466</v>
      </c>
      <c r="P264" s="2086"/>
      <c r="Q264" s="702"/>
    </row>
    <row r="265" spans="1:31" ht="11.25" customHeight="1">
      <c r="B265" s="151" t="s">
        <v>1946</v>
      </c>
      <c r="D265" s="151"/>
      <c r="E265" s="151"/>
      <c r="F265" s="151"/>
      <c r="G265" s="151"/>
      <c r="H265" s="41"/>
      <c r="I265" s="2041"/>
      <c r="J265" s="2041"/>
      <c r="K265" s="2041"/>
      <c r="L265" s="2029"/>
      <c r="M265" s="2029"/>
      <c r="N265" s="2029"/>
      <c r="O265" s="2029"/>
      <c r="P265" s="2029"/>
      <c r="Q265" s="1343"/>
    </row>
    <row r="266" spans="1:31" ht="11.45" customHeight="1">
      <c r="A266" s="2539"/>
      <c r="B266" s="2540"/>
      <c r="C266" s="2540"/>
      <c r="D266" s="2540"/>
      <c r="E266" s="2540"/>
      <c r="F266" s="2540"/>
      <c r="G266" s="2540"/>
      <c r="H266" s="2540"/>
      <c r="I266" s="2540"/>
      <c r="J266" s="2540"/>
      <c r="K266" s="2540"/>
      <c r="L266" s="2540"/>
      <c r="M266" s="2540"/>
      <c r="N266" s="2540"/>
      <c r="O266" s="2540"/>
      <c r="P266" s="2540"/>
      <c r="Q266" s="2541"/>
      <c r="R266" s="498" t="s">
        <v>1308</v>
      </c>
      <c r="S266" s="499"/>
      <c r="U266" s="146"/>
      <c r="V266" s="146"/>
      <c r="W266" s="146"/>
      <c r="X266" s="146"/>
      <c r="Y266" s="146"/>
      <c r="Z266" s="146"/>
      <c r="AA266" s="146"/>
      <c r="AB266" s="146"/>
      <c r="AC266" s="146"/>
      <c r="AD266" s="146"/>
      <c r="AE266" s="529"/>
    </row>
    <row r="267" spans="1:31" ht="11.25" customHeight="1">
      <c r="B267" s="147" t="s">
        <v>1947</v>
      </c>
      <c r="C267" s="148"/>
      <c r="D267" s="2033"/>
      <c r="E267" s="2033"/>
      <c r="F267" s="2033"/>
      <c r="G267" s="2033"/>
      <c r="H267" s="2033"/>
      <c r="I267" s="2033"/>
      <c r="J267" s="2033"/>
      <c r="K267" s="2033"/>
      <c r="L267" s="2033"/>
      <c r="M267" s="2033"/>
      <c r="N267" s="2033"/>
      <c r="O267" s="2033"/>
      <c r="P267" s="2033"/>
      <c r="Q267" s="2033"/>
    </row>
    <row r="268" spans="1:31" ht="13.15" customHeight="1">
      <c r="A268" s="2513"/>
      <c r="B268" s="2514"/>
      <c r="C268" s="2514"/>
      <c r="D268" s="2514"/>
      <c r="E268" s="2514"/>
      <c r="F268" s="2514"/>
      <c r="G268" s="2514"/>
      <c r="H268" s="2514"/>
      <c r="I268" s="2514"/>
      <c r="J268" s="2514"/>
      <c r="K268" s="2514"/>
      <c r="L268" s="2514"/>
      <c r="M268" s="2514"/>
      <c r="N268" s="2514"/>
      <c r="O268" s="2514"/>
      <c r="P268" s="2514"/>
      <c r="Q268" s="2515"/>
    </row>
    <row r="269" spans="1:31" ht="3" customHeight="1">
      <c r="A269" s="2029"/>
      <c r="B269" s="2041"/>
      <c r="C269" s="2033"/>
      <c r="D269" s="2033"/>
      <c r="E269" s="2033"/>
      <c r="F269" s="2033"/>
      <c r="G269" s="2033"/>
      <c r="H269" s="2033"/>
      <c r="I269" s="2033"/>
      <c r="J269" s="2033"/>
      <c r="K269" s="2033"/>
      <c r="L269" s="2033"/>
      <c r="M269" s="2033"/>
      <c r="Q269" s="2029"/>
    </row>
    <row r="270" spans="1:31" ht="13.9" customHeight="1">
      <c r="A270" s="2037">
        <v>15</v>
      </c>
      <c r="B270" s="4" t="s">
        <v>2769</v>
      </c>
      <c r="C270" s="4"/>
      <c r="D270" s="92"/>
      <c r="E270" s="92"/>
      <c r="F270" s="92"/>
      <c r="G270" s="92"/>
      <c r="H270" s="2033"/>
      <c r="I270" s="2033"/>
      <c r="J270" s="2033"/>
      <c r="K270" s="2033"/>
      <c r="L270" s="2033"/>
      <c r="M270" s="2033"/>
      <c r="O270" s="142" t="s">
        <v>1948</v>
      </c>
      <c r="P270" s="3300"/>
      <c r="Q270" s="3301"/>
    </row>
    <row r="271" spans="1:31" ht="4.9000000000000004" customHeight="1"/>
    <row r="272" spans="1:31" ht="11.45" customHeight="1">
      <c r="B272" s="48" t="s">
        <v>2068</v>
      </c>
      <c r="C272" s="54" t="s">
        <v>1322</v>
      </c>
      <c r="D272" s="43"/>
      <c r="E272" s="54"/>
      <c r="F272" s="54"/>
      <c r="G272" s="54"/>
      <c r="H272" s="54"/>
      <c r="I272" s="43"/>
      <c r="J272" s="43"/>
      <c r="K272" s="527" t="s">
        <v>2068</v>
      </c>
      <c r="L272" s="3325" t="s">
        <v>1847</v>
      </c>
      <c r="M272" s="3326"/>
      <c r="N272" s="3326"/>
      <c r="O272" s="3361"/>
      <c r="P272" s="3385" t="s">
        <v>1847</v>
      </c>
      <c r="Q272" s="3386"/>
    </row>
    <row r="273" spans="1:32" ht="11.45" customHeight="1">
      <c r="B273" s="48" t="s">
        <v>2071</v>
      </c>
      <c r="C273" s="54" t="s">
        <v>3045</v>
      </c>
      <c r="D273" s="54"/>
      <c r="E273" s="54"/>
      <c r="F273" s="54"/>
      <c r="G273" s="54"/>
      <c r="H273" s="54"/>
      <c r="I273" s="43"/>
      <c r="J273" s="43"/>
      <c r="K273" s="527" t="s">
        <v>2071</v>
      </c>
      <c r="L273" s="3387"/>
      <c r="M273" s="3388"/>
      <c r="N273" s="3388"/>
      <c r="O273" s="3389"/>
      <c r="P273" s="3390"/>
      <c r="Q273" s="3391"/>
    </row>
    <row r="274" spans="1:32" s="158" customFormat="1" ht="11.45" customHeight="1">
      <c r="B274" s="48" t="s">
        <v>786</v>
      </c>
      <c r="C274" s="54" t="s">
        <v>2029</v>
      </c>
      <c r="D274" s="54"/>
      <c r="E274" s="54"/>
      <c r="F274" s="54"/>
      <c r="G274" s="54"/>
      <c r="H274" s="54"/>
      <c r="I274" s="100"/>
      <c r="J274" s="100"/>
      <c r="K274" s="527" t="s">
        <v>786</v>
      </c>
      <c r="L274" s="3362"/>
      <c r="M274" s="3363"/>
      <c r="N274" s="3363"/>
      <c r="O274" s="3364"/>
      <c r="P274" s="3392"/>
      <c r="Q274" s="3393"/>
      <c r="AE274" s="531"/>
      <c r="AF274" s="531"/>
    </row>
    <row r="275" spans="1:32" s="158" customFormat="1" ht="11.45" customHeight="1">
      <c r="B275" s="48" t="s">
        <v>2203</v>
      </c>
      <c r="C275" s="54" t="s">
        <v>2643</v>
      </c>
      <c r="D275" s="54"/>
      <c r="E275" s="54"/>
      <c r="F275" s="54"/>
      <c r="G275" s="54"/>
      <c r="H275" s="54"/>
      <c r="I275" s="100"/>
      <c r="J275" s="100"/>
      <c r="K275" s="100"/>
      <c r="L275" s="100"/>
      <c r="M275" s="100"/>
      <c r="O275" s="527" t="s">
        <v>2203</v>
      </c>
      <c r="P275" s="2084"/>
      <c r="Q275" s="700"/>
      <c r="AE275" s="531"/>
      <c r="AF275" s="531"/>
    </row>
    <row r="276" spans="1:32" s="158" customFormat="1" ht="22.15" customHeight="1">
      <c r="B276" s="152" t="s">
        <v>1811</v>
      </c>
      <c r="C276" s="2436" t="s">
        <v>2882</v>
      </c>
      <c r="D276" s="2436"/>
      <c r="E276" s="2436"/>
      <c r="F276" s="2436"/>
      <c r="G276" s="2436"/>
      <c r="H276" s="2436"/>
      <c r="I276" s="2436"/>
      <c r="J276" s="2436"/>
      <c r="K276" s="2436"/>
      <c r="L276" s="2436"/>
      <c r="M276" s="2436"/>
      <c r="N276" s="2436"/>
      <c r="O276" s="174" t="s">
        <v>1811</v>
      </c>
      <c r="P276" s="2086"/>
      <c r="Q276" s="702"/>
      <c r="T276" s="531"/>
      <c r="AE276" s="531"/>
      <c r="AF276" s="531"/>
    </row>
    <row r="277" spans="1:32" ht="11.25" customHeight="1">
      <c r="B277" s="151" t="s">
        <v>1946</v>
      </c>
      <c r="D277" s="151"/>
      <c r="E277" s="151"/>
      <c r="F277" s="151"/>
      <c r="G277" s="151"/>
      <c r="H277" s="41"/>
      <c r="I277" s="2041"/>
      <c r="J277" s="2041"/>
      <c r="K277" s="2041"/>
      <c r="L277" s="2029"/>
      <c r="M277" s="2029"/>
      <c r="N277" s="2029"/>
      <c r="O277" s="2029"/>
      <c r="P277" s="2029"/>
      <c r="Q277" s="1343"/>
    </row>
    <row r="278" spans="1:32" ht="13.15" customHeight="1">
      <c r="A278" s="2539" t="s">
        <v>1013</v>
      </c>
      <c r="B278" s="2540"/>
      <c r="C278" s="2540"/>
      <c r="D278" s="2540"/>
      <c r="E278" s="2540"/>
      <c r="F278" s="2540"/>
      <c r="G278" s="2540"/>
      <c r="H278" s="2540"/>
      <c r="I278" s="2540"/>
      <c r="J278" s="2540"/>
      <c r="K278" s="2540"/>
      <c r="L278" s="2540"/>
      <c r="M278" s="2540"/>
      <c r="N278" s="2540"/>
      <c r="O278" s="2540"/>
      <c r="P278" s="2540"/>
      <c r="Q278" s="2541"/>
      <c r="R278" s="498" t="s">
        <v>1308</v>
      </c>
      <c r="S278" s="499"/>
      <c r="U278" s="146"/>
      <c r="V278" s="146"/>
      <c r="W278" s="146"/>
      <c r="X278" s="146"/>
      <c r="Y278" s="146"/>
      <c r="Z278" s="146"/>
      <c r="AA278" s="146"/>
      <c r="AB278" s="146"/>
      <c r="AC278" s="146"/>
      <c r="AD278" s="146"/>
      <c r="AE278" s="529"/>
    </row>
    <row r="279" spans="1:32" ht="10.9" customHeight="1">
      <c r="B279" s="147" t="s">
        <v>1947</v>
      </c>
      <c r="C279" s="148"/>
      <c r="D279" s="2033"/>
      <c r="E279" s="2033"/>
      <c r="F279" s="2033"/>
      <c r="G279" s="2033"/>
      <c r="H279" s="2033"/>
      <c r="I279" s="2033"/>
      <c r="J279" s="2033"/>
      <c r="K279" s="2033"/>
      <c r="L279" s="2033"/>
      <c r="M279" s="2033"/>
      <c r="N279" s="2033"/>
      <c r="O279" s="2033"/>
      <c r="P279" s="2033"/>
      <c r="Q279" s="2033"/>
    </row>
    <row r="280" spans="1:32" ht="13.15" customHeight="1">
      <c r="A280" s="2513"/>
      <c r="B280" s="2514"/>
      <c r="C280" s="2514"/>
      <c r="D280" s="2514"/>
      <c r="E280" s="2514"/>
      <c r="F280" s="2514"/>
      <c r="G280" s="2514"/>
      <c r="H280" s="2514"/>
      <c r="I280" s="2514"/>
      <c r="J280" s="2514"/>
      <c r="K280" s="2514"/>
      <c r="L280" s="2514"/>
      <c r="M280" s="2514"/>
      <c r="N280" s="2514"/>
      <c r="O280" s="2514"/>
      <c r="P280" s="2514"/>
      <c r="Q280" s="2515"/>
    </row>
    <row r="281" spans="1:32" ht="3" customHeight="1">
      <c r="A281" s="2029"/>
      <c r="B281" s="2041"/>
      <c r="C281" s="2033"/>
      <c r="D281" s="2033"/>
      <c r="E281" s="2033"/>
      <c r="F281" s="2033"/>
      <c r="G281" s="2033"/>
      <c r="H281" s="2033"/>
      <c r="I281" s="2033"/>
      <c r="J281" s="2033"/>
      <c r="K281" s="2033"/>
      <c r="L281" s="2033"/>
      <c r="M281" s="2033"/>
      <c r="Q281" s="2029"/>
    </row>
    <row r="282" spans="1:32" ht="13.9" customHeight="1">
      <c r="A282" s="2037">
        <v>16</v>
      </c>
      <c r="B282" s="4" t="s">
        <v>2770</v>
      </c>
      <c r="C282" s="4"/>
      <c r="D282" s="92"/>
      <c r="E282" s="92"/>
      <c r="F282" s="92"/>
      <c r="G282" s="92"/>
      <c r="H282" s="2033"/>
      <c r="I282" s="2033"/>
      <c r="J282" s="2033"/>
      <c r="K282" s="2033"/>
      <c r="L282" s="2033"/>
      <c r="M282" s="2033"/>
      <c r="O282" s="142" t="s">
        <v>1948</v>
      </c>
      <c r="P282" s="3300"/>
      <c r="Q282" s="3301"/>
    </row>
    <row r="283" spans="1:32" ht="3" customHeight="1"/>
    <row r="284" spans="1:32" s="462" customFormat="1" ht="21.75" customHeight="1">
      <c r="B284" s="152" t="s">
        <v>2068</v>
      </c>
      <c r="C284" s="2436" t="s">
        <v>3046</v>
      </c>
      <c r="D284" s="2436"/>
      <c r="E284" s="2436"/>
      <c r="F284" s="2436"/>
      <c r="G284" s="2436"/>
      <c r="H284" s="2436"/>
      <c r="I284" s="2436"/>
      <c r="J284" s="2436"/>
      <c r="K284" s="2436"/>
      <c r="L284" s="2436"/>
      <c r="M284" s="2436"/>
      <c r="N284" s="2436"/>
      <c r="O284" s="174" t="s">
        <v>2068</v>
      </c>
      <c r="P284" s="2093" t="s">
        <v>3297</v>
      </c>
      <c r="Q284" s="703"/>
      <c r="AE284" s="532"/>
      <c r="AF284" s="532"/>
    </row>
    <row r="285" spans="1:32" s="158" customFormat="1" ht="11.45" customHeight="1">
      <c r="B285" s="48" t="s">
        <v>2071</v>
      </c>
      <c r="C285" s="54" t="s">
        <v>1464</v>
      </c>
      <c r="D285" s="54"/>
      <c r="E285" s="54"/>
      <c r="F285" s="54"/>
      <c r="G285" s="54"/>
      <c r="H285" s="54"/>
      <c r="I285" s="54"/>
      <c r="J285" s="54"/>
      <c r="K285" s="54"/>
      <c r="L285" s="54"/>
      <c r="M285" s="54"/>
      <c r="O285" s="527" t="s">
        <v>2071</v>
      </c>
      <c r="P285" s="2086" t="s">
        <v>3297</v>
      </c>
      <c r="Q285" s="702"/>
      <c r="AE285" s="531"/>
      <c r="AF285" s="531"/>
    </row>
    <row r="286" spans="1:32" ht="11.25" customHeight="1">
      <c r="B286" s="151" t="s">
        <v>1946</v>
      </c>
      <c r="D286" s="151"/>
      <c r="E286" s="151"/>
      <c r="F286" s="151"/>
      <c r="G286" s="151"/>
      <c r="H286" s="41"/>
      <c r="I286" s="2041"/>
      <c r="J286" s="2041"/>
      <c r="K286" s="2041"/>
      <c r="L286" s="2029"/>
      <c r="M286" s="2029"/>
      <c r="N286" s="2029"/>
      <c r="O286" s="2029"/>
      <c r="P286" s="2029"/>
      <c r="Q286" s="1343"/>
    </row>
    <row r="287" spans="1:32" ht="13.15" customHeight="1">
      <c r="A287" s="2539" t="s">
        <v>4738</v>
      </c>
      <c r="B287" s="2540"/>
      <c r="C287" s="2540"/>
      <c r="D287" s="2540"/>
      <c r="E287" s="2540"/>
      <c r="F287" s="2540"/>
      <c r="G287" s="2540"/>
      <c r="H287" s="2540"/>
      <c r="I287" s="2540"/>
      <c r="J287" s="2540"/>
      <c r="K287" s="2540"/>
      <c r="L287" s="2540"/>
      <c r="M287" s="2540"/>
      <c r="N287" s="2540"/>
      <c r="O287" s="2540"/>
      <c r="P287" s="2540"/>
      <c r="Q287" s="2541"/>
      <c r="R287" s="498" t="s">
        <v>1308</v>
      </c>
      <c r="S287" s="499"/>
      <c r="U287" s="146"/>
      <c r="V287" s="146"/>
      <c r="W287" s="146"/>
      <c r="X287" s="146"/>
      <c r="Y287" s="146"/>
      <c r="Z287" s="146"/>
      <c r="AA287" s="146"/>
      <c r="AB287" s="146"/>
      <c r="AC287" s="146"/>
      <c r="AD287" s="146"/>
      <c r="AE287" s="529"/>
    </row>
    <row r="288" spans="1:32" ht="11.25" customHeight="1">
      <c r="B288" s="147" t="s">
        <v>1947</v>
      </c>
      <c r="C288" s="148"/>
      <c r="D288" s="2033"/>
      <c r="E288" s="2033"/>
      <c r="F288" s="2033"/>
      <c r="G288" s="2033"/>
      <c r="H288" s="2033"/>
      <c r="I288" s="2033"/>
      <c r="J288" s="2033"/>
      <c r="K288" s="2033"/>
      <c r="L288" s="2033"/>
      <c r="M288" s="2033"/>
      <c r="N288" s="2033"/>
      <c r="O288" s="2033"/>
      <c r="P288" s="2033"/>
      <c r="Q288" s="2033"/>
    </row>
    <row r="289" spans="1:32" ht="13.15" customHeight="1">
      <c r="A289" s="2513"/>
      <c r="B289" s="2514"/>
      <c r="C289" s="2514"/>
      <c r="D289" s="2514"/>
      <c r="E289" s="2514"/>
      <c r="F289" s="2514"/>
      <c r="G289" s="2514"/>
      <c r="H289" s="2514"/>
      <c r="I289" s="2514"/>
      <c r="J289" s="2514"/>
      <c r="K289" s="2514"/>
      <c r="L289" s="2514"/>
      <c r="M289" s="2514"/>
      <c r="N289" s="2514"/>
      <c r="O289" s="2514"/>
      <c r="P289" s="2514"/>
      <c r="Q289" s="2515"/>
    </row>
    <row r="290" spans="1:32" ht="13.9" customHeight="1">
      <c r="A290" s="2037">
        <v>17</v>
      </c>
      <c r="B290" s="2037" t="s">
        <v>2771</v>
      </c>
      <c r="C290" s="2037"/>
      <c r="D290" s="2033"/>
      <c r="E290" s="2033"/>
      <c r="F290" s="2033"/>
      <c r="G290" s="2033"/>
      <c r="H290" s="2033"/>
      <c r="I290" s="2033"/>
      <c r="J290" s="2033"/>
      <c r="K290" s="2033"/>
      <c r="L290" s="2033"/>
      <c r="M290" s="2033"/>
      <c r="O290" s="142" t="s">
        <v>1948</v>
      </c>
      <c r="P290" s="3300"/>
      <c r="Q290" s="3301"/>
    </row>
    <row r="291" spans="1:32" ht="3" customHeight="1"/>
    <row r="292" spans="1:32" s="462" customFormat="1" ht="21.75" customHeight="1">
      <c r="B292" s="152" t="s">
        <v>2068</v>
      </c>
      <c r="C292" s="2461" t="s">
        <v>3047</v>
      </c>
      <c r="D292" s="2313"/>
      <c r="E292" s="2313"/>
      <c r="F292" s="2313"/>
      <c r="G292" s="2313"/>
      <c r="H292" s="2313"/>
      <c r="I292" s="2313"/>
      <c r="J292" s="2313"/>
      <c r="K292" s="2313"/>
      <c r="L292" s="2313"/>
      <c r="M292" s="2313"/>
      <c r="N292" s="2313"/>
      <c r="O292" s="174" t="s">
        <v>2068</v>
      </c>
      <c r="P292" s="2084" t="s">
        <v>4708</v>
      </c>
      <c r="Q292" s="700"/>
      <c r="AE292" s="532"/>
      <c r="AF292" s="532"/>
    </row>
    <row r="293" spans="1:32" s="462" customFormat="1" ht="21.75" customHeight="1">
      <c r="B293" s="152" t="s">
        <v>2071</v>
      </c>
      <c r="C293" s="2461" t="s">
        <v>3048</v>
      </c>
      <c r="D293" s="2313"/>
      <c r="E293" s="2313"/>
      <c r="F293" s="2313"/>
      <c r="G293" s="2313"/>
      <c r="H293" s="2313"/>
      <c r="I293" s="2313"/>
      <c r="J293" s="2313"/>
      <c r="K293" s="2313"/>
      <c r="L293" s="2313"/>
      <c r="M293" s="2313"/>
      <c r="N293" s="2313"/>
      <c r="O293" s="174" t="s">
        <v>2071</v>
      </c>
      <c r="P293" s="2086" t="s">
        <v>4708</v>
      </c>
      <c r="Q293" s="702"/>
      <c r="AE293" s="532"/>
      <c r="AF293" s="532"/>
    </row>
    <row r="294" spans="1:32" ht="11.25" customHeight="1">
      <c r="B294" s="151" t="s">
        <v>1946</v>
      </c>
      <c r="D294" s="151"/>
      <c r="E294" s="151"/>
      <c r="F294" s="151"/>
      <c r="G294" s="151"/>
      <c r="H294" s="41"/>
      <c r="I294" s="2041"/>
      <c r="J294" s="2041"/>
      <c r="K294" s="2041"/>
      <c r="L294" s="2029"/>
      <c r="M294" s="2029"/>
      <c r="N294" s="2029"/>
      <c r="O294" s="2029"/>
      <c r="P294" s="2029"/>
      <c r="Q294" s="1343"/>
    </row>
    <row r="295" spans="1:32" ht="13.15" customHeight="1">
      <c r="A295" s="2539"/>
      <c r="B295" s="2540"/>
      <c r="C295" s="2540"/>
      <c r="D295" s="2540"/>
      <c r="E295" s="2540"/>
      <c r="F295" s="2540"/>
      <c r="G295" s="2540"/>
      <c r="H295" s="2540"/>
      <c r="I295" s="2540"/>
      <c r="J295" s="2540"/>
      <c r="K295" s="2540"/>
      <c r="L295" s="2540"/>
      <c r="M295" s="2540"/>
      <c r="N295" s="2540"/>
      <c r="O295" s="2540"/>
      <c r="P295" s="2540"/>
      <c r="Q295" s="2541"/>
      <c r="R295" s="498" t="s">
        <v>1308</v>
      </c>
      <c r="S295" s="499"/>
      <c r="U295" s="146"/>
      <c r="V295" s="146"/>
      <c r="W295" s="146"/>
      <c r="X295" s="146"/>
      <c r="Y295" s="146"/>
      <c r="Z295" s="146"/>
      <c r="AA295" s="146"/>
      <c r="AB295" s="146"/>
      <c r="AC295" s="146"/>
      <c r="AD295" s="146"/>
      <c r="AE295" s="529"/>
    </row>
    <row r="296" spans="1:32" ht="11.25" customHeight="1">
      <c r="B296" s="147" t="s">
        <v>1947</v>
      </c>
      <c r="C296" s="148"/>
      <c r="D296" s="2033"/>
      <c r="E296" s="2033"/>
      <c r="F296" s="2033"/>
      <c r="G296" s="2033"/>
      <c r="H296" s="2033"/>
      <c r="I296" s="2033"/>
      <c r="J296" s="2033"/>
      <c r="K296" s="2033"/>
      <c r="L296" s="2033"/>
      <c r="M296" s="2033"/>
      <c r="N296" s="2033"/>
      <c r="O296" s="2033"/>
      <c r="P296" s="2033"/>
      <c r="Q296" s="2033"/>
    </row>
    <row r="297" spans="1:32" ht="13.15" customHeight="1">
      <c r="A297" s="2513"/>
      <c r="B297" s="2514"/>
      <c r="C297" s="2514"/>
      <c r="D297" s="2514"/>
      <c r="E297" s="2514"/>
      <c r="F297" s="2514"/>
      <c r="G297" s="2514"/>
      <c r="H297" s="2514"/>
      <c r="I297" s="2514"/>
      <c r="J297" s="2514"/>
      <c r="K297" s="2514"/>
      <c r="L297" s="2514"/>
      <c r="M297" s="2514"/>
      <c r="N297" s="2514"/>
      <c r="O297" s="2514"/>
      <c r="P297" s="2514"/>
      <c r="Q297" s="2515"/>
    </row>
    <row r="298" spans="1:32" ht="13.9" customHeight="1">
      <c r="A298" s="2037">
        <v>18</v>
      </c>
      <c r="B298" s="2037" t="s">
        <v>2772</v>
      </c>
      <c r="C298" s="159"/>
      <c r="D298" s="2039"/>
      <c r="E298" s="2033"/>
      <c r="F298" s="2033"/>
      <c r="G298" s="2033"/>
      <c r="H298" s="2033"/>
      <c r="I298" s="2033"/>
      <c r="J298" s="2033"/>
      <c r="K298" s="2033"/>
      <c r="L298" s="2033"/>
      <c r="M298" s="2033"/>
      <c r="O298" s="142" t="s">
        <v>1948</v>
      </c>
      <c r="P298" s="3300"/>
      <c r="Q298" s="3301"/>
    </row>
    <row r="299" spans="1:32" ht="3" customHeight="1"/>
    <row r="300" spans="1:32" s="158" customFormat="1" ht="42.75" customHeight="1">
      <c r="B300" s="152" t="s">
        <v>2068</v>
      </c>
      <c r="C300" s="160" t="s">
        <v>1813</v>
      </c>
      <c r="D300" s="2461" t="s">
        <v>3946</v>
      </c>
      <c r="E300" s="2461"/>
      <c r="F300" s="2461"/>
      <c r="G300" s="2461"/>
      <c r="H300" s="2461"/>
      <c r="I300" s="2461"/>
      <c r="J300" s="2461"/>
      <c r="K300" s="2461"/>
      <c r="L300" s="2461"/>
      <c r="M300" s="2461"/>
      <c r="N300" s="2461"/>
      <c r="O300" s="174" t="s">
        <v>2857</v>
      </c>
      <c r="P300" s="2093" t="s">
        <v>3297</v>
      </c>
      <c r="Q300" s="700"/>
      <c r="AE300" s="531"/>
      <c r="AF300" s="531"/>
    </row>
    <row r="301" spans="1:32" s="462" customFormat="1" ht="21.75" customHeight="1">
      <c r="B301" s="152"/>
      <c r="C301" s="160" t="s">
        <v>1814</v>
      </c>
      <c r="D301" s="2461" t="s">
        <v>3871</v>
      </c>
      <c r="E301" s="2461"/>
      <c r="F301" s="2461"/>
      <c r="G301" s="2461"/>
      <c r="H301" s="2461"/>
      <c r="I301" s="2461"/>
      <c r="J301" s="2461"/>
      <c r="K301" s="2461"/>
      <c r="L301" s="2461"/>
      <c r="M301" s="2461"/>
      <c r="N301" s="2461"/>
      <c r="O301" s="160" t="s">
        <v>1814</v>
      </c>
      <c r="P301" s="2094" t="s">
        <v>3297</v>
      </c>
      <c r="Q301" s="704"/>
      <c r="AE301" s="532"/>
      <c r="AF301" s="532"/>
    </row>
    <row r="302" spans="1:32" s="100" customFormat="1" ht="11.25" customHeight="1">
      <c r="B302" s="48"/>
      <c r="C302" s="527" t="s">
        <v>1815</v>
      </c>
      <c r="D302" s="2468" t="s">
        <v>4307</v>
      </c>
      <c r="E302" s="2468"/>
      <c r="F302" s="2468"/>
      <c r="G302" s="2468"/>
      <c r="H302" s="2468"/>
      <c r="I302" s="2468"/>
      <c r="J302" s="2468"/>
      <c r="K302" s="2468"/>
      <c r="L302" s="2468"/>
      <c r="M302" s="2468"/>
      <c r="N302" s="2468"/>
      <c r="O302" s="527" t="s">
        <v>1815</v>
      </c>
      <c r="P302" s="3394" t="s">
        <v>3297</v>
      </c>
      <c r="Q302" s="3348"/>
      <c r="AE302" s="533"/>
      <c r="AF302" s="533"/>
    </row>
    <row r="303" spans="1:32" s="100" customFormat="1" ht="11.25" customHeight="1">
      <c r="B303" s="152" t="s">
        <v>2071</v>
      </c>
      <c r="C303" s="160" t="s">
        <v>1813</v>
      </c>
      <c r="D303" s="2461" t="s">
        <v>4308</v>
      </c>
      <c r="E303" s="2461"/>
      <c r="F303" s="2461"/>
      <c r="G303" s="2461"/>
      <c r="H303" s="2461"/>
      <c r="I303" s="2461"/>
      <c r="J303" s="2461"/>
      <c r="K303" s="2461"/>
      <c r="L303" s="2461"/>
      <c r="M303" s="2461"/>
      <c r="N303" s="2461"/>
      <c r="O303" s="527" t="s">
        <v>4310</v>
      </c>
      <c r="P303" s="2084" t="s">
        <v>3297</v>
      </c>
      <c r="Q303" s="700"/>
      <c r="AE303" s="533"/>
      <c r="AF303" s="533"/>
    </row>
    <row r="304" spans="1:32" s="100" customFormat="1" ht="11.25" customHeight="1">
      <c r="B304" s="152"/>
      <c r="C304" s="160"/>
      <c r="D304" s="2461" t="s">
        <v>4309</v>
      </c>
      <c r="E304" s="2461"/>
      <c r="F304" s="2461"/>
      <c r="G304" s="2461"/>
      <c r="H304" s="2461"/>
      <c r="I304" s="2461"/>
      <c r="J304" s="2461"/>
      <c r="K304" s="2461"/>
      <c r="L304" s="2461"/>
      <c r="M304" s="2461"/>
      <c r="N304" s="2461"/>
      <c r="O304" s="527" t="s">
        <v>2205</v>
      </c>
      <c r="P304" s="2085" t="s">
        <v>3297</v>
      </c>
      <c r="Q304" s="701"/>
      <c r="AE304" s="533"/>
      <c r="AF304" s="533"/>
    </row>
    <row r="305" spans="1:32" s="100" customFormat="1" ht="11.25" customHeight="1">
      <c r="B305" s="152"/>
      <c r="C305" s="160" t="s">
        <v>1814</v>
      </c>
      <c r="D305" s="2461" t="s">
        <v>2856</v>
      </c>
      <c r="E305" s="2461"/>
      <c r="F305" s="2461"/>
      <c r="G305" s="2461"/>
      <c r="H305" s="2461"/>
      <c r="I305" s="2461"/>
      <c r="J305" s="2461"/>
      <c r="K305" s="2461"/>
      <c r="L305" s="2461"/>
      <c r="M305" s="2461"/>
      <c r="N305" s="2461"/>
      <c r="O305" s="527" t="s">
        <v>1814</v>
      </c>
      <c r="P305" s="2086" t="s">
        <v>3297</v>
      </c>
      <c r="Q305" s="702"/>
      <c r="AE305" s="533"/>
      <c r="AF305" s="533"/>
    </row>
    <row r="306" spans="1:32" s="100" customFormat="1" ht="21.75" customHeight="1">
      <c r="B306" s="152" t="s">
        <v>786</v>
      </c>
      <c r="C306" s="2462" t="s">
        <v>4312</v>
      </c>
      <c r="D306" s="2462"/>
      <c r="E306" s="2462"/>
      <c r="F306" s="2462"/>
      <c r="G306" s="2462"/>
      <c r="H306" s="2462"/>
      <c r="I306" s="2462"/>
      <c r="J306" s="2462"/>
      <c r="K306" s="2462"/>
      <c r="L306" s="2462"/>
      <c r="M306" s="2462"/>
      <c r="N306" s="2462"/>
      <c r="O306" s="174" t="s">
        <v>786</v>
      </c>
      <c r="P306" s="2082" t="s">
        <v>3297</v>
      </c>
      <c r="Q306" s="698"/>
      <c r="AE306" s="533"/>
      <c r="AF306" s="533"/>
    </row>
    <row r="307" spans="1:32" s="100" customFormat="1" ht="11.25" customHeight="1">
      <c r="B307" s="152"/>
      <c r="C307" s="432" t="s">
        <v>4313</v>
      </c>
      <c r="D307" s="432"/>
      <c r="E307" s="432"/>
      <c r="F307" s="432"/>
      <c r="G307" s="432"/>
      <c r="H307" s="432"/>
      <c r="I307" s="432"/>
      <c r="J307" s="432"/>
      <c r="K307" s="432"/>
      <c r="L307" s="432"/>
      <c r="M307" s="432"/>
      <c r="N307" s="432"/>
      <c r="O307" s="432"/>
      <c r="P307" s="432"/>
      <c r="Q307" s="432"/>
      <c r="R307" s="432"/>
      <c r="AE307" s="533"/>
      <c r="AF307" s="533"/>
    </row>
    <row r="308" spans="1:32" s="462" customFormat="1" ht="44.25" customHeight="1">
      <c r="C308" s="160" t="s">
        <v>1813</v>
      </c>
      <c r="D308" s="2461" t="s">
        <v>4311</v>
      </c>
      <c r="E308" s="2461"/>
      <c r="F308" s="2461"/>
      <c r="G308" s="2461"/>
      <c r="H308" s="2461"/>
      <c r="I308" s="2461"/>
      <c r="J308" s="2461"/>
      <c r="K308" s="2461"/>
      <c r="L308" s="2461"/>
      <c r="M308" s="2461"/>
      <c r="N308" s="2461"/>
      <c r="O308" s="174" t="s">
        <v>4316</v>
      </c>
      <c r="P308" s="2093" t="s">
        <v>3297</v>
      </c>
      <c r="Q308" s="703"/>
      <c r="AE308" s="532"/>
      <c r="AF308" s="532"/>
    </row>
    <row r="309" spans="1:32" s="462" customFormat="1" ht="11.25" customHeight="1">
      <c r="B309" s="152"/>
      <c r="C309" s="160" t="s">
        <v>1814</v>
      </c>
      <c r="D309" s="2461" t="s">
        <v>4485</v>
      </c>
      <c r="E309" s="2461"/>
      <c r="F309" s="2461"/>
      <c r="G309" s="2461"/>
      <c r="H309" s="2461"/>
      <c r="I309" s="2461"/>
      <c r="J309" s="2461"/>
      <c r="K309" s="2461"/>
      <c r="L309" s="2461"/>
      <c r="M309" s="2461"/>
      <c r="N309" s="2461"/>
      <c r="O309" s="174" t="s">
        <v>4317</v>
      </c>
      <c r="P309" s="2094" t="s">
        <v>3297</v>
      </c>
      <c r="Q309" s="704"/>
      <c r="AE309" s="532"/>
      <c r="AF309" s="532"/>
    </row>
    <row r="310" spans="1:32" s="462" customFormat="1" ht="32.25" customHeight="1">
      <c r="B310" s="152"/>
      <c r="C310" s="174" t="s">
        <v>1815</v>
      </c>
      <c r="D310" s="2461" t="s">
        <v>4314</v>
      </c>
      <c r="E310" s="2461"/>
      <c r="F310" s="2461"/>
      <c r="G310" s="2461"/>
      <c r="H310" s="2461"/>
      <c r="I310" s="2461"/>
      <c r="J310" s="2461"/>
      <c r="K310" s="2461"/>
      <c r="L310" s="2461"/>
      <c r="M310" s="2461"/>
      <c r="N310" s="2461"/>
      <c r="O310" s="174" t="s">
        <v>4318</v>
      </c>
      <c r="P310" s="2094" t="s">
        <v>3297</v>
      </c>
      <c r="Q310" s="704"/>
      <c r="AE310" s="532"/>
      <c r="AF310" s="532"/>
    </row>
    <row r="311" spans="1:32" s="462" customFormat="1" ht="32.25" customHeight="1">
      <c r="B311" s="152"/>
      <c r="C311" s="174" t="s">
        <v>2459</v>
      </c>
      <c r="D311" s="2461" t="s">
        <v>4315</v>
      </c>
      <c r="E311" s="2461"/>
      <c r="F311" s="2461"/>
      <c r="G311" s="2461"/>
      <c r="H311" s="2461"/>
      <c r="I311" s="2461"/>
      <c r="J311" s="2461"/>
      <c r="K311" s="2461"/>
      <c r="L311" s="2461"/>
      <c r="M311" s="2461"/>
      <c r="N311" s="2461"/>
      <c r="O311" s="174" t="s">
        <v>4319</v>
      </c>
      <c r="P311" s="2092" t="s">
        <v>3297</v>
      </c>
      <c r="Q311" s="705"/>
      <c r="AE311" s="532"/>
      <c r="AF311" s="532"/>
    </row>
    <row r="312" spans="1:32" ht="11.25" customHeight="1">
      <c r="B312" s="151" t="s">
        <v>1946</v>
      </c>
      <c r="D312" s="151"/>
      <c r="E312" s="151"/>
      <c r="F312" s="151"/>
      <c r="G312" s="151"/>
      <c r="H312" s="41"/>
      <c r="I312" s="2041"/>
      <c r="J312" s="2041"/>
      <c r="K312" s="2041"/>
      <c r="L312" s="2029"/>
      <c r="M312" s="2029"/>
      <c r="N312" s="2029"/>
      <c r="O312" s="2029"/>
      <c r="P312" s="2029"/>
      <c r="Q312" s="1343"/>
    </row>
    <row r="313" spans="1:32" ht="11.45" customHeight="1">
      <c r="A313" s="2539"/>
      <c r="B313" s="2540"/>
      <c r="C313" s="2540"/>
      <c r="D313" s="2540"/>
      <c r="E313" s="2540"/>
      <c r="F313" s="2540"/>
      <c r="G313" s="2540"/>
      <c r="H313" s="2540"/>
      <c r="I313" s="2540"/>
      <c r="J313" s="2540"/>
      <c r="K313" s="2540"/>
      <c r="L313" s="2540"/>
      <c r="M313" s="2540"/>
      <c r="N313" s="2540"/>
      <c r="O313" s="2540"/>
      <c r="P313" s="2540"/>
      <c r="Q313" s="2541"/>
      <c r="R313" s="498" t="s">
        <v>1308</v>
      </c>
      <c r="S313" s="499"/>
      <c r="U313" s="146"/>
      <c r="V313" s="146"/>
      <c r="W313" s="146"/>
      <c r="X313" s="146"/>
      <c r="Y313" s="146"/>
      <c r="Z313" s="146"/>
      <c r="AA313" s="146"/>
      <c r="AB313" s="146"/>
      <c r="AC313" s="146"/>
      <c r="AD313" s="146"/>
      <c r="AE313" s="529"/>
    </row>
    <row r="314" spans="1:32" ht="11.25" customHeight="1">
      <c r="B314" s="147" t="s">
        <v>1947</v>
      </c>
      <c r="C314" s="148"/>
      <c r="D314" s="2033"/>
      <c r="E314" s="2033"/>
      <c r="F314" s="2033"/>
      <c r="G314" s="2033"/>
      <c r="H314" s="2033"/>
      <c r="I314" s="2033"/>
      <c r="J314" s="2033"/>
      <c r="K314" s="2033"/>
      <c r="L314" s="2033"/>
      <c r="M314" s="2033"/>
      <c r="N314" s="2033"/>
      <c r="O314" s="2033"/>
      <c r="P314" s="2033"/>
      <c r="Q314" s="2033"/>
    </row>
    <row r="315" spans="1:32" ht="11.45" customHeight="1">
      <c r="A315" s="3395"/>
      <c r="B315" s="3396"/>
      <c r="C315" s="3396"/>
      <c r="D315" s="3396"/>
      <c r="E315" s="3396"/>
      <c r="F315" s="3396"/>
      <c r="G315" s="3396"/>
      <c r="H315" s="3396"/>
      <c r="I315" s="3396"/>
      <c r="J315" s="3396"/>
      <c r="K315" s="3396"/>
      <c r="L315" s="3396"/>
      <c r="M315" s="3396"/>
      <c r="N315" s="3396"/>
      <c r="O315" s="3396"/>
      <c r="P315" s="3396"/>
      <c r="Q315" s="3397"/>
    </row>
    <row r="316" spans="1:32" ht="13.9" customHeight="1">
      <c r="A316" s="2037">
        <v>19</v>
      </c>
      <c r="B316" s="10" t="s">
        <v>2773</v>
      </c>
      <c r="C316" s="10"/>
      <c r="D316" s="10"/>
      <c r="E316" s="10"/>
      <c r="F316" s="10"/>
      <c r="G316" s="10"/>
      <c r="H316" s="2033"/>
      <c r="I316" s="2033"/>
      <c r="J316" s="2033"/>
      <c r="K316" s="2033"/>
      <c r="L316" s="2033"/>
      <c r="M316" s="2033"/>
      <c r="O316" s="142" t="s">
        <v>1948</v>
      </c>
      <c r="P316" s="3398"/>
      <c r="Q316" s="3399"/>
    </row>
    <row r="317" spans="1:32" ht="11.45" customHeight="1">
      <c r="B317" s="155" t="s">
        <v>2343</v>
      </c>
      <c r="P317" s="2084" t="s">
        <v>3300</v>
      </c>
      <c r="Q317" s="700"/>
    </row>
    <row r="318" spans="1:32" ht="12" customHeight="1">
      <c r="B318" s="1294" t="s">
        <v>2300</v>
      </c>
      <c r="C318" s="1294"/>
      <c r="D318" s="1294"/>
      <c r="E318" s="1294"/>
      <c r="F318" s="1294"/>
      <c r="G318" s="1294"/>
      <c r="H318" s="1294"/>
      <c r="I318" s="1294"/>
      <c r="J318" s="1294"/>
      <c r="K318" s="1294"/>
      <c r="L318" s="1294"/>
      <c r="P318" s="2086" t="s">
        <v>3297</v>
      </c>
      <c r="Q318" s="702"/>
    </row>
    <row r="319" spans="1:32" ht="11.45" customHeight="1">
      <c r="B319" s="152" t="s">
        <v>2068</v>
      </c>
      <c r="C319" s="199" t="s">
        <v>479</v>
      </c>
      <c r="D319" s="1344"/>
      <c r="E319" s="1344"/>
      <c r="F319" s="1344"/>
      <c r="G319" s="1344"/>
      <c r="H319" s="1344"/>
      <c r="I319" s="1344"/>
      <c r="J319" s="1344"/>
      <c r="K319" s="1344"/>
      <c r="L319" s="1344"/>
      <c r="M319" s="1344"/>
      <c r="N319" s="174"/>
    </row>
    <row r="320" spans="1:32" ht="22.5" customHeight="1">
      <c r="A320" s="154"/>
      <c r="C320" s="2461" t="s">
        <v>3159</v>
      </c>
      <c r="D320" s="2461"/>
      <c r="E320" s="2461"/>
      <c r="F320" s="2461"/>
      <c r="G320" s="2461"/>
      <c r="H320" s="2461"/>
      <c r="I320" s="2461"/>
      <c r="J320" s="2461"/>
      <c r="K320" s="2461"/>
      <c r="L320" s="2461"/>
      <c r="M320" s="2461"/>
      <c r="N320" s="2461"/>
      <c r="O320" s="174" t="s">
        <v>2068</v>
      </c>
      <c r="P320" s="2075"/>
      <c r="Q320" s="708"/>
    </row>
    <row r="321" spans="1:256 1523:1523" ht="12.6" customHeight="1">
      <c r="B321" s="152" t="s">
        <v>2071</v>
      </c>
      <c r="C321" s="2458" t="s">
        <v>480</v>
      </c>
      <c r="D321" s="2458"/>
      <c r="E321" s="2458"/>
      <c r="F321" s="2458"/>
      <c r="G321" s="2458"/>
      <c r="H321" s="2458"/>
      <c r="I321" s="2458"/>
      <c r="J321" s="2458"/>
      <c r="K321" s="2458"/>
      <c r="L321" s="2458"/>
      <c r="M321" s="2458"/>
      <c r="O321" s="174" t="s">
        <v>2071</v>
      </c>
      <c r="P321" s="2029"/>
      <c r="Q321" s="1343"/>
    </row>
    <row r="322" spans="1:256 1523:1523" ht="23.25" customHeight="1">
      <c r="A322" s="154"/>
      <c r="C322" s="232" t="s">
        <v>1813</v>
      </c>
      <c r="D322" s="233" t="s">
        <v>1177</v>
      </c>
      <c r="E322" s="143"/>
      <c r="F322" s="143"/>
      <c r="G322" s="3400" t="s">
        <v>1507</v>
      </c>
      <c r="H322" s="3401"/>
      <c r="I322" s="3401"/>
      <c r="J322" s="3401"/>
      <c r="K322" s="3401"/>
      <c r="L322" s="3401"/>
      <c r="M322" s="3401"/>
      <c r="N322" s="3402"/>
      <c r="O322" s="236" t="s">
        <v>1813</v>
      </c>
      <c r="P322" s="2093" t="s">
        <v>3297</v>
      </c>
      <c r="Q322" s="703"/>
      <c r="BFO322" s="158" t="s">
        <v>2858</v>
      </c>
    </row>
    <row r="323" spans="1:256 1523:1523" ht="23.25" customHeight="1">
      <c r="A323" s="154"/>
      <c r="C323" s="232" t="s">
        <v>1814</v>
      </c>
      <c r="D323" s="2436" t="s">
        <v>1178</v>
      </c>
      <c r="E323" s="2459"/>
      <c r="F323" s="2460"/>
      <c r="G323" s="3380" t="s">
        <v>2755</v>
      </c>
      <c r="H323" s="3403"/>
      <c r="I323" s="3403"/>
      <c r="J323" s="3403"/>
      <c r="K323" s="3403"/>
      <c r="L323" s="3403"/>
      <c r="M323" s="3403"/>
      <c r="N323" s="3404"/>
      <c r="O323" s="236" t="s">
        <v>1814</v>
      </c>
      <c r="P323" s="2092" t="s">
        <v>3297</v>
      </c>
      <c r="Q323" s="705"/>
    </row>
    <row r="324" spans="1:256 1523:1523" ht="3" customHeight="1">
      <c r="A324" s="2029"/>
      <c r="B324" s="2029"/>
      <c r="C324" s="2029"/>
      <c r="D324" s="2029"/>
      <c r="E324" s="2029"/>
      <c r="F324" s="2029"/>
      <c r="G324" s="2029"/>
      <c r="H324" s="2029"/>
      <c r="I324" s="2029"/>
      <c r="J324" s="2029"/>
      <c r="K324" s="2029"/>
      <c r="L324" s="2029"/>
      <c r="M324" s="2029"/>
      <c r="N324" s="2029"/>
      <c r="O324" s="2029"/>
      <c r="P324" s="2029"/>
      <c r="Q324" s="2029"/>
      <c r="R324" s="2029"/>
      <c r="S324" s="2029"/>
      <c r="T324" s="2029"/>
      <c r="U324" s="2029"/>
      <c r="V324" s="2029"/>
      <c r="W324" s="2029"/>
      <c r="X324" s="2029"/>
      <c r="Y324" s="2029"/>
      <c r="Z324" s="2029"/>
      <c r="AA324" s="2029"/>
      <c r="AB324" s="2029"/>
      <c r="AC324" s="2029"/>
      <c r="AD324" s="2029"/>
      <c r="AE324" s="1343"/>
      <c r="AF324" s="1343"/>
      <c r="AG324" s="2029"/>
      <c r="AH324" s="2029"/>
      <c r="AI324" s="2029"/>
      <c r="AJ324" s="2029"/>
      <c r="AK324" s="2029"/>
      <c r="AL324" s="2029"/>
      <c r="AM324" s="2029"/>
      <c r="AN324" s="2029"/>
      <c r="AO324" s="2029"/>
      <c r="AP324" s="2029"/>
      <c r="AQ324" s="2029"/>
      <c r="AR324" s="2029"/>
      <c r="AS324" s="2029"/>
      <c r="AT324" s="2029"/>
      <c r="AU324" s="2029"/>
      <c r="AV324" s="2029"/>
      <c r="AW324" s="2029"/>
      <c r="AX324" s="2029"/>
      <c r="AY324" s="2029"/>
      <c r="AZ324" s="2029"/>
      <c r="BA324" s="2029"/>
      <c r="BB324" s="2029"/>
      <c r="BC324" s="2029"/>
      <c r="BD324" s="2029"/>
      <c r="BE324" s="2029"/>
      <c r="BF324" s="2029"/>
      <c r="BG324" s="2029"/>
      <c r="BH324" s="2029"/>
      <c r="BI324" s="2029"/>
      <c r="BJ324" s="2029"/>
      <c r="BK324" s="2029"/>
      <c r="BL324" s="2029"/>
      <c r="BM324" s="2029"/>
      <c r="BN324" s="2029"/>
      <c r="BO324" s="2029"/>
      <c r="BP324" s="2029"/>
      <c r="BQ324" s="2029"/>
      <c r="BR324" s="2029"/>
      <c r="BS324" s="2029"/>
      <c r="BT324" s="2029"/>
      <c r="BU324" s="2029"/>
      <c r="BV324" s="2029"/>
      <c r="BW324" s="2029"/>
      <c r="BX324" s="2029"/>
      <c r="BY324" s="2029"/>
      <c r="BZ324" s="2029"/>
      <c r="CA324" s="2029"/>
      <c r="CB324" s="2029"/>
      <c r="CC324" s="2029"/>
      <c r="CD324" s="2029"/>
      <c r="CE324" s="2029"/>
      <c r="CF324" s="2029"/>
      <c r="CG324" s="2029"/>
      <c r="CH324" s="2029"/>
      <c r="CI324" s="2029"/>
      <c r="CJ324" s="2029"/>
      <c r="CK324" s="2029"/>
      <c r="CL324" s="2029"/>
      <c r="CM324" s="2029"/>
      <c r="CN324" s="2029"/>
      <c r="CO324" s="2029"/>
      <c r="CP324" s="2029"/>
      <c r="CQ324" s="2029"/>
      <c r="CR324" s="2029"/>
      <c r="CS324" s="2029"/>
      <c r="CT324" s="2029"/>
      <c r="CU324" s="2029"/>
      <c r="CV324" s="2029"/>
      <c r="CW324" s="2029"/>
      <c r="CX324" s="2029"/>
      <c r="CY324" s="2029"/>
      <c r="CZ324" s="2029"/>
      <c r="DA324" s="2029"/>
      <c r="DB324" s="2029"/>
      <c r="DC324" s="2029"/>
      <c r="DD324" s="2029"/>
      <c r="DE324" s="2029"/>
      <c r="DF324" s="2029"/>
      <c r="DG324" s="2029"/>
      <c r="DH324" s="2029"/>
      <c r="DI324" s="2029"/>
      <c r="DJ324" s="2029"/>
      <c r="DK324" s="2029"/>
      <c r="DL324" s="2029"/>
      <c r="DM324" s="2029"/>
      <c r="DN324" s="2029"/>
      <c r="DO324" s="2029"/>
      <c r="DP324" s="2029"/>
      <c r="DQ324" s="2029"/>
      <c r="DR324" s="2029"/>
      <c r="DS324" s="2029"/>
      <c r="DT324" s="2029"/>
      <c r="DU324" s="2029"/>
      <c r="DV324" s="2029"/>
      <c r="DW324" s="2029"/>
      <c r="DX324" s="2029"/>
      <c r="DY324" s="2029"/>
      <c r="DZ324" s="2029"/>
      <c r="EA324" s="2029"/>
      <c r="EB324" s="2029"/>
      <c r="EC324" s="2029"/>
      <c r="ED324" s="2029"/>
      <c r="EE324" s="2029"/>
      <c r="EF324" s="2029"/>
      <c r="EG324" s="2029"/>
      <c r="EH324" s="2029"/>
      <c r="EI324" s="2029"/>
      <c r="EJ324" s="2029"/>
      <c r="EK324" s="2029"/>
      <c r="EL324" s="2029"/>
      <c r="EM324" s="2029"/>
      <c r="EN324" s="2029"/>
      <c r="EO324" s="2029"/>
      <c r="EP324" s="2029"/>
      <c r="EQ324" s="2029"/>
      <c r="ER324" s="2029"/>
      <c r="ES324" s="2029"/>
      <c r="ET324" s="2029"/>
      <c r="EU324" s="2029"/>
      <c r="EV324" s="2029"/>
      <c r="EW324" s="2029"/>
      <c r="EX324" s="2029"/>
      <c r="EY324" s="2029"/>
      <c r="EZ324" s="2029"/>
      <c r="FA324" s="2029"/>
      <c r="FB324" s="2029"/>
      <c r="FC324" s="2029"/>
      <c r="FD324" s="2029"/>
      <c r="FE324" s="2029"/>
      <c r="FF324" s="2029"/>
      <c r="FG324" s="2029"/>
      <c r="FH324" s="2029"/>
      <c r="FI324" s="2029"/>
      <c r="FJ324" s="2029"/>
      <c r="FK324" s="2029"/>
      <c r="FL324" s="2029"/>
      <c r="FM324" s="2029"/>
      <c r="FN324" s="2029"/>
      <c r="FO324" s="2029"/>
      <c r="FP324" s="2029"/>
      <c r="FQ324" s="2029"/>
      <c r="FR324" s="2029"/>
      <c r="FS324" s="2029"/>
      <c r="FT324" s="2029"/>
      <c r="FU324" s="2029"/>
      <c r="FV324" s="2029"/>
      <c r="FW324" s="2029"/>
      <c r="FX324" s="2029"/>
      <c r="FY324" s="2029"/>
      <c r="FZ324" s="2029"/>
      <c r="GA324" s="2029"/>
      <c r="GB324" s="2029"/>
      <c r="GC324" s="2029"/>
      <c r="GD324" s="2029"/>
      <c r="GE324" s="2029"/>
      <c r="GF324" s="2029"/>
      <c r="GG324" s="2029"/>
      <c r="GH324" s="2029"/>
      <c r="GI324" s="2029"/>
      <c r="GJ324" s="2029"/>
      <c r="GK324" s="2029"/>
      <c r="GL324" s="2029"/>
      <c r="GM324" s="2029"/>
      <c r="GN324" s="2029"/>
      <c r="GO324" s="2029"/>
      <c r="GP324" s="2029"/>
      <c r="GQ324" s="2029"/>
      <c r="GR324" s="2029"/>
      <c r="GS324" s="2029"/>
      <c r="GT324" s="2029"/>
      <c r="GU324" s="2029"/>
      <c r="GV324" s="2029"/>
      <c r="GW324" s="2029"/>
      <c r="GX324" s="2029"/>
      <c r="GY324" s="2029"/>
      <c r="GZ324" s="2029"/>
      <c r="HA324" s="2029"/>
      <c r="HB324" s="2029"/>
      <c r="HC324" s="2029"/>
      <c r="HD324" s="2029"/>
      <c r="HE324" s="2029"/>
      <c r="HF324" s="2029"/>
      <c r="HG324" s="2029"/>
      <c r="HH324" s="2029"/>
      <c r="HI324" s="2029"/>
      <c r="HJ324" s="2029"/>
      <c r="HK324" s="2029"/>
      <c r="HL324" s="2029"/>
      <c r="HM324" s="2029"/>
      <c r="HN324" s="2029"/>
      <c r="HO324" s="2029"/>
      <c r="HP324" s="2029"/>
      <c r="HQ324" s="2029"/>
      <c r="HR324" s="2029"/>
      <c r="HS324" s="2029"/>
      <c r="HT324" s="2029"/>
      <c r="HU324" s="2029"/>
      <c r="HV324" s="2029"/>
      <c r="HW324" s="2029"/>
      <c r="HX324" s="2029"/>
      <c r="HY324" s="2029"/>
      <c r="HZ324" s="2029"/>
      <c r="IA324" s="2029"/>
      <c r="IB324" s="2029"/>
      <c r="IC324" s="2029"/>
      <c r="ID324" s="2029"/>
      <c r="IE324" s="2029"/>
      <c r="IF324" s="2029"/>
      <c r="IG324" s="2029"/>
      <c r="IH324" s="2029"/>
      <c r="II324" s="2029"/>
      <c r="IJ324" s="2029"/>
      <c r="IK324" s="2029"/>
      <c r="IL324" s="2029"/>
      <c r="IM324" s="2029"/>
      <c r="IN324" s="2029"/>
      <c r="IO324" s="2029"/>
      <c r="IP324" s="2029"/>
      <c r="IQ324" s="2029"/>
      <c r="IR324" s="2029"/>
      <c r="IS324" s="2029"/>
      <c r="IT324" s="2029"/>
      <c r="IU324" s="2029"/>
      <c r="IV324" s="2029"/>
    </row>
    <row r="325" spans="1:256 1523:1523" s="143" customFormat="1" ht="22.5" customHeight="1">
      <c r="B325" s="152" t="s">
        <v>786</v>
      </c>
      <c r="C325" s="2464" t="s">
        <v>2779</v>
      </c>
      <c r="D325" s="2464"/>
      <c r="E325" s="2464"/>
      <c r="F325" s="2464"/>
      <c r="G325" s="2464"/>
      <c r="H325" s="2464"/>
      <c r="I325" s="2464"/>
      <c r="J325" s="2464"/>
      <c r="K325" s="2464"/>
      <c r="L325" s="2464"/>
      <c r="M325" s="2464"/>
      <c r="N325" s="2464"/>
      <c r="O325" s="495" t="s">
        <v>786</v>
      </c>
      <c r="P325" s="2029"/>
      <c r="Q325" s="1343"/>
      <c r="AE325" s="530"/>
      <c r="AF325" s="530"/>
    </row>
    <row r="326" spans="1:256 1523:1523" s="143" customFormat="1" ht="11.25" customHeight="1">
      <c r="A326" s="154"/>
      <c r="C326" s="232" t="s">
        <v>1813</v>
      </c>
      <c r="D326" s="3375"/>
      <c r="E326" s="3376"/>
      <c r="F326" s="3376"/>
      <c r="G326" s="3376"/>
      <c r="H326" s="3376"/>
      <c r="I326" s="3376"/>
      <c r="J326" s="3376"/>
      <c r="K326" s="3376"/>
      <c r="L326" s="3376"/>
      <c r="M326" s="3376"/>
      <c r="N326" s="3377"/>
      <c r="O326" s="236" t="s">
        <v>1813</v>
      </c>
      <c r="P326" s="2093"/>
      <c r="Q326" s="703"/>
      <c r="AE326" s="530"/>
      <c r="AF326" s="530"/>
    </row>
    <row r="327" spans="1:256 1523:1523" s="143" customFormat="1" ht="11.25" customHeight="1">
      <c r="A327" s="154"/>
      <c r="C327" s="232" t="s">
        <v>1814</v>
      </c>
      <c r="D327" s="3380"/>
      <c r="E327" s="3381"/>
      <c r="F327" s="3381"/>
      <c r="G327" s="3381"/>
      <c r="H327" s="3381"/>
      <c r="I327" s="3381"/>
      <c r="J327" s="3381"/>
      <c r="K327" s="3381"/>
      <c r="L327" s="3381"/>
      <c r="M327" s="3381"/>
      <c r="N327" s="3382"/>
      <c r="O327" s="236" t="s">
        <v>1814</v>
      </c>
      <c r="P327" s="2092"/>
      <c r="Q327" s="705"/>
      <c r="AE327" s="530"/>
      <c r="AF327" s="530"/>
    </row>
    <row r="328" spans="1:256 1523:1523" ht="3" customHeight="1">
      <c r="A328" s="2029"/>
      <c r="B328" s="2029"/>
      <c r="C328" s="2029"/>
      <c r="D328" s="2029"/>
      <c r="E328" s="2029"/>
      <c r="F328" s="2029"/>
      <c r="G328" s="2029"/>
      <c r="H328" s="2029"/>
      <c r="I328" s="2029"/>
      <c r="J328" s="2029"/>
      <c r="K328" s="2029"/>
      <c r="L328" s="2029"/>
      <c r="M328" s="2029"/>
      <c r="N328" s="2029"/>
      <c r="O328" s="2029"/>
      <c r="P328" s="2029"/>
      <c r="Q328" s="2029"/>
      <c r="R328" s="2029"/>
      <c r="S328" s="2029"/>
      <c r="T328" s="2029"/>
      <c r="U328" s="2029"/>
      <c r="V328" s="2029"/>
      <c r="W328" s="2029"/>
      <c r="X328" s="2029"/>
      <c r="Y328" s="2029"/>
      <c r="Z328" s="2029"/>
      <c r="AA328" s="2029"/>
      <c r="AB328" s="2029"/>
      <c r="AC328" s="2029"/>
      <c r="AD328" s="2029"/>
      <c r="AE328" s="1343"/>
      <c r="AF328" s="1343"/>
      <c r="AG328" s="2029"/>
      <c r="AH328" s="2029"/>
      <c r="AI328" s="2029"/>
      <c r="AJ328" s="2029"/>
      <c r="AK328" s="2029"/>
      <c r="AL328" s="2029"/>
      <c r="AM328" s="2029"/>
      <c r="AN328" s="2029"/>
      <c r="AO328" s="2029"/>
      <c r="AP328" s="2029"/>
      <c r="AQ328" s="2029"/>
      <c r="AR328" s="2029"/>
      <c r="AS328" s="2029"/>
      <c r="AT328" s="2029"/>
      <c r="AU328" s="2029"/>
      <c r="AV328" s="2029"/>
      <c r="AW328" s="2029"/>
      <c r="AX328" s="2029"/>
      <c r="AY328" s="2029"/>
      <c r="AZ328" s="2029"/>
      <c r="BA328" s="2029"/>
      <c r="BB328" s="2029"/>
      <c r="BC328" s="2029"/>
      <c r="BD328" s="2029"/>
      <c r="BE328" s="2029"/>
      <c r="BF328" s="2029"/>
      <c r="BG328" s="2029"/>
      <c r="BH328" s="2029"/>
      <c r="BI328" s="2029"/>
      <c r="BJ328" s="2029"/>
      <c r="BK328" s="2029"/>
      <c r="BL328" s="2029"/>
      <c r="BM328" s="2029"/>
      <c r="BN328" s="2029"/>
      <c r="BO328" s="2029"/>
      <c r="BP328" s="2029"/>
      <c r="BQ328" s="2029"/>
      <c r="BR328" s="2029"/>
      <c r="BS328" s="2029"/>
      <c r="BT328" s="2029"/>
      <c r="BU328" s="2029"/>
      <c r="BV328" s="2029"/>
      <c r="BW328" s="2029"/>
      <c r="BX328" s="2029"/>
      <c r="BY328" s="2029"/>
      <c r="BZ328" s="2029"/>
      <c r="CA328" s="2029"/>
      <c r="CB328" s="2029"/>
      <c r="CC328" s="2029"/>
      <c r="CD328" s="2029"/>
      <c r="CE328" s="2029"/>
      <c r="CF328" s="2029"/>
      <c r="CG328" s="2029"/>
      <c r="CH328" s="2029"/>
      <c r="CI328" s="2029"/>
      <c r="CJ328" s="2029"/>
      <c r="CK328" s="2029"/>
      <c r="CL328" s="2029"/>
      <c r="CM328" s="2029"/>
      <c r="CN328" s="2029"/>
      <c r="CO328" s="2029"/>
      <c r="CP328" s="2029"/>
      <c r="CQ328" s="2029"/>
      <c r="CR328" s="2029"/>
      <c r="CS328" s="2029"/>
      <c r="CT328" s="2029"/>
      <c r="CU328" s="2029"/>
      <c r="CV328" s="2029"/>
      <c r="CW328" s="2029"/>
      <c r="CX328" s="2029"/>
      <c r="CY328" s="2029"/>
      <c r="CZ328" s="2029"/>
      <c r="DA328" s="2029"/>
      <c r="DB328" s="2029"/>
      <c r="DC328" s="2029"/>
      <c r="DD328" s="2029"/>
      <c r="DE328" s="2029"/>
      <c r="DF328" s="2029"/>
      <c r="DG328" s="2029"/>
      <c r="DH328" s="2029"/>
      <c r="DI328" s="2029"/>
      <c r="DJ328" s="2029"/>
      <c r="DK328" s="2029"/>
      <c r="DL328" s="2029"/>
      <c r="DM328" s="2029"/>
      <c r="DN328" s="2029"/>
      <c r="DO328" s="2029"/>
      <c r="DP328" s="2029"/>
      <c r="DQ328" s="2029"/>
      <c r="DR328" s="2029"/>
      <c r="DS328" s="2029"/>
      <c r="DT328" s="2029"/>
      <c r="DU328" s="2029"/>
      <c r="DV328" s="2029"/>
      <c r="DW328" s="2029"/>
      <c r="DX328" s="2029"/>
      <c r="DY328" s="2029"/>
      <c r="DZ328" s="2029"/>
      <c r="EA328" s="2029"/>
      <c r="EB328" s="2029"/>
      <c r="EC328" s="2029"/>
      <c r="ED328" s="2029"/>
      <c r="EE328" s="2029"/>
      <c r="EF328" s="2029"/>
      <c r="EG328" s="2029"/>
      <c r="EH328" s="2029"/>
      <c r="EI328" s="2029"/>
      <c r="EJ328" s="2029"/>
      <c r="EK328" s="2029"/>
      <c r="EL328" s="2029"/>
      <c r="EM328" s="2029"/>
      <c r="EN328" s="2029"/>
      <c r="EO328" s="2029"/>
      <c r="EP328" s="2029"/>
      <c r="EQ328" s="2029"/>
      <c r="ER328" s="2029"/>
      <c r="ES328" s="2029"/>
      <c r="ET328" s="2029"/>
      <c r="EU328" s="2029"/>
      <c r="EV328" s="2029"/>
      <c r="EW328" s="2029"/>
      <c r="EX328" s="2029"/>
      <c r="EY328" s="2029"/>
      <c r="EZ328" s="2029"/>
      <c r="FA328" s="2029"/>
      <c r="FB328" s="2029"/>
      <c r="FC328" s="2029"/>
      <c r="FD328" s="2029"/>
      <c r="FE328" s="2029"/>
      <c r="FF328" s="2029"/>
      <c r="FG328" s="2029"/>
      <c r="FH328" s="2029"/>
      <c r="FI328" s="2029"/>
      <c r="FJ328" s="2029"/>
      <c r="FK328" s="2029"/>
      <c r="FL328" s="2029"/>
      <c r="FM328" s="2029"/>
      <c r="FN328" s="2029"/>
      <c r="FO328" s="2029"/>
      <c r="FP328" s="2029"/>
      <c r="FQ328" s="2029"/>
      <c r="FR328" s="2029"/>
      <c r="FS328" s="2029"/>
      <c r="FT328" s="2029"/>
      <c r="FU328" s="2029"/>
      <c r="FV328" s="2029"/>
      <c r="FW328" s="2029"/>
      <c r="FX328" s="2029"/>
      <c r="FY328" s="2029"/>
      <c r="FZ328" s="2029"/>
      <c r="GA328" s="2029"/>
      <c r="GB328" s="2029"/>
      <c r="GC328" s="2029"/>
      <c r="GD328" s="2029"/>
      <c r="GE328" s="2029"/>
      <c r="GF328" s="2029"/>
      <c r="GG328" s="2029"/>
      <c r="GH328" s="2029"/>
      <c r="GI328" s="2029"/>
      <c r="GJ328" s="2029"/>
      <c r="GK328" s="2029"/>
      <c r="GL328" s="2029"/>
      <c r="GM328" s="2029"/>
      <c r="GN328" s="2029"/>
      <c r="GO328" s="2029"/>
      <c r="GP328" s="2029"/>
      <c r="GQ328" s="2029"/>
      <c r="GR328" s="2029"/>
      <c r="GS328" s="2029"/>
      <c r="GT328" s="2029"/>
      <c r="GU328" s="2029"/>
      <c r="GV328" s="2029"/>
      <c r="GW328" s="2029"/>
      <c r="GX328" s="2029"/>
      <c r="GY328" s="2029"/>
      <c r="GZ328" s="2029"/>
      <c r="HA328" s="2029"/>
      <c r="HB328" s="2029"/>
      <c r="HC328" s="2029"/>
      <c r="HD328" s="2029"/>
      <c r="HE328" s="2029"/>
      <c r="HF328" s="2029"/>
      <c r="HG328" s="2029"/>
      <c r="HH328" s="2029"/>
      <c r="HI328" s="2029"/>
      <c r="HJ328" s="2029"/>
      <c r="HK328" s="2029"/>
      <c r="HL328" s="2029"/>
      <c r="HM328" s="2029"/>
      <c r="HN328" s="2029"/>
      <c r="HO328" s="2029"/>
      <c r="HP328" s="2029"/>
      <c r="HQ328" s="2029"/>
      <c r="HR328" s="2029"/>
      <c r="HS328" s="2029"/>
      <c r="HT328" s="2029"/>
      <c r="HU328" s="2029"/>
      <c r="HV328" s="2029"/>
      <c r="HW328" s="2029"/>
      <c r="HX328" s="2029"/>
      <c r="HY328" s="2029"/>
      <c r="HZ328" s="2029"/>
      <c r="IA328" s="2029"/>
      <c r="IB328" s="2029"/>
      <c r="IC328" s="2029"/>
      <c r="ID328" s="2029"/>
      <c r="IE328" s="2029"/>
      <c r="IF328" s="2029"/>
      <c r="IG328" s="2029"/>
      <c r="IH328" s="2029"/>
      <c r="II328" s="2029"/>
      <c r="IJ328" s="2029"/>
      <c r="IK328" s="2029"/>
      <c r="IL328" s="2029"/>
      <c r="IM328" s="2029"/>
      <c r="IN328" s="2029"/>
      <c r="IO328" s="2029"/>
      <c r="IP328" s="2029"/>
      <c r="IQ328" s="2029"/>
      <c r="IR328" s="2029"/>
      <c r="IS328" s="2029"/>
      <c r="IT328" s="2029"/>
      <c r="IU328" s="2029"/>
      <c r="IV328" s="2029"/>
    </row>
    <row r="329" spans="1:256 1523:1523" ht="11.25" customHeight="1">
      <c r="B329" s="151" t="s">
        <v>1946</v>
      </c>
      <c r="D329" s="151"/>
      <c r="E329" s="151"/>
      <c r="F329" s="151"/>
      <c r="G329" s="151"/>
      <c r="H329" s="41"/>
      <c r="I329" s="2041"/>
      <c r="J329" s="2041"/>
      <c r="K329" s="2041"/>
      <c r="L329" s="2029"/>
      <c r="M329" s="2029"/>
      <c r="N329" s="2029"/>
      <c r="O329" s="2029"/>
      <c r="P329" s="2029"/>
      <c r="Q329" s="1343"/>
    </row>
    <row r="330" spans="1:256 1523:1523" ht="11.45" customHeight="1">
      <c r="A330" s="2539"/>
      <c r="B330" s="2540"/>
      <c r="C330" s="2540"/>
      <c r="D330" s="2540"/>
      <c r="E330" s="2540"/>
      <c r="F330" s="2540"/>
      <c r="G330" s="2540"/>
      <c r="H330" s="2540"/>
      <c r="I330" s="2540"/>
      <c r="J330" s="2540"/>
      <c r="K330" s="2540"/>
      <c r="L330" s="2540"/>
      <c r="M330" s="2540"/>
      <c r="N330" s="2540"/>
      <c r="O330" s="2540"/>
      <c r="P330" s="2540"/>
      <c r="Q330" s="2541"/>
      <c r="R330" s="528" t="s">
        <v>1308</v>
      </c>
      <c r="S330" s="131"/>
      <c r="U330" s="146"/>
      <c r="V330" s="146"/>
      <c r="W330" s="146"/>
      <c r="X330" s="146"/>
      <c r="Y330" s="146"/>
      <c r="Z330" s="146"/>
      <c r="AA330" s="146"/>
      <c r="AB330" s="146"/>
      <c r="AC330" s="146"/>
      <c r="AD330" s="146"/>
      <c r="AE330" s="529"/>
    </row>
    <row r="331" spans="1:256 1523:1523" ht="11.25" customHeight="1">
      <c r="B331" s="147" t="s">
        <v>1947</v>
      </c>
      <c r="C331" s="148"/>
      <c r="D331" s="2033"/>
      <c r="E331" s="2033"/>
      <c r="F331" s="2033"/>
      <c r="G331" s="2033"/>
      <c r="H331" s="2033"/>
      <c r="I331" s="2033"/>
      <c r="J331" s="2033"/>
      <c r="K331" s="2033"/>
      <c r="L331" s="2033"/>
      <c r="M331" s="2033"/>
      <c r="N331" s="2033"/>
      <c r="O331" s="2033"/>
      <c r="P331" s="2033"/>
      <c r="Q331" s="2033"/>
    </row>
    <row r="332" spans="1:256 1523:1523" ht="11.45" customHeight="1">
      <c r="A332" s="2513"/>
      <c r="B332" s="2514"/>
      <c r="C332" s="2514"/>
      <c r="D332" s="2514"/>
      <c r="E332" s="2514"/>
      <c r="F332" s="2514"/>
      <c r="G332" s="2514"/>
      <c r="H332" s="2514"/>
      <c r="I332" s="2514"/>
      <c r="J332" s="2514"/>
      <c r="K332" s="2514"/>
      <c r="L332" s="2514"/>
      <c r="M332" s="2514"/>
      <c r="N332" s="2514"/>
      <c r="O332" s="2514"/>
      <c r="P332" s="2514"/>
      <c r="Q332" s="2515"/>
    </row>
    <row r="333" spans="1:256 1523:1523" ht="13.9" customHeight="1">
      <c r="A333" s="2037">
        <v>20</v>
      </c>
      <c r="B333" s="2037" t="s">
        <v>3164</v>
      </c>
      <c r="C333" s="2037"/>
      <c r="D333" s="2033"/>
      <c r="E333" s="2033"/>
      <c r="F333" s="2033"/>
      <c r="G333" s="2033"/>
      <c r="H333" s="2033"/>
      <c r="O333" s="142" t="s">
        <v>1948</v>
      </c>
      <c r="P333" s="3300"/>
      <c r="Q333" s="3301"/>
    </row>
    <row r="334" spans="1:256 1523:1523" ht="11.45" customHeight="1">
      <c r="B334" s="57" t="s">
        <v>3165</v>
      </c>
      <c r="P334" s="2084" t="s">
        <v>3297</v>
      </c>
      <c r="Q334" s="700"/>
    </row>
    <row r="335" spans="1:256 1523:1523" ht="11.45" customHeight="1">
      <c r="B335" s="155" t="s">
        <v>2442</v>
      </c>
      <c r="P335" s="2086" t="s">
        <v>3300</v>
      </c>
      <c r="Q335" s="702"/>
    </row>
    <row r="336" spans="1:256 1523:1523" ht="11.45" customHeight="1">
      <c r="B336" s="57" t="s">
        <v>3166</v>
      </c>
      <c r="M336" s="3405" t="s">
        <v>3168</v>
      </c>
      <c r="N336" s="3406"/>
      <c r="O336" s="3407"/>
    </row>
    <row r="337" spans="1:31" ht="11.45" customHeight="1">
      <c r="B337" s="457" t="s">
        <v>2443</v>
      </c>
      <c r="M337" s="3408" t="s">
        <v>3167</v>
      </c>
      <c r="N337" s="3409"/>
      <c r="O337" s="3410"/>
    </row>
    <row r="338" spans="1:31" ht="11.25" customHeight="1">
      <c r="B338" s="151" t="s">
        <v>1946</v>
      </c>
      <c r="D338" s="151"/>
      <c r="E338" s="151"/>
      <c r="F338" s="151"/>
      <c r="G338" s="151"/>
      <c r="H338" s="41"/>
      <c r="I338" s="2041"/>
      <c r="J338" s="2041"/>
      <c r="K338" s="2041"/>
      <c r="L338" s="2029"/>
      <c r="M338" s="2029"/>
      <c r="N338" s="2029"/>
      <c r="O338" s="2029"/>
      <c r="P338" s="2029"/>
      <c r="Q338" s="1343"/>
    </row>
    <row r="339" spans="1:31" ht="13.15" customHeight="1">
      <c r="A339" s="2539" t="s">
        <v>4742</v>
      </c>
      <c r="B339" s="2540"/>
      <c r="C339" s="2540"/>
      <c r="D339" s="2540"/>
      <c r="E339" s="2540"/>
      <c r="F339" s="2540"/>
      <c r="G339" s="2540"/>
      <c r="H339" s="2540"/>
      <c r="I339" s="2540"/>
      <c r="J339" s="2540"/>
      <c r="K339" s="2540"/>
      <c r="L339" s="2540"/>
      <c r="M339" s="2540"/>
      <c r="N339" s="2540"/>
      <c r="O339" s="2540"/>
      <c r="P339" s="2540"/>
      <c r="Q339" s="2541"/>
      <c r="R339" s="498" t="s">
        <v>1308</v>
      </c>
      <c r="S339" s="499"/>
      <c r="U339" s="146"/>
      <c r="V339" s="146"/>
      <c r="W339" s="146"/>
      <c r="X339" s="146"/>
      <c r="Y339" s="146"/>
      <c r="Z339" s="146"/>
      <c r="AA339" s="146"/>
      <c r="AB339" s="146"/>
      <c r="AC339" s="146"/>
      <c r="AD339" s="146"/>
      <c r="AE339" s="529"/>
    </row>
    <row r="340" spans="1:31" ht="11.25" customHeight="1">
      <c r="B340" s="147" t="s">
        <v>1947</v>
      </c>
      <c r="C340" s="148"/>
      <c r="D340" s="2033"/>
      <c r="E340" s="2033"/>
      <c r="F340" s="2033"/>
      <c r="G340" s="2033"/>
      <c r="H340" s="2033"/>
      <c r="I340" s="2033"/>
      <c r="J340" s="2033"/>
      <c r="K340" s="2033"/>
      <c r="L340" s="2033"/>
      <c r="M340" s="2033"/>
      <c r="N340" s="2033"/>
      <c r="O340" s="2033"/>
      <c r="P340" s="2033"/>
      <c r="Q340" s="2033"/>
    </row>
    <row r="341" spans="1:31" ht="13.15" customHeight="1">
      <c r="A341" s="2513"/>
      <c r="B341" s="2514"/>
      <c r="C341" s="2514"/>
      <c r="D341" s="2514"/>
      <c r="E341" s="2514"/>
      <c r="F341" s="2514"/>
      <c r="G341" s="2514"/>
      <c r="H341" s="2514"/>
      <c r="I341" s="2514"/>
      <c r="J341" s="2514"/>
      <c r="K341" s="2514"/>
      <c r="L341" s="2514"/>
      <c r="M341" s="2514"/>
      <c r="N341" s="2514"/>
      <c r="O341" s="2514"/>
      <c r="P341" s="2514"/>
      <c r="Q341" s="2515"/>
    </row>
    <row r="342" spans="1:31" ht="13.9" customHeight="1">
      <c r="A342" s="2037">
        <v>21</v>
      </c>
      <c r="B342" s="4" t="s">
        <v>2774</v>
      </c>
      <c r="C342" s="4"/>
      <c r="D342" s="92"/>
      <c r="E342" s="2033"/>
      <c r="F342" s="2033"/>
      <c r="G342" s="2033"/>
      <c r="H342" s="2033"/>
      <c r="I342" s="2033"/>
      <c r="J342" s="2033"/>
      <c r="K342" s="2033"/>
      <c r="L342" s="2033"/>
      <c r="M342" s="2033"/>
      <c r="O342" s="142" t="s">
        <v>1948</v>
      </c>
      <c r="P342" s="3300"/>
      <c r="Q342" s="3301"/>
    </row>
    <row r="343" spans="1:31">
      <c r="B343" s="152" t="s">
        <v>2068</v>
      </c>
      <c r="C343" s="2436" t="s">
        <v>4398</v>
      </c>
      <c r="D343" s="2436"/>
      <c r="E343" s="2436"/>
      <c r="F343" s="2436"/>
      <c r="G343" s="2436"/>
      <c r="H343" s="2436"/>
      <c r="I343" s="2436"/>
      <c r="J343" s="2436"/>
      <c r="K343" s="2436"/>
      <c r="L343" s="2436"/>
      <c r="M343" s="2436"/>
      <c r="N343" s="2436"/>
      <c r="O343" s="174" t="s">
        <v>2068</v>
      </c>
      <c r="P343" s="2084" t="s">
        <v>3300</v>
      </c>
      <c r="Q343" s="700"/>
    </row>
    <row r="344" spans="1:31">
      <c r="B344" s="152" t="s">
        <v>2071</v>
      </c>
      <c r="C344" s="2436" t="s">
        <v>4399</v>
      </c>
      <c r="D344" s="2436"/>
      <c r="E344" s="2436"/>
      <c r="F344" s="2436"/>
      <c r="G344" s="2436"/>
      <c r="H344" s="2436"/>
      <c r="I344" s="2436"/>
      <c r="J344" s="2436"/>
      <c r="K344" s="2436"/>
      <c r="L344" s="2436"/>
      <c r="M344" s="2436"/>
      <c r="N344" s="2436"/>
      <c r="O344" s="174" t="s">
        <v>2071</v>
      </c>
      <c r="P344" s="2085" t="s">
        <v>3300</v>
      </c>
      <c r="Q344" s="701"/>
    </row>
    <row r="345" spans="1:31" ht="22.5" customHeight="1">
      <c r="B345" s="152" t="s">
        <v>786</v>
      </c>
      <c r="C345" s="2436" t="s">
        <v>3947</v>
      </c>
      <c r="D345" s="2436"/>
      <c r="E345" s="2436"/>
      <c r="F345" s="2436"/>
      <c r="G345" s="2436"/>
      <c r="H345" s="2436"/>
      <c r="I345" s="2436"/>
      <c r="J345" s="2436"/>
      <c r="K345" s="2436"/>
      <c r="L345" s="2436"/>
      <c r="M345" s="2436"/>
      <c r="N345" s="2436"/>
      <c r="O345" s="174" t="s">
        <v>786</v>
      </c>
      <c r="P345" s="2086" t="s">
        <v>3297</v>
      </c>
      <c r="Q345" s="701"/>
    </row>
    <row r="346" spans="1:31" ht="11.25" customHeight="1">
      <c r="B346" s="151" t="s">
        <v>1946</v>
      </c>
      <c r="D346" s="151"/>
      <c r="E346" s="151"/>
      <c r="F346" s="151"/>
      <c r="G346" s="151"/>
      <c r="H346" s="41"/>
      <c r="I346" s="2041"/>
      <c r="J346" s="2041"/>
      <c r="K346" s="2041"/>
      <c r="L346" s="2029"/>
      <c r="M346" s="2029"/>
      <c r="N346" s="2029"/>
      <c r="O346" s="2029"/>
      <c r="P346" s="2029"/>
      <c r="Q346" s="1343"/>
    </row>
    <row r="347" spans="1:31" ht="11.45" customHeight="1">
      <c r="A347" s="2539" t="s">
        <v>4743</v>
      </c>
      <c r="B347" s="2540"/>
      <c r="C347" s="2540"/>
      <c r="D347" s="2540"/>
      <c r="E347" s="2540"/>
      <c r="F347" s="2540"/>
      <c r="G347" s="2540"/>
      <c r="H347" s="2540"/>
      <c r="I347" s="2540"/>
      <c r="J347" s="2540"/>
      <c r="K347" s="2540"/>
      <c r="L347" s="2540"/>
      <c r="M347" s="2540"/>
      <c r="N347" s="2540"/>
      <c r="O347" s="2540"/>
      <c r="P347" s="2540"/>
      <c r="Q347" s="2541"/>
      <c r="U347" s="146"/>
      <c r="V347" s="146"/>
      <c r="W347" s="146"/>
      <c r="X347" s="146"/>
      <c r="Y347" s="146"/>
      <c r="Z347" s="146"/>
      <c r="AA347" s="146"/>
      <c r="AB347" s="146"/>
      <c r="AC347" s="146"/>
      <c r="AD347" s="146"/>
      <c r="AE347" s="529"/>
    </row>
    <row r="348" spans="1:31" ht="11.25" customHeight="1">
      <c r="B348" s="147" t="s">
        <v>1947</v>
      </c>
      <c r="C348" s="148"/>
      <c r="D348" s="2033"/>
      <c r="E348" s="2033"/>
      <c r="F348" s="2033"/>
      <c r="G348" s="2033"/>
      <c r="H348" s="2033"/>
      <c r="I348" s="2033"/>
      <c r="J348" s="2033"/>
      <c r="K348" s="2033"/>
      <c r="L348" s="2033"/>
      <c r="M348" s="2033"/>
      <c r="N348" s="2033"/>
      <c r="O348" s="2033"/>
      <c r="P348" s="2033"/>
      <c r="Q348" s="2033"/>
    </row>
    <row r="349" spans="1:31" ht="11.45" customHeight="1">
      <c r="A349" s="2513"/>
      <c r="B349" s="2514"/>
      <c r="C349" s="2514"/>
      <c r="D349" s="2514"/>
      <c r="E349" s="2514"/>
      <c r="F349" s="2514"/>
      <c r="G349" s="2514"/>
      <c r="H349" s="2514"/>
      <c r="I349" s="2514"/>
      <c r="J349" s="2514"/>
      <c r="K349" s="2514"/>
      <c r="L349" s="2514"/>
      <c r="M349" s="2514"/>
      <c r="N349" s="2514"/>
      <c r="O349" s="2514"/>
      <c r="P349" s="2514"/>
      <c r="Q349" s="2515"/>
    </row>
    <row r="350" spans="1:31" ht="2.25" customHeight="1">
      <c r="A350" s="2029"/>
      <c r="B350" s="2041"/>
      <c r="C350" s="2033"/>
      <c r="D350" s="2033"/>
      <c r="E350" s="2033"/>
      <c r="F350" s="2033"/>
      <c r="G350" s="2033"/>
      <c r="H350" s="2033"/>
      <c r="I350" s="2033"/>
      <c r="J350" s="2033"/>
      <c r="K350" s="2033"/>
      <c r="L350" s="2033"/>
      <c r="M350" s="2033"/>
      <c r="N350" s="2033"/>
      <c r="O350" s="2033"/>
      <c r="P350" s="2033"/>
      <c r="Q350" s="1343"/>
      <c r="R350" s="8"/>
      <c r="S350" s="8"/>
    </row>
    <row r="351" spans="1:31" ht="13.9" customHeight="1">
      <c r="A351" s="2037">
        <v>22</v>
      </c>
      <c r="B351" s="4" t="s">
        <v>2795</v>
      </c>
      <c r="C351" s="4"/>
      <c r="D351" s="4"/>
      <c r="E351" s="4"/>
      <c r="F351" s="4"/>
      <c r="G351" s="4"/>
      <c r="H351" s="2033"/>
      <c r="I351" s="2033"/>
      <c r="J351" s="2033"/>
      <c r="K351" s="2033"/>
      <c r="L351" s="2033"/>
      <c r="M351" s="2033"/>
      <c r="O351" s="142" t="s">
        <v>1948</v>
      </c>
      <c r="P351" s="3300"/>
      <c r="Q351" s="3301"/>
    </row>
    <row r="352" spans="1:31" ht="12" customHeight="1">
      <c r="B352" s="48" t="s">
        <v>2068</v>
      </c>
      <c r="C352" s="126" t="s">
        <v>2793</v>
      </c>
      <c r="D352" s="161"/>
      <c r="E352" s="161"/>
      <c r="F352" s="161"/>
      <c r="G352" s="161"/>
      <c r="H352" s="161"/>
      <c r="I352" s="43"/>
      <c r="J352" s="527" t="s">
        <v>2068</v>
      </c>
      <c r="K352" s="3322"/>
      <c r="L352" s="3323"/>
      <c r="M352" s="3323"/>
      <c r="N352" s="3323"/>
      <c r="O352" s="3323"/>
      <c r="P352" s="3324"/>
      <c r="Q352" s="697"/>
    </row>
    <row r="353" spans="1:32" ht="21.75" customHeight="1">
      <c r="B353" s="152" t="s">
        <v>2071</v>
      </c>
      <c r="C353" s="2463" t="s">
        <v>4132</v>
      </c>
      <c r="D353" s="2463"/>
      <c r="E353" s="2463"/>
      <c r="F353" s="2463"/>
      <c r="G353" s="2463"/>
      <c r="H353" s="2463"/>
      <c r="I353" s="2463"/>
      <c r="J353" s="2463"/>
      <c r="K353" s="2463"/>
      <c r="L353" s="2463"/>
      <c r="M353" s="2463"/>
      <c r="N353" s="2463"/>
      <c r="O353" s="174" t="s">
        <v>2071</v>
      </c>
      <c r="P353" s="2093"/>
      <c r="Q353" s="700"/>
    </row>
    <row r="354" spans="1:32" ht="21.75" customHeight="1">
      <c r="B354" s="152" t="s">
        <v>786</v>
      </c>
      <c r="C354" s="2436" t="s">
        <v>4133</v>
      </c>
      <c r="D354" s="2436"/>
      <c r="E354" s="2436"/>
      <c r="F354" s="2436"/>
      <c r="G354" s="2436"/>
      <c r="H354" s="2436"/>
      <c r="I354" s="2436"/>
      <c r="J354" s="2436"/>
      <c r="K354" s="2436"/>
      <c r="L354" s="2436"/>
      <c r="M354" s="2436"/>
      <c r="N354" s="2436"/>
      <c r="O354" s="174" t="s">
        <v>786</v>
      </c>
      <c r="P354" s="2094"/>
      <c r="Q354" s="704"/>
    </row>
    <row r="355" spans="1:32" ht="11.45" customHeight="1">
      <c r="B355" s="48" t="s">
        <v>2203</v>
      </c>
      <c r="C355" s="54" t="s">
        <v>2794</v>
      </c>
      <c r="D355" s="54"/>
      <c r="E355" s="54"/>
      <c r="F355" s="54"/>
      <c r="G355" s="54"/>
      <c r="H355" s="54"/>
      <c r="I355" s="54"/>
      <c r="J355" s="54"/>
      <c r="K355" s="54"/>
      <c r="L355" s="54"/>
      <c r="M355" s="54"/>
      <c r="O355" s="527" t="s">
        <v>2203</v>
      </c>
      <c r="P355" s="2085"/>
      <c r="Q355" s="701"/>
    </row>
    <row r="356" spans="1:32" s="143" customFormat="1" ht="21.75" customHeight="1">
      <c r="B356" s="152" t="s">
        <v>1811</v>
      </c>
      <c r="C356" s="2436" t="s">
        <v>4134</v>
      </c>
      <c r="D356" s="2436"/>
      <c r="E356" s="2436"/>
      <c r="F356" s="2436"/>
      <c r="G356" s="2436"/>
      <c r="H356" s="2436"/>
      <c r="I356" s="2436"/>
      <c r="J356" s="2436"/>
      <c r="K356" s="2436"/>
      <c r="L356" s="2436"/>
      <c r="M356" s="2436"/>
      <c r="N356" s="2436"/>
      <c r="O356" s="174" t="s">
        <v>1811</v>
      </c>
      <c r="P356" s="3411"/>
      <c r="Q356" s="3412"/>
      <c r="AE356" s="530"/>
      <c r="AF356" s="530"/>
    </row>
    <row r="357" spans="1:32" s="143" customFormat="1" ht="11.45" customHeight="1">
      <c r="B357" s="152" t="s">
        <v>1812</v>
      </c>
      <c r="C357" s="2436" t="s">
        <v>2796</v>
      </c>
      <c r="D357" s="2436"/>
      <c r="E357" s="2436"/>
      <c r="F357" s="2436"/>
      <c r="G357" s="2436"/>
      <c r="H357" s="2436"/>
      <c r="I357" s="2436"/>
      <c r="J357" s="2436"/>
      <c r="K357" s="2436"/>
      <c r="L357" s="2436"/>
      <c r="M357" s="2436"/>
      <c r="N357" s="2436"/>
      <c r="O357" s="174" t="s">
        <v>1812</v>
      </c>
      <c r="P357" s="2093"/>
      <c r="Q357" s="703"/>
      <c r="AE357" s="530"/>
      <c r="AF357" s="530"/>
    </row>
    <row r="358" spans="1:32" s="143" customFormat="1" ht="11.45" customHeight="1">
      <c r="B358" s="152"/>
      <c r="C358" s="232" t="s">
        <v>1813</v>
      </c>
      <c r="D358" s="1294" t="s">
        <v>4135</v>
      </c>
      <c r="E358" s="2033"/>
      <c r="F358" s="2033"/>
      <c r="G358" s="2033"/>
      <c r="H358" s="2033"/>
      <c r="I358" s="2033"/>
      <c r="J358" s="2033"/>
      <c r="K358" s="2033"/>
      <c r="L358" s="2033"/>
      <c r="M358" s="2033"/>
      <c r="N358" s="2033"/>
      <c r="O358" s="174"/>
      <c r="P358" s="2092"/>
      <c r="Q358" s="705"/>
      <c r="AE358" s="530"/>
      <c r="AF358" s="530"/>
    </row>
    <row r="359" spans="1:32" ht="21.75" customHeight="1">
      <c r="B359" s="152" t="s">
        <v>2031</v>
      </c>
      <c r="C359" s="2436" t="s">
        <v>4136</v>
      </c>
      <c r="D359" s="2436"/>
      <c r="E359" s="2436"/>
      <c r="F359" s="2436"/>
      <c r="G359" s="2436"/>
      <c r="H359" s="2436"/>
      <c r="I359" s="2436"/>
      <c r="J359" s="2436"/>
      <c r="K359" s="2436"/>
      <c r="L359" s="2436"/>
      <c r="M359" s="2436"/>
      <c r="N359" s="2436"/>
      <c r="O359" s="174" t="s">
        <v>2031</v>
      </c>
      <c r="P359" s="2093"/>
      <c r="Q359" s="703"/>
    </row>
    <row r="360" spans="1:32" ht="33" customHeight="1">
      <c r="B360" s="152" t="s">
        <v>3708</v>
      </c>
      <c r="C360" s="2467" t="s">
        <v>4137</v>
      </c>
      <c r="D360" s="2467"/>
      <c r="E360" s="2467"/>
      <c r="F360" s="2467"/>
      <c r="G360" s="2467"/>
      <c r="H360" s="2467"/>
      <c r="I360" s="2467"/>
      <c r="J360" s="2467"/>
      <c r="K360" s="2467"/>
      <c r="L360" s="2467"/>
      <c r="M360" s="2467"/>
      <c r="N360" s="2467"/>
      <c r="O360" s="174" t="s">
        <v>3708</v>
      </c>
      <c r="P360" s="2092"/>
      <c r="Q360" s="705"/>
    </row>
    <row r="361" spans="1:32" ht="11.25" customHeight="1">
      <c r="B361" s="151" t="s">
        <v>1946</v>
      </c>
      <c r="D361" s="151"/>
      <c r="E361" s="151"/>
      <c r="F361" s="151"/>
      <c r="G361" s="151"/>
      <c r="H361" s="41"/>
      <c r="I361" s="2041"/>
      <c r="J361" s="2041"/>
      <c r="K361" s="2041"/>
      <c r="L361" s="2029"/>
      <c r="M361" s="2029"/>
      <c r="N361" s="2029"/>
      <c r="O361" s="2029"/>
      <c r="P361" s="2029"/>
      <c r="Q361" s="1343"/>
    </row>
    <row r="362" spans="1:32" ht="11.45" customHeight="1">
      <c r="A362" s="2539" t="s">
        <v>1013</v>
      </c>
      <c r="B362" s="2540"/>
      <c r="C362" s="2540"/>
      <c r="D362" s="2540"/>
      <c r="E362" s="2540"/>
      <c r="F362" s="2540"/>
      <c r="G362" s="2540"/>
      <c r="H362" s="2540"/>
      <c r="I362" s="2540"/>
      <c r="J362" s="2540"/>
      <c r="K362" s="2540"/>
      <c r="L362" s="2540"/>
      <c r="M362" s="2540"/>
      <c r="N362" s="2540"/>
      <c r="O362" s="2540"/>
      <c r="P362" s="2540"/>
      <c r="Q362" s="2541"/>
      <c r="U362" s="146"/>
      <c r="V362" s="146"/>
      <c r="W362" s="146"/>
      <c r="X362" s="146"/>
      <c r="Y362" s="146"/>
      <c r="Z362" s="146"/>
      <c r="AA362" s="146"/>
      <c r="AB362" s="146"/>
      <c r="AC362" s="146"/>
      <c r="AD362" s="146"/>
      <c r="AE362" s="529"/>
    </row>
    <row r="363" spans="1:32" ht="11.25" customHeight="1">
      <c r="B363" s="147" t="s">
        <v>1947</v>
      </c>
      <c r="C363" s="148"/>
      <c r="D363" s="2033"/>
      <c r="E363" s="2033"/>
      <c r="F363" s="2033"/>
      <c r="G363" s="2033"/>
      <c r="H363" s="2033"/>
      <c r="I363" s="2033"/>
      <c r="J363" s="2033"/>
      <c r="K363" s="2033"/>
      <c r="L363" s="2033"/>
      <c r="M363" s="2033"/>
      <c r="N363" s="2033"/>
      <c r="O363" s="2033"/>
      <c r="P363" s="2033"/>
      <c r="Q363" s="2033"/>
    </row>
    <row r="364" spans="1:32" ht="11.45" customHeight="1">
      <c r="A364" s="2513"/>
      <c r="B364" s="2514"/>
      <c r="C364" s="2514"/>
      <c r="D364" s="2514"/>
      <c r="E364" s="2514"/>
      <c r="F364" s="2514"/>
      <c r="G364" s="2514"/>
      <c r="H364" s="2514"/>
      <c r="I364" s="2514"/>
      <c r="J364" s="2514"/>
      <c r="K364" s="2514"/>
      <c r="L364" s="2514"/>
      <c r="M364" s="2514"/>
      <c r="N364" s="2514"/>
      <c r="O364" s="2514"/>
      <c r="P364" s="2514"/>
      <c r="Q364" s="2515"/>
    </row>
    <row r="365" spans="1:32" ht="3" customHeight="1">
      <c r="A365" s="2029"/>
      <c r="B365" s="2041"/>
      <c r="C365" s="2033"/>
      <c r="D365" s="2033"/>
      <c r="E365" s="2033"/>
      <c r="F365" s="2033"/>
      <c r="G365" s="2033"/>
      <c r="H365" s="2033"/>
      <c r="I365" s="2033"/>
      <c r="J365" s="2033"/>
      <c r="K365" s="2033"/>
      <c r="L365" s="2033"/>
      <c r="M365" s="2033"/>
      <c r="Q365" s="1343"/>
    </row>
    <row r="366" spans="1:32" ht="13.9" customHeight="1">
      <c r="A366" s="2037">
        <v>23</v>
      </c>
      <c r="B366" s="4" t="s">
        <v>2797</v>
      </c>
      <c r="C366" s="4"/>
      <c r="D366" s="4"/>
      <c r="E366" s="4"/>
      <c r="F366" s="4"/>
      <c r="G366" s="4"/>
      <c r="H366" s="2033"/>
      <c r="I366" s="2033"/>
      <c r="J366" s="2033"/>
      <c r="O366" s="142" t="s">
        <v>1948</v>
      </c>
      <c r="P366" s="3300"/>
      <c r="Q366" s="3301"/>
    </row>
    <row r="367" spans="1:32" ht="11.45" customHeight="1">
      <c r="B367" s="48" t="s">
        <v>2068</v>
      </c>
      <c r="C367" s="126" t="s">
        <v>1078</v>
      </c>
      <c r="E367" s="3344"/>
      <c r="F367" s="3345"/>
      <c r="G367" s="3345"/>
      <c r="H367" s="3345"/>
      <c r="I367" s="3346"/>
      <c r="J367" s="2455" t="s">
        <v>2778</v>
      </c>
      <c r="K367" s="2456"/>
      <c r="L367" s="2457"/>
      <c r="M367" s="3344"/>
      <c r="N367" s="3345"/>
      <c r="O367" s="3345"/>
      <c r="P367" s="3345"/>
      <c r="Q367" s="3346"/>
    </row>
    <row r="368" spans="1:32" ht="11.45" customHeight="1">
      <c r="B368" s="48" t="s">
        <v>2071</v>
      </c>
      <c r="C368" s="54" t="s">
        <v>3872</v>
      </c>
      <c r="D368" s="54"/>
      <c r="E368" s="54"/>
      <c r="F368" s="54"/>
      <c r="G368" s="54"/>
      <c r="H368" s="54"/>
      <c r="I368" s="54"/>
      <c r="J368" s="54"/>
      <c r="K368" s="54"/>
      <c r="L368" s="1344"/>
      <c r="M368" s="1344"/>
      <c r="O368" s="527" t="s">
        <v>2071</v>
      </c>
      <c r="P368" s="2084"/>
      <c r="Q368" s="700"/>
    </row>
    <row r="369" spans="1:31" ht="22.5" customHeight="1">
      <c r="B369" s="152" t="s">
        <v>786</v>
      </c>
      <c r="C369" s="2463" t="s">
        <v>3948</v>
      </c>
      <c r="D369" s="2463"/>
      <c r="E369" s="2463"/>
      <c r="F369" s="2463"/>
      <c r="G369" s="2463"/>
      <c r="H369" s="2463"/>
      <c r="I369" s="2463"/>
      <c r="J369" s="2463"/>
      <c r="K369" s="2463"/>
      <c r="L369" s="2463"/>
      <c r="M369" s="2463"/>
      <c r="N369" s="2463"/>
      <c r="O369" s="527" t="s">
        <v>786</v>
      </c>
      <c r="P369" s="2086"/>
      <c r="Q369" s="702"/>
    </row>
    <row r="370" spans="1:31">
      <c r="B370" s="48" t="s">
        <v>2203</v>
      </c>
      <c r="C370" s="57" t="s">
        <v>4527</v>
      </c>
      <c r="G370" s="2034"/>
      <c r="H370" s="2034"/>
      <c r="I370" s="2034"/>
      <c r="J370" s="1344" t="s">
        <v>4528</v>
      </c>
      <c r="L370" s="2034"/>
      <c r="M370" s="2465">
        <f>'Part III-Sources of Funds'!E10</f>
        <v>3000000</v>
      </c>
      <c r="N370" s="2466"/>
      <c r="O370" s="527" t="s">
        <v>2203</v>
      </c>
      <c r="P370" s="2086"/>
      <c r="Q370" s="702"/>
    </row>
    <row r="371" spans="1:31" ht="11.25" customHeight="1">
      <c r="B371" s="151" t="s">
        <v>1946</v>
      </c>
      <c r="D371" s="151"/>
      <c r="E371" s="151"/>
      <c r="F371" s="151"/>
      <c r="G371" s="151"/>
      <c r="H371" s="41"/>
      <c r="I371" s="2041"/>
      <c r="J371" s="2041"/>
      <c r="K371" s="2041"/>
      <c r="L371" s="2029"/>
      <c r="M371" s="2029"/>
      <c r="N371" s="2029"/>
      <c r="O371" s="2029"/>
      <c r="P371" s="2029"/>
      <c r="Q371" s="1343"/>
    </row>
    <row r="372" spans="1:31" ht="11.45" customHeight="1">
      <c r="A372" s="2539" t="s">
        <v>1013</v>
      </c>
      <c r="B372" s="2540"/>
      <c r="C372" s="2540"/>
      <c r="D372" s="2540"/>
      <c r="E372" s="2540"/>
      <c r="F372" s="2540"/>
      <c r="G372" s="2540"/>
      <c r="H372" s="2540"/>
      <c r="I372" s="2540"/>
      <c r="J372" s="2540"/>
      <c r="K372" s="2540"/>
      <c r="L372" s="2540"/>
      <c r="M372" s="2540"/>
      <c r="N372" s="2540"/>
      <c r="O372" s="2540"/>
      <c r="P372" s="2540"/>
      <c r="Q372" s="2541"/>
      <c r="U372" s="146"/>
      <c r="V372" s="146"/>
      <c r="W372" s="146"/>
      <c r="X372" s="146"/>
      <c r="Y372" s="146"/>
      <c r="Z372" s="146"/>
      <c r="AA372" s="146"/>
      <c r="AB372" s="146"/>
      <c r="AC372" s="146"/>
      <c r="AD372" s="146"/>
      <c r="AE372" s="529"/>
    </row>
    <row r="373" spans="1:31" ht="11.25" customHeight="1">
      <c r="B373" s="147" t="s">
        <v>1947</v>
      </c>
      <c r="C373" s="148"/>
      <c r="D373" s="2033"/>
      <c r="E373" s="2033"/>
      <c r="F373" s="2033"/>
      <c r="G373" s="2033"/>
      <c r="H373" s="2033"/>
      <c r="I373" s="2033"/>
      <c r="J373" s="2033"/>
      <c r="K373" s="2033"/>
      <c r="L373" s="2033"/>
      <c r="M373" s="2033"/>
      <c r="N373" s="2033"/>
      <c r="O373" s="2033"/>
      <c r="P373" s="2033"/>
      <c r="Q373" s="2033"/>
    </row>
    <row r="374" spans="1:31" ht="11.45" customHeight="1">
      <c r="A374" s="2513"/>
      <c r="B374" s="2514"/>
      <c r="C374" s="2514"/>
      <c r="D374" s="2514"/>
      <c r="E374" s="2514"/>
      <c r="F374" s="2514"/>
      <c r="G374" s="2514"/>
      <c r="H374" s="2514"/>
      <c r="I374" s="2514"/>
      <c r="J374" s="2514"/>
      <c r="K374" s="2514"/>
      <c r="L374" s="2514"/>
      <c r="M374" s="2514"/>
      <c r="N374" s="2514"/>
      <c r="O374" s="2514"/>
      <c r="P374" s="2514"/>
      <c r="Q374" s="2515"/>
    </row>
    <row r="375" spans="1:31" ht="3.6" customHeight="1">
      <c r="A375" s="2029"/>
      <c r="B375" s="2041"/>
      <c r="C375" s="2033"/>
      <c r="D375" s="2033"/>
      <c r="E375" s="2033"/>
      <c r="F375" s="2033"/>
      <c r="G375" s="2033"/>
      <c r="H375" s="2033"/>
      <c r="I375" s="2033"/>
      <c r="J375" s="2033"/>
      <c r="K375" s="2033"/>
      <c r="L375" s="2033"/>
      <c r="M375" s="2033"/>
      <c r="Q375" s="1343"/>
    </row>
    <row r="376" spans="1:31" ht="13.9" customHeight="1">
      <c r="A376" s="2037">
        <v>24</v>
      </c>
      <c r="B376" s="4" t="s">
        <v>2775</v>
      </c>
      <c r="C376" s="4"/>
      <c r="D376" s="4"/>
      <c r="E376" s="2033"/>
      <c r="G376" s="150" t="s">
        <v>736</v>
      </c>
      <c r="H376" s="2033"/>
      <c r="I376" s="2033"/>
      <c r="J376" s="2033"/>
      <c r="K376" s="2033"/>
      <c r="L376" s="2033"/>
      <c r="M376" s="2033"/>
      <c r="O376" s="142" t="s">
        <v>1948</v>
      </c>
      <c r="P376" s="3300"/>
      <c r="Q376" s="3413"/>
    </row>
    <row r="377" spans="1:31" ht="12" customHeight="1">
      <c r="A377" s="154"/>
      <c r="B377" s="48" t="s">
        <v>2068</v>
      </c>
      <c r="C377" s="54" t="s">
        <v>2780</v>
      </c>
      <c r="D377" s="1345"/>
      <c r="E377" s="1345"/>
      <c r="H377" s="150"/>
      <c r="O377" s="527" t="s">
        <v>2068</v>
      </c>
      <c r="P377" s="2084"/>
      <c r="Q377" s="700"/>
    </row>
    <row r="378" spans="1:31" ht="12" customHeight="1">
      <c r="A378" s="154"/>
      <c r="B378" s="48" t="s">
        <v>2071</v>
      </c>
      <c r="C378" s="54" t="s">
        <v>4138</v>
      </c>
      <c r="D378" s="1345"/>
      <c r="E378" s="1345"/>
      <c r="O378" s="527" t="s">
        <v>2071</v>
      </c>
      <c r="P378" s="2085"/>
      <c r="Q378" s="701"/>
    </row>
    <row r="379" spans="1:31" ht="12" customHeight="1">
      <c r="A379" s="154"/>
      <c r="B379" s="48" t="s">
        <v>786</v>
      </c>
      <c r="C379" s="54" t="s">
        <v>4139</v>
      </c>
      <c r="D379" s="1345"/>
      <c r="E379" s="1345"/>
      <c r="O379" s="527" t="s">
        <v>786</v>
      </c>
      <c r="P379" s="2085"/>
      <c r="Q379" s="701"/>
    </row>
    <row r="380" spans="1:31" ht="12" customHeight="1">
      <c r="A380" s="154"/>
      <c r="B380" s="48" t="s">
        <v>2203</v>
      </c>
      <c r="C380" s="54" t="s">
        <v>4140</v>
      </c>
      <c r="E380" s="150"/>
      <c r="O380" s="527" t="s">
        <v>2203</v>
      </c>
      <c r="P380" s="2085"/>
      <c r="Q380" s="701"/>
    </row>
    <row r="381" spans="1:31" ht="12" customHeight="1">
      <c r="B381" s="48" t="s">
        <v>1811</v>
      </c>
      <c r="C381" s="54" t="s">
        <v>2167</v>
      </c>
      <c r="E381" s="150"/>
      <c r="G381" s="527" t="s">
        <v>1811</v>
      </c>
      <c r="H381" s="3414"/>
      <c r="I381" s="3415"/>
      <c r="J381" s="3415"/>
      <c r="K381" s="3415"/>
      <c r="L381" s="3415"/>
      <c r="M381" s="3415"/>
      <c r="N381" s="3415"/>
      <c r="O381" s="3416"/>
      <c r="P381" s="2086"/>
      <c r="Q381" s="702"/>
    </row>
    <row r="382" spans="1:31" ht="11.25" customHeight="1">
      <c r="B382" s="151" t="s">
        <v>1946</v>
      </c>
      <c r="D382" s="151"/>
      <c r="E382" s="151"/>
      <c r="F382" s="151"/>
      <c r="G382" s="151"/>
      <c r="H382" s="41"/>
      <c r="I382" s="2041"/>
      <c r="J382" s="2041"/>
      <c r="K382" s="2041"/>
      <c r="L382" s="2029"/>
      <c r="M382" s="2029"/>
      <c r="N382" s="2029"/>
      <c r="O382" s="2029"/>
      <c r="P382" s="2029"/>
      <c r="Q382" s="1343"/>
    </row>
    <row r="383" spans="1:31" ht="11.45" customHeight="1">
      <c r="A383" s="2539" t="s">
        <v>4744</v>
      </c>
      <c r="B383" s="2540"/>
      <c r="C383" s="2540"/>
      <c r="D383" s="2540"/>
      <c r="E383" s="2540"/>
      <c r="F383" s="2540"/>
      <c r="G383" s="2540"/>
      <c r="H383" s="2540"/>
      <c r="I383" s="2540"/>
      <c r="J383" s="2540"/>
      <c r="K383" s="2540"/>
      <c r="L383" s="2540"/>
      <c r="M383" s="2540"/>
      <c r="N383" s="2540"/>
      <c r="O383" s="2540"/>
      <c r="P383" s="2540"/>
      <c r="Q383" s="2541"/>
      <c r="U383" s="146"/>
      <c r="V383" s="146"/>
      <c r="W383" s="146"/>
      <c r="X383" s="146"/>
      <c r="Y383" s="146"/>
      <c r="Z383" s="146"/>
      <c r="AA383" s="146"/>
      <c r="AB383" s="146"/>
      <c r="AC383" s="146"/>
      <c r="AD383" s="146"/>
      <c r="AE383" s="529"/>
    </row>
    <row r="384" spans="1:31" ht="11.25" customHeight="1">
      <c r="B384" s="147" t="s">
        <v>1947</v>
      </c>
      <c r="C384" s="148"/>
      <c r="D384" s="2033"/>
      <c r="E384" s="2033"/>
      <c r="F384" s="2033"/>
      <c r="G384" s="2033"/>
      <c r="H384" s="2033"/>
      <c r="I384" s="2033"/>
      <c r="J384" s="2033"/>
      <c r="K384" s="2033"/>
      <c r="L384" s="2033"/>
      <c r="M384" s="2033"/>
      <c r="N384" s="2033"/>
      <c r="O384" s="2033"/>
      <c r="P384" s="2033"/>
      <c r="Q384" s="2033"/>
    </row>
    <row r="385" spans="1:32" ht="11.45" customHeight="1">
      <c r="A385" s="2513"/>
      <c r="B385" s="2514"/>
      <c r="C385" s="2514"/>
      <c r="D385" s="2514"/>
      <c r="E385" s="2514"/>
      <c r="F385" s="2514"/>
      <c r="G385" s="2514"/>
      <c r="H385" s="2514"/>
      <c r="I385" s="2514"/>
      <c r="J385" s="2514"/>
      <c r="K385" s="2514"/>
      <c r="L385" s="2514"/>
      <c r="M385" s="2514"/>
      <c r="N385" s="2514"/>
      <c r="O385" s="2514"/>
      <c r="P385" s="2514"/>
      <c r="Q385" s="2515"/>
    </row>
    <row r="386" spans="1:32" ht="3" customHeight="1">
      <c r="A386" s="2029"/>
      <c r="B386" s="2041"/>
      <c r="C386" s="2033"/>
      <c r="D386" s="2033"/>
      <c r="E386" s="2033"/>
      <c r="F386" s="2033"/>
      <c r="G386" s="2033"/>
      <c r="H386" s="2033"/>
      <c r="I386" s="2033"/>
      <c r="J386" s="2033"/>
      <c r="K386" s="2033"/>
      <c r="L386" s="2033"/>
      <c r="M386" s="2033"/>
      <c r="N386" s="2033"/>
      <c r="O386" s="2033"/>
      <c r="P386" s="2033"/>
      <c r="Q386" s="2029"/>
    </row>
    <row r="387" spans="1:32" ht="13.9" customHeight="1">
      <c r="A387" s="2037">
        <v>25</v>
      </c>
      <c r="B387" s="4" t="s">
        <v>2776</v>
      </c>
      <c r="C387" s="4"/>
      <c r="D387" s="4"/>
      <c r="E387" s="4"/>
      <c r="F387" s="4"/>
      <c r="G387" s="4"/>
      <c r="H387" s="2033"/>
      <c r="I387" s="2033"/>
      <c r="J387" s="2033"/>
      <c r="K387" s="2033"/>
      <c r="L387" s="2033"/>
      <c r="M387" s="2033"/>
      <c r="O387" s="142" t="s">
        <v>1948</v>
      </c>
      <c r="P387" s="3300"/>
      <c r="Q387" s="3413"/>
    </row>
    <row r="388" spans="1:32" ht="12" customHeight="1">
      <c r="A388" s="43"/>
      <c r="B388" s="48" t="s">
        <v>2068</v>
      </c>
      <c r="C388" s="40" t="s">
        <v>789</v>
      </c>
      <c r="D388" s="43"/>
      <c r="E388" s="43"/>
      <c r="F388" s="43"/>
      <c r="G388" s="43"/>
      <c r="H388" s="43"/>
      <c r="I388" s="43"/>
      <c r="J388" s="43"/>
      <c r="K388" s="43"/>
      <c r="L388" s="43"/>
      <c r="M388" s="43"/>
      <c r="N388" s="43"/>
      <c r="O388" s="527" t="s">
        <v>2068</v>
      </c>
      <c r="P388" s="2084" t="s">
        <v>3300</v>
      </c>
      <c r="Q388" s="700"/>
    </row>
    <row r="389" spans="1:32" ht="12" customHeight="1">
      <c r="A389" s="43"/>
      <c r="B389" s="48" t="s">
        <v>2071</v>
      </c>
      <c r="C389" s="37" t="s">
        <v>3952</v>
      </c>
      <c r="D389" s="43"/>
      <c r="E389" s="43"/>
      <c r="F389" s="43"/>
      <c r="G389" s="43"/>
      <c r="H389" s="43"/>
      <c r="I389" s="43"/>
      <c r="J389" s="43"/>
      <c r="K389" s="43"/>
      <c r="L389" s="43"/>
      <c r="M389" s="43"/>
      <c r="N389" s="43"/>
      <c r="O389" s="527" t="s">
        <v>1510</v>
      </c>
      <c r="P389" s="2086" t="s">
        <v>3300</v>
      </c>
      <c r="Q389" s="702"/>
    </row>
    <row r="390" spans="1:32" ht="12" customHeight="1">
      <c r="A390" s="43"/>
      <c r="B390" s="48"/>
      <c r="C390" s="54" t="s">
        <v>1549</v>
      </c>
      <c r="D390" s="54"/>
      <c r="E390" s="54"/>
      <c r="F390" s="54"/>
      <c r="G390" s="54"/>
      <c r="H390" s="54"/>
      <c r="I390" s="54"/>
      <c r="J390" s="54"/>
      <c r="K390" s="54"/>
      <c r="L390" s="54"/>
      <c r="M390" s="54"/>
      <c r="N390" s="43"/>
    </row>
    <row r="391" spans="1:32" ht="12" customHeight="1">
      <c r="A391" s="43"/>
      <c r="B391" s="48"/>
      <c r="C391" s="54" t="s">
        <v>1814</v>
      </c>
      <c r="D391" s="54" t="s">
        <v>3949</v>
      </c>
      <c r="E391" s="54"/>
      <c r="F391" s="54"/>
      <c r="G391" s="54"/>
      <c r="H391" s="54"/>
      <c r="I391" s="54"/>
      <c r="J391" s="54"/>
      <c r="K391" s="54"/>
      <c r="L391" s="54"/>
      <c r="M391" s="54"/>
      <c r="N391" s="43"/>
      <c r="O391" s="527" t="s">
        <v>1814</v>
      </c>
      <c r="P391" s="2084"/>
      <c r="Q391" s="700"/>
    </row>
    <row r="392" spans="1:32" s="158" customFormat="1" ht="12" customHeight="1">
      <c r="A392" s="100"/>
      <c r="B392" s="48"/>
      <c r="C392" s="54" t="s">
        <v>4099</v>
      </c>
      <c r="D392" s="54" t="s">
        <v>4100</v>
      </c>
      <c r="E392" s="54"/>
      <c r="F392" s="54"/>
      <c r="G392" s="54"/>
      <c r="H392" s="54"/>
      <c r="I392" s="54"/>
      <c r="J392" s="54"/>
      <c r="K392" s="54"/>
      <c r="L392" s="54"/>
      <c r="M392" s="54"/>
      <c r="N392" s="100"/>
      <c r="O392" s="527" t="s">
        <v>1815</v>
      </c>
      <c r="P392" s="2082"/>
      <c r="Q392" s="698"/>
      <c r="AE392" s="531"/>
      <c r="AF392" s="531"/>
    </row>
    <row r="393" spans="1:32" ht="12" customHeight="1">
      <c r="A393" s="43"/>
      <c r="B393" s="48" t="s">
        <v>786</v>
      </c>
      <c r="C393" s="2463" t="s">
        <v>2290</v>
      </c>
      <c r="D393" s="2463"/>
      <c r="E393" s="2463"/>
      <c r="F393" s="2463"/>
      <c r="G393" s="2463"/>
      <c r="H393" s="2463"/>
      <c r="I393" s="2463"/>
      <c r="J393" s="2463"/>
      <c r="K393" s="2463"/>
      <c r="L393" s="2463"/>
      <c r="M393" s="2463"/>
      <c r="N393" s="2463"/>
      <c r="O393" s="527" t="s">
        <v>786</v>
      </c>
      <c r="P393" s="2086"/>
      <c r="Q393" s="702"/>
    </row>
    <row r="394" spans="1:32" ht="12" customHeight="1">
      <c r="A394" s="43"/>
      <c r="B394" s="48" t="s">
        <v>2203</v>
      </c>
      <c r="C394" s="1344" t="s">
        <v>3049</v>
      </c>
      <c r="D394" s="1344"/>
      <c r="E394" s="1344"/>
      <c r="F394" s="1344"/>
      <c r="G394" s="1344"/>
      <c r="H394" s="1344"/>
      <c r="I394" s="1344"/>
      <c r="J394" s="1344"/>
      <c r="K394" s="1344"/>
      <c r="L394" s="1344"/>
      <c r="M394" s="1344"/>
      <c r="N394" s="43"/>
      <c r="O394" s="527"/>
      <c r="P394" s="43"/>
      <c r="Q394" s="43"/>
    </row>
    <row r="395" spans="1:32" ht="12" customHeight="1">
      <c r="A395" s="43"/>
      <c r="B395" s="48"/>
      <c r="C395" s="145" t="s">
        <v>2291</v>
      </c>
      <c r="D395" s="37"/>
      <c r="E395" s="43"/>
      <c r="F395" s="1344"/>
      <c r="G395" s="3417"/>
      <c r="H395" s="3418"/>
      <c r="J395" s="145" t="s">
        <v>2294</v>
      </c>
      <c r="K395" s="1344"/>
      <c r="N395" s="3417"/>
      <c r="O395" s="3418"/>
    </row>
    <row r="396" spans="1:32" ht="12" customHeight="1">
      <c r="A396" s="43"/>
      <c r="B396" s="48"/>
      <c r="C396" s="145" t="s">
        <v>2292</v>
      </c>
      <c r="D396" s="37"/>
      <c r="E396" s="43"/>
      <c r="F396" s="1344"/>
      <c r="G396" s="3419"/>
      <c r="H396" s="3420"/>
      <c r="J396" s="145" t="s">
        <v>2295</v>
      </c>
      <c r="K396" s="1344"/>
      <c r="N396" s="3421"/>
      <c r="O396" s="3422"/>
    </row>
    <row r="397" spans="1:32" ht="12" customHeight="1">
      <c r="A397" s="43"/>
      <c r="B397" s="48"/>
      <c r="C397" s="145" t="s">
        <v>2293</v>
      </c>
      <c r="D397" s="37"/>
      <c r="E397" s="43"/>
      <c r="F397" s="1344"/>
      <c r="G397" s="3421"/>
      <c r="H397" s="3422"/>
      <c r="K397" s="1344"/>
      <c r="L397" s="1344"/>
      <c r="M397" s="1344"/>
      <c r="N397" s="43"/>
      <c r="O397" s="527"/>
    </row>
    <row r="398" spans="1:32" ht="12" customHeight="1">
      <c r="A398" s="43"/>
      <c r="B398" s="48" t="s">
        <v>1811</v>
      </c>
      <c r="C398" s="1344" t="s">
        <v>2481</v>
      </c>
      <c r="D398" s="1344"/>
      <c r="E398" s="1344"/>
      <c r="F398" s="1344"/>
      <c r="G398" s="1344"/>
      <c r="J398" s="43"/>
      <c r="K398" s="1344"/>
      <c r="L398" s="1344"/>
      <c r="M398" s="1344"/>
      <c r="N398" s="43"/>
      <c r="O398" s="527"/>
      <c r="P398" s="527"/>
      <c r="Q398" s="527"/>
    </row>
    <row r="399" spans="1:32" ht="12" customHeight="1">
      <c r="A399" s="43"/>
      <c r="B399" s="48"/>
      <c r="C399" s="481" t="s">
        <v>2296</v>
      </c>
      <c r="D399" s="1344"/>
      <c r="E399" s="1344"/>
      <c r="F399" s="1344"/>
      <c r="G399" s="2084"/>
      <c r="H399" s="700"/>
      <c r="J399" s="481" t="s">
        <v>1232</v>
      </c>
      <c r="K399" s="1344"/>
      <c r="N399" s="2082"/>
      <c r="O399" s="698"/>
    </row>
    <row r="400" spans="1:32" ht="12" customHeight="1">
      <c r="A400" s="43"/>
      <c r="B400" s="48"/>
      <c r="C400" s="481" t="s">
        <v>1231</v>
      </c>
      <c r="D400" s="1344"/>
      <c r="E400" s="1344"/>
      <c r="F400" s="1344"/>
      <c r="G400" s="2086"/>
      <c r="H400" s="702"/>
      <c r="J400" s="481" t="s">
        <v>2344</v>
      </c>
      <c r="N400" s="3423"/>
      <c r="O400" s="3424"/>
      <c r="P400" s="3424"/>
      <c r="Q400" s="3425"/>
    </row>
    <row r="401" spans="1:32" ht="12" customHeight="1">
      <c r="B401" s="151" t="s">
        <v>1946</v>
      </c>
      <c r="D401" s="151"/>
      <c r="E401" s="151"/>
      <c r="F401" s="151"/>
      <c r="G401" s="151"/>
      <c r="H401" s="41"/>
      <c r="I401" s="2041"/>
      <c r="J401" s="2041"/>
      <c r="K401" s="2041"/>
      <c r="P401" s="2029"/>
      <c r="Q401" s="1343"/>
    </row>
    <row r="402" spans="1:32" ht="12" customHeight="1">
      <c r="A402" s="2539" t="s">
        <v>4745</v>
      </c>
      <c r="B402" s="2540"/>
      <c r="C402" s="2540"/>
      <c r="D402" s="2540"/>
      <c r="E402" s="2540"/>
      <c r="F402" s="2540"/>
      <c r="G402" s="2540"/>
      <c r="H402" s="2540"/>
      <c r="I402" s="2540"/>
      <c r="J402" s="2540"/>
      <c r="K402" s="2540"/>
      <c r="L402" s="2540"/>
      <c r="M402" s="2540"/>
      <c r="N402" s="2540"/>
      <c r="O402" s="2540"/>
      <c r="P402" s="2540"/>
      <c r="Q402" s="2541"/>
      <c r="U402" s="146"/>
      <c r="V402" s="146"/>
      <c r="W402" s="146"/>
      <c r="X402" s="146"/>
      <c r="Y402" s="146"/>
      <c r="Z402" s="146"/>
      <c r="AA402" s="146"/>
      <c r="AB402" s="146"/>
      <c r="AC402" s="146"/>
      <c r="AD402" s="146"/>
      <c r="AE402" s="529"/>
    </row>
    <row r="403" spans="1:32" ht="12" customHeight="1">
      <c r="B403" s="147" t="s">
        <v>1947</v>
      </c>
      <c r="C403" s="148"/>
      <c r="D403" s="2033"/>
      <c r="E403" s="2033"/>
      <c r="F403" s="2033"/>
      <c r="G403" s="2033"/>
      <c r="H403" s="2033"/>
      <c r="I403" s="2033"/>
      <c r="J403" s="2033"/>
      <c r="K403" s="2033"/>
      <c r="L403" s="2033"/>
      <c r="M403" s="2033"/>
      <c r="N403" s="2033"/>
      <c r="O403" s="2033"/>
      <c r="P403" s="2033"/>
      <c r="Q403" s="2033"/>
    </row>
    <row r="404" spans="1:32" ht="12" customHeight="1">
      <c r="A404" s="2513"/>
      <c r="B404" s="2514"/>
      <c r="C404" s="2514"/>
      <c r="D404" s="2514"/>
      <c r="E404" s="2514"/>
      <c r="F404" s="2514"/>
      <c r="G404" s="2514"/>
      <c r="H404" s="2514"/>
      <c r="I404" s="2514"/>
      <c r="J404" s="2514"/>
      <c r="K404" s="2514"/>
      <c r="L404" s="2514"/>
      <c r="M404" s="2514"/>
      <c r="N404" s="2514"/>
      <c r="O404" s="2514"/>
      <c r="P404" s="2514"/>
      <c r="Q404" s="2515"/>
    </row>
    <row r="405" spans="1:32" ht="3" customHeight="1">
      <c r="A405" s="2029"/>
      <c r="B405" s="2041"/>
      <c r="C405" s="2033"/>
      <c r="D405" s="2033"/>
      <c r="E405" s="2033"/>
      <c r="F405" s="2033"/>
      <c r="G405" s="2033"/>
      <c r="H405" s="2033"/>
      <c r="I405" s="2033"/>
      <c r="J405" s="2033"/>
      <c r="K405" s="2033"/>
      <c r="L405" s="2033"/>
      <c r="M405" s="2033"/>
      <c r="Q405" s="1343"/>
    </row>
    <row r="406" spans="1:32" ht="13.9" customHeight="1">
      <c r="A406" s="2037">
        <v>26</v>
      </c>
      <c r="B406" s="4" t="s">
        <v>3050</v>
      </c>
      <c r="C406" s="4"/>
      <c r="D406" s="92"/>
      <c r="E406" s="2033"/>
      <c r="F406" s="2033"/>
      <c r="G406" s="2033"/>
      <c r="H406" s="2033"/>
      <c r="O406" s="142" t="s">
        <v>1948</v>
      </c>
      <c r="P406" s="3300"/>
      <c r="Q406" s="3301"/>
    </row>
    <row r="407" spans="1:32" ht="13.9" customHeight="1">
      <c r="A407" s="2037"/>
      <c r="B407" s="92" t="s">
        <v>3710</v>
      </c>
      <c r="C407" s="4"/>
      <c r="D407" s="92"/>
      <c r="E407" s="2033"/>
      <c r="F407" s="2033"/>
      <c r="G407" s="2033"/>
      <c r="H407" s="2033"/>
    </row>
    <row r="408" spans="1:32" s="143" customFormat="1" ht="21.75" customHeight="1">
      <c r="B408" s="152" t="s">
        <v>2068</v>
      </c>
      <c r="C408" s="2453" t="s">
        <v>3711</v>
      </c>
      <c r="D408" s="2453"/>
      <c r="E408" s="2453"/>
      <c r="F408" s="2453"/>
      <c r="G408" s="2453"/>
      <c r="H408" s="2453"/>
      <c r="I408" s="2453"/>
      <c r="J408" s="2453"/>
      <c r="K408" s="2453"/>
      <c r="L408" s="2453"/>
      <c r="M408" s="2453"/>
      <c r="N408" s="2453"/>
      <c r="O408" s="174" t="s">
        <v>2068</v>
      </c>
      <c r="P408" s="2093" t="s">
        <v>4708</v>
      </c>
      <c r="Q408" s="703"/>
      <c r="AE408" s="530"/>
      <c r="AF408" s="530"/>
    </row>
    <row r="409" spans="1:32" s="143" customFormat="1">
      <c r="B409" s="152" t="s">
        <v>2071</v>
      </c>
      <c r="C409" s="2453" t="s">
        <v>3950</v>
      </c>
      <c r="D409" s="2453"/>
      <c r="E409" s="2453"/>
      <c r="F409" s="2453"/>
      <c r="G409" s="2453"/>
      <c r="H409" s="2453"/>
      <c r="I409" s="2453"/>
      <c r="J409" s="2453"/>
      <c r="K409" s="2453"/>
      <c r="L409" s="2453"/>
      <c r="M409" s="2453"/>
      <c r="N409" s="2453"/>
      <c r="O409" s="174" t="s">
        <v>2071</v>
      </c>
      <c r="P409" s="2094" t="s">
        <v>4708</v>
      </c>
      <c r="Q409" s="704"/>
      <c r="AE409" s="530"/>
      <c r="AF409" s="530"/>
    </row>
    <row r="410" spans="1:32" s="143" customFormat="1">
      <c r="B410" s="152" t="s">
        <v>786</v>
      </c>
      <c r="C410" s="2453" t="s">
        <v>3951</v>
      </c>
      <c r="D410" s="2453"/>
      <c r="E410" s="2453"/>
      <c r="F410" s="2453"/>
      <c r="G410" s="2453"/>
      <c r="H410" s="2453"/>
      <c r="I410" s="2453"/>
      <c r="J410" s="2453"/>
      <c r="K410" s="2453"/>
      <c r="L410" s="2453"/>
      <c r="M410" s="2453"/>
      <c r="N410" s="2453"/>
      <c r="O410" s="174" t="s">
        <v>786</v>
      </c>
      <c r="P410" s="2094" t="s">
        <v>4708</v>
      </c>
      <c r="Q410" s="704"/>
      <c r="AE410" s="530"/>
      <c r="AF410" s="530"/>
    </row>
    <row r="411" spans="1:32" s="143" customFormat="1" ht="22.5" customHeight="1">
      <c r="B411" s="152" t="s">
        <v>2203</v>
      </c>
      <c r="C411" s="2453" t="s">
        <v>3712</v>
      </c>
      <c r="D411" s="2453"/>
      <c r="E411" s="2453"/>
      <c r="F411" s="2453"/>
      <c r="G411" s="2453"/>
      <c r="H411" s="2453"/>
      <c r="I411" s="2453"/>
      <c r="J411" s="2453"/>
      <c r="K411" s="2453"/>
      <c r="L411" s="2453"/>
      <c r="M411" s="2453"/>
      <c r="N411" s="2453"/>
      <c r="O411" s="174" t="s">
        <v>2203</v>
      </c>
      <c r="P411" s="2094" t="s">
        <v>4708</v>
      </c>
      <c r="Q411" s="704"/>
      <c r="AE411" s="530"/>
      <c r="AF411" s="530"/>
    </row>
    <row r="412" spans="1:32" s="143" customFormat="1">
      <c r="B412" s="152" t="s">
        <v>1811</v>
      </c>
      <c r="C412" s="2453" t="s">
        <v>3713</v>
      </c>
      <c r="D412" s="2453"/>
      <c r="E412" s="2453"/>
      <c r="F412" s="2453"/>
      <c r="G412" s="2453"/>
      <c r="H412" s="2453"/>
      <c r="I412" s="2453"/>
      <c r="J412" s="2453"/>
      <c r="K412" s="2453"/>
      <c r="L412" s="2453"/>
      <c r="M412" s="2453"/>
      <c r="N412" s="2453"/>
      <c r="O412" s="174" t="s">
        <v>1811</v>
      </c>
      <c r="P412" s="2094" t="s">
        <v>4708</v>
      </c>
      <c r="Q412" s="704"/>
      <c r="AE412" s="530"/>
      <c r="AF412" s="530"/>
    </row>
    <row r="413" spans="1:32" s="143" customFormat="1">
      <c r="B413" s="152" t="s">
        <v>1812</v>
      </c>
      <c r="C413" s="2453" t="s">
        <v>3714</v>
      </c>
      <c r="D413" s="2453"/>
      <c r="E413" s="2453"/>
      <c r="F413" s="2453"/>
      <c r="G413" s="2453"/>
      <c r="H413" s="2453"/>
      <c r="I413" s="2453"/>
      <c r="J413" s="2453"/>
      <c r="K413" s="2453"/>
      <c r="L413" s="2453"/>
      <c r="M413" s="2453"/>
      <c r="N413" s="2453"/>
      <c r="O413" s="174" t="s">
        <v>1812</v>
      </c>
      <c r="P413" s="2094" t="s">
        <v>4708</v>
      </c>
      <c r="Q413" s="704"/>
      <c r="AE413" s="530"/>
      <c r="AF413" s="530"/>
    </row>
    <row r="414" spans="1:32" s="143" customFormat="1" ht="21.75" customHeight="1">
      <c r="B414" s="152" t="s">
        <v>2031</v>
      </c>
      <c r="C414" s="2453" t="s">
        <v>3953</v>
      </c>
      <c r="D414" s="2453"/>
      <c r="E414" s="2453"/>
      <c r="F414" s="2453"/>
      <c r="G414" s="2453"/>
      <c r="H414" s="2453"/>
      <c r="I414" s="2453"/>
      <c r="J414" s="2453"/>
      <c r="K414" s="2453"/>
      <c r="L414" s="2453"/>
      <c r="M414" s="2453"/>
      <c r="N414" s="2453"/>
      <c r="O414" s="174" t="s">
        <v>2031</v>
      </c>
      <c r="P414" s="2092" t="s">
        <v>4708</v>
      </c>
      <c r="Q414" s="705"/>
      <c r="AE414" s="530"/>
      <c r="AF414" s="530"/>
    </row>
    <row r="415" spans="1:32" ht="11.25" customHeight="1">
      <c r="B415" s="151" t="s">
        <v>1946</v>
      </c>
      <c r="D415" s="151"/>
      <c r="E415" s="151"/>
      <c r="F415" s="151"/>
      <c r="G415" s="151"/>
      <c r="H415" s="41"/>
      <c r="I415" s="2041"/>
      <c r="J415" s="2041"/>
      <c r="K415" s="2041"/>
      <c r="L415" s="2029"/>
      <c r="M415" s="2029"/>
      <c r="N415" s="2029"/>
      <c r="O415" s="2029"/>
      <c r="P415" s="2029"/>
      <c r="Q415" s="1343"/>
    </row>
    <row r="416" spans="1:32" ht="11.45" customHeight="1">
      <c r="A416" s="2539"/>
      <c r="B416" s="2540"/>
      <c r="C416" s="2540"/>
      <c r="D416" s="2540"/>
      <c r="E416" s="2540"/>
      <c r="F416" s="2540"/>
      <c r="G416" s="2540"/>
      <c r="H416" s="2540"/>
      <c r="I416" s="2540"/>
      <c r="J416" s="2540"/>
      <c r="K416" s="2540"/>
      <c r="L416" s="2540"/>
      <c r="M416" s="2540"/>
      <c r="N416" s="2540"/>
      <c r="O416" s="2540"/>
      <c r="P416" s="2540"/>
      <c r="Q416" s="2541"/>
      <c r="R416" s="498" t="s">
        <v>1308</v>
      </c>
      <c r="S416" s="499"/>
      <c r="U416" s="146"/>
      <c r="V416" s="146"/>
      <c r="W416" s="146"/>
      <c r="X416" s="146"/>
      <c r="Y416" s="146"/>
      <c r="Z416" s="146"/>
      <c r="AA416" s="146"/>
      <c r="AB416" s="146"/>
      <c r="AC416" s="146"/>
      <c r="AD416" s="146"/>
      <c r="AE416" s="529"/>
    </row>
    <row r="417" spans="1:32" ht="11.25" customHeight="1">
      <c r="B417" s="147" t="s">
        <v>1947</v>
      </c>
      <c r="C417" s="148"/>
      <c r="D417" s="2033"/>
      <c r="E417" s="2033"/>
      <c r="F417" s="2033"/>
      <c r="G417" s="2033"/>
      <c r="H417" s="2033"/>
      <c r="I417" s="2033"/>
      <c r="J417" s="2033"/>
      <c r="K417" s="2033"/>
      <c r="L417" s="2033"/>
      <c r="M417" s="2033"/>
      <c r="N417" s="2033"/>
      <c r="O417" s="2033"/>
      <c r="P417" s="2033"/>
      <c r="Q417" s="2033"/>
    </row>
    <row r="418" spans="1:32" ht="11.45" customHeight="1">
      <c r="A418" s="2513"/>
      <c r="B418" s="2514"/>
      <c r="C418" s="2514"/>
      <c r="D418" s="2514"/>
      <c r="E418" s="2514"/>
      <c r="F418" s="2514"/>
      <c r="G418" s="2514"/>
      <c r="H418" s="2514"/>
      <c r="I418" s="2514"/>
      <c r="J418" s="2514"/>
      <c r="K418" s="2514"/>
      <c r="L418" s="2514"/>
      <c r="M418" s="2514"/>
      <c r="N418" s="2514"/>
      <c r="O418" s="2514"/>
      <c r="P418" s="2514"/>
      <c r="Q418" s="2515"/>
    </row>
    <row r="419" spans="1:32" ht="3" customHeight="1">
      <c r="A419" s="2029"/>
      <c r="B419" s="2041"/>
      <c r="C419" s="2033"/>
      <c r="D419" s="2033"/>
      <c r="E419" s="2033"/>
      <c r="F419" s="2033"/>
      <c r="G419" s="2033"/>
      <c r="H419" s="2033"/>
      <c r="I419" s="2033"/>
      <c r="J419" s="2033"/>
      <c r="K419" s="2033"/>
      <c r="L419" s="2033"/>
      <c r="M419" s="2033"/>
      <c r="Q419" s="1343"/>
    </row>
    <row r="420" spans="1:32" ht="13.9" customHeight="1">
      <c r="A420" s="2037">
        <v>27</v>
      </c>
      <c r="B420" s="4" t="s">
        <v>2777</v>
      </c>
      <c r="C420" s="4"/>
      <c r="D420" s="92"/>
      <c r="E420" s="2033"/>
      <c r="F420" s="2033"/>
      <c r="G420" s="2033"/>
      <c r="H420" s="2033"/>
      <c r="I420" s="2033"/>
      <c r="J420" s="2033"/>
      <c r="K420" s="2033"/>
      <c r="L420" s="2033"/>
      <c r="M420" s="2033"/>
      <c r="O420" s="142" t="s">
        <v>1948</v>
      </c>
      <c r="P420" s="3300"/>
      <c r="Q420" s="3301"/>
    </row>
    <row r="421" spans="1:32" ht="11.25" customHeight="1">
      <c r="A421" s="2037"/>
      <c r="B421" s="151" t="s">
        <v>1946</v>
      </c>
      <c r="D421" s="151"/>
      <c r="E421" s="151"/>
      <c r="F421" s="151"/>
      <c r="G421" s="151"/>
      <c r="H421" s="41"/>
      <c r="I421" s="2041"/>
      <c r="J421" s="2041"/>
      <c r="K421" s="2041"/>
      <c r="L421" s="2029"/>
      <c r="M421" s="2029"/>
      <c r="N421" s="2029"/>
      <c r="O421" s="2029"/>
      <c r="P421" s="2029"/>
      <c r="Q421" s="1343"/>
    </row>
    <row r="422" spans="1:32" ht="11.45" customHeight="1">
      <c r="A422" s="2539" t="s">
        <v>4746</v>
      </c>
      <c r="B422" s="2540"/>
      <c r="C422" s="2540"/>
      <c r="D422" s="2540"/>
      <c r="E422" s="2540"/>
      <c r="F422" s="2540"/>
      <c r="G422" s="2540"/>
      <c r="H422" s="2540"/>
      <c r="I422" s="2540"/>
      <c r="J422" s="2540"/>
      <c r="K422" s="2540"/>
      <c r="L422" s="2540"/>
      <c r="M422" s="2540"/>
      <c r="N422" s="2540"/>
      <c r="O422" s="2540"/>
      <c r="P422" s="2540"/>
      <c r="Q422" s="2541"/>
      <c r="R422" s="498" t="s">
        <v>1308</v>
      </c>
      <c r="S422" s="499"/>
      <c r="U422" s="146"/>
      <c r="V422" s="146"/>
      <c r="W422" s="146"/>
      <c r="X422" s="146"/>
      <c r="Y422" s="146"/>
      <c r="Z422" s="146"/>
      <c r="AA422" s="146"/>
      <c r="AB422" s="146"/>
      <c r="AC422" s="146"/>
      <c r="AD422" s="146"/>
      <c r="AE422" s="529"/>
    </row>
    <row r="423" spans="1:32" ht="11.25" customHeight="1">
      <c r="B423" s="147" t="s">
        <v>1947</v>
      </c>
      <c r="C423" s="148"/>
      <c r="D423" s="2033"/>
      <c r="E423" s="2033"/>
      <c r="F423" s="2033"/>
      <c r="G423" s="2033"/>
      <c r="H423" s="2033"/>
      <c r="I423" s="2033"/>
      <c r="J423" s="2033"/>
      <c r="K423" s="2033"/>
      <c r="L423" s="2033"/>
      <c r="M423" s="2033"/>
      <c r="N423" s="2033"/>
      <c r="O423" s="2033"/>
      <c r="P423" s="2033"/>
      <c r="Q423" s="2033"/>
    </row>
    <row r="424" spans="1:32" ht="12" customHeight="1">
      <c r="A424" s="2513"/>
      <c r="B424" s="2514"/>
      <c r="C424" s="2514"/>
      <c r="D424" s="2514"/>
      <c r="E424" s="2514"/>
      <c r="F424" s="2514"/>
      <c r="G424" s="2514"/>
      <c r="H424" s="2514"/>
      <c r="I424" s="2514"/>
      <c r="J424" s="2514"/>
      <c r="K424" s="2514"/>
      <c r="L424" s="2514"/>
      <c r="M424" s="2514"/>
      <c r="N424" s="2514"/>
      <c r="O424" s="2514"/>
      <c r="P424" s="2514"/>
      <c r="Q424" s="2515"/>
    </row>
    <row r="425" spans="1:32" ht="3" customHeight="1">
      <c r="A425" s="2029"/>
      <c r="B425" s="2041"/>
      <c r="C425" s="2033"/>
      <c r="D425" s="2033"/>
      <c r="E425" s="2033"/>
      <c r="F425" s="2033"/>
      <c r="G425" s="2033"/>
      <c r="H425" s="2033"/>
      <c r="I425" s="2033"/>
      <c r="J425" s="2033"/>
      <c r="K425" s="2033"/>
      <c r="L425" s="2033"/>
      <c r="M425" s="2033"/>
      <c r="N425" s="2033"/>
      <c r="O425" s="2033"/>
      <c r="P425" s="2033"/>
      <c r="Q425" s="2029"/>
    </row>
    <row r="426" spans="1:32" s="158" customFormat="1" ht="8.4499999999999993" customHeight="1">
      <c r="A426" s="2029"/>
      <c r="B426" s="2041"/>
      <c r="C426" s="2033"/>
      <c r="D426" s="2033"/>
      <c r="E426" s="2033"/>
      <c r="F426" s="2033"/>
      <c r="G426" s="2033"/>
      <c r="H426" s="2033"/>
      <c r="I426" s="2033"/>
      <c r="J426" s="2033"/>
      <c r="K426" s="2033"/>
      <c r="L426" s="2033"/>
      <c r="M426" s="2033"/>
      <c r="AE426" s="531"/>
      <c r="AF426" s="531"/>
    </row>
    <row r="427" spans="1:32" s="158" customFormat="1" ht="3" customHeight="1">
      <c r="A427" s="2029"/>
      <c r="B427" s="2041"/>
      <c r="C427" s="2033"/>
      <c r="D427" s="2033"/>
      <c r="E427" s="2033"/>
      <c r="F427" s="2033"/>
      <c r="G427" s="2033"/>
      <c r="H427" s="2033"/>
      <c r="I427" s="2033"/>
      <c r="J427" s="2033"/>
      <c r="K427" s="2033"/>
      <c r="L427" s="2033"/>
      <c r="M427" s="2033"/>
      <c r="N427" s="2033"/>
      <c r="O427" s="2033"/>
      <c r="P427" s="2033"/>
      <c r="Q427" s="2029"/>
      <c r="AE427" s="531"/>
      <c r="AF427" s="531"/>
    </row>
    <row r="428" spans="1:32" s="158" customFormat="1" ht="12" customHeight="1">
      <c r="A428" s="902"/>
      <c r="B428" s="902"/>
      <c r="C428" s="902"/>
      <c r="D428" s="902"/>
      <c r="E428" s="902"/>
      <c r="F428" s="902"/>
      <c r="G428" s="902"/>
      <c r="H428" s="902"/>
      <c r="I428" s="902"/>
      <c r="J428" s="902"/>
      <c r="K428" s="902"/>
      <c r="L428" s="902"/>
      <c r="M428" s="902"/>
      <c r="N428" s="902"/>
      <c r="O428" s="902"/>
      <c r="P428" s="902"/>
      <c r="Q428" s="902"/>
      <c r="AE428" s="531"/>
      <c r="AF428" s="531"/>
    </row>
    <row r="429" spans="1:32" s="158" customFormat="1" ht="12" customHeight="1">
      <c r="A429" s="902"/>
      <c r="B429" s="902"/>
      <c r="C429" s="902"/>
      <c r="D429" s="902"/>
      <c r="E429" s="902"/>
      <c r="F429" s="902"/>
      <c r="G429" s="902"/>
      <c r="H429" s="902"/>
      <c r="I429" s="902"/>
      <c r="J429" s="902"/>
      <c r="K429" s="902"/>
      <c r="L429" s="902"/>
      <c r="M429" s="902"/>
      <c r="N429" s="902"/>
      <c r="O429" s="902"/>
      <c r="P429" s="902"/>
      <c r="Q429" s="902"/>
      <c r="AE429" s="531"/>
      <c r="AF429" s="531"/>
    </row>
    <row r="430" spans="1:32" s="158" customFormat="1" ht="12" customHeight="1">
      <c r="A430" s="902"/>
      <c r="B430" s="902"/>
      <c r="C430" s="902"/>
      <c r="D430" s="903" t="s">
        <v>4101</v>
      </c>
      <c r="E430" s="902"/>
      <c r="F430" s="902"/>
      <c r="G430" s="902"/>
      <c r="H430" s="902"/>
      <c r="I430" s="902"/>
      <c r="J430" s="902"/>
      <c r="K430" s="902"/>
      <c r="L430" s="902"/>
      <c r="M430" s="902"/>
      <c r="N430" s="902"/>
      <c r="O430" s="902"/>
      <c r="P430" s="902"/>
      <c r="Q430" s="902"/>
      <c r="AE430" s="531"/>
      <c r="AF430" s="531"/>
    </row>
    <row r="431" spans="1:32" s="158" customFormat="1" ht="12" customHeight="1">
      <c r="A431" s="902"/>
      <c r="B431" s="902"/>
      <c r="C431" s="902"/>
      <c r="D431" s="902"/>
      <c r="E431" s="902"/>
      <c r="F431" s="902"/>
      <c r="G431" s="902"/>
      <c r="H431" s="902"/>
      <c r="I431" s="902"/>
      <c r="J431" s="902"/>
      <c r="K431" s="902"/>
      <c r="L431" s="902"/>
      <c r="M431" s="902"/>
      <c r="N431" s="902"/>
      <c r="O431" s="902"/>
      <c r="P431" s="902"/>
      <c r="Q431" s="902"/>
      <c r="AE431" s="531"/>
      <c r="AF431" s="531"/>
    </row>
    <row r="432" spans="1:32" s="158" customFormat="1" ht="12" customHeight="1">
      <c r="A432" s="902"/>
      <c r="B432" s="902"/>
      <c r="C432" s="902"/>
      <c r="D432" s="902"/>
      <c r="E432" s="902"/>
      <c r="F432" s="902"/>
      <c r="G432" s="902"/>
      <c r="H432" s="902"/>
      <c r="I432" s="902"/>
      <c r="J432" s="902"/>
      <c r="K432" s="902"/>
      <c r="L432" s="902"/>
      <c r="M432" s="902"/>
      <c r="N432" s="902"/>
      <c r="O432" s="902"/>
      <c r="P432" s="902"/>
      <c r="Q432" s="902"/>
      <c r="AE432" s="531"/>
      <c r="AF432" s="531"/>
    </row>
    <row r="433" spans="1:32" s="158" customFormat="1" ht="12" customHeight="1">
      <c r="A433" s="902"/>
      <c r="B433" s="902"/>
      <c r="C433" s="902"/>
      <c r="D433" s="902"/>
      <c r="E433" s="902"/>
      <c r="F433" s="902"/>
      <c r="G433" s="902"/>
      <c r="H433" s="902"/>
      <c r="I433" s="902"/>
      <c r="J433" s="902"/>
      <c r="K433" s="902"/>
      <c r="L433" s="902"/>
      <c r="M433" s="902"/>
      <c r="N433" s="902"/>
      <c r="O433" s="902"/>
      <c r="P433" s="902"/>
      <c r="Q433" s="902"/>
      <c r="AE433" s="531"/>
      <c r="AF433" s="531"/>
    </row>
    <row r="434" spans="1:32" s="158" customFormat="1" ht="12" customHeight="1">
      <c r="A434" s="902"/>
      <c r="B434" s="902"/>
      <c r="C434" s="902"/>
      <c r="D434" s="902"/>
      <c r="E434" s="902"/>
      <c r="F434" s="902"/>
      <c r="G434" s="902"/>
      <c r="H434" s="902"/>
      <c r="I434" s="902"/>
      <c r="J434" s="902"/>
      <c r="K434" s="902"/>
      <c r="L434" s="902"/>
      <c r="M434" s="902"/>
      <c r="N434" s="902"/>
      <c r="O434" s="902"/>
      <c r="P434" s="902"/>
      <c r="Q434" s="902"/>
      <c r="AE434" s="531"/>
      <c r="AF434" s="531"/>
    </row>
    <row r="435" spans="1:32" s="158" customFormat="1" ht="12" customHeight="1">
      <c r="A435" s="902"/>
      <c r="B435" s="902"/>
      <c r="C435" s="902"/>
      <c r="D435" s="902"/>
      <c r="E435" s="902"/>
      <c r="F435" s="902"/>
      <c r="G435" s="902"/>
      <c r="H435" s="902"/>
      <c r="I435" s="902"/>
      <c r="J435" s="902"/>
      <c r="K435" s="902"/>
      <c r="L435" s="902"/>
      <c r="M435" s="902"/>
      <c r="N435" s="902"/>
      <c r="O435" s="902"/>
      <c r="P435" s="902"/>
      <c r="Q435" s="902"/>
      <c r="AE435" s="531"/>
      <c r="AF435" s="531"/>
    </row>
    <row r="436" spans="1:32" s="158" customFormat="1" ht="12" customHeight="1">
      <c r="A436" s="902"/>
      <c r="B436" s="902"/>
      <c r="C436" s="902"/>
      <c r="D436" s="902"/>
      <c r="E436" s="902"/>
      <c r="F436" s="902"/>
      <c r="G436" s="902"/>
      <c r="H436" s="902"/>
      <c r="I436" s="902"/>
      <c r="J436" s="902"/>
      <c r="K436" s="902"/>
      <c r="L436" s="902"/>
      <c r="M436" s="902"/>
      <c r="N436" s="902"/>
      <c r="O436" s="902"/>
      <c r="P436" s="902"/>
      <c r="Q436" s="902"/>
      <c r="AE436" s="531"/>
      <c r="AF436" s="531"/>
    </row>
    <row r="437" spans="1:32" s="158" customFormat="1" ht="12" customHeight="1">
      <c r="A437" s="902"/>
      <c r="B437" s="902"/>
      <c r="C437" s="902"/>
      <c r="D437" s="902"/>
      <c r="E437" s="902"/>
      <c r="F437" s="902"/>
      <c r="G437" s="902"/>
      <c r="H437" s="902"/>
      <c r="I437" s="902"/>
      <c r="J437" s="902"/>
      <c r="K437" s="902"/>
      <c r="L437" s="902"/>
      <c r="M437" s="902"/>
      <c r="N437" s="902"/>
      <c r="O437" s="902"/>
      <c r="P437" s="902"/>
      <c r="Q437" s="902"/>
      <c r="AE437" s="531"/>
      <c r="AF437" s="531"/>
    </row>
    <row r="438" spans="1:32" s="158" customFormat="1" ht="12" customHeight="1">
      <c r="A438" s="902"/>
      <c r="B438" s="902"/>
      <c r="C438" s="902"/>
      <c r="D438" s="902"/>
      <c r="E438" s="902"/>
      <c r="F438" s="902"/>
      <c r="G438" s="902"/>
      <c r="H438" s="902"/>
      <c r="I438" s="902"/>
      <c r="J438" s="902"/>
      <c r="K438" s="902"/>
      <c r="L438" s="902"/>
      <c r="M438" s="902"/>
      <c r="N438" s="902"/>
      <c r="O438" s="902"/>
      <c r="P438" s="902"/>
      <c r="Q438" s="902"/>
      <c r="AE438" s="531"/>
      <c r="AF438" s="531"/>
    </row>
    <row r="439" spans="1:32" s="158" customFormat="1" ht="12" customHeight="1">
      <c r="A439" s="902"/>
      <c r="B439" s="902"/>
      <c r="C439" s="902"/>
      <c r="D439" s="902"/>
      <c r="E439" s="902"/>
      <c r="F439" s="902"/>
      <c r="G439" s="902"/>
      <c r="H439" s="902"/>
      <c r="I439" s="902"/>
      <c r="J439" s="902"/>
      <c r="K439" s="902"/>
      <c r="L439" s="902"/>
      <c r="M439" s="902"/>
      <c r="N439" s="902"/>
      <c r="O439" s="902"/>
      <c r="P439" s="902"/>
      <c r="Q439" s="902"/>
      <c r="AE439" s="531"/>
      <c r="AF439" s="531"/>
    </row>
    <row r="440" spans="1:32" s="158" customFormat="1" ht="12" customHeight="1">
      <c r="A440" s="902"/>
      <c r="B440" s="902"/>
      <c r="C440" s="902"/>
      <c r="D440" s="902"/>
      <c r="E440" s="902"/>
      <c r="F440" s="902"/>
      <c r="G440" s="902"/>
      <c r="H440" s="902"/>
      <c r="I440" s="902"/>
      <c r="J440" s="902"/>
      <c r="K440" s="902"/>
      <c r="L440" s="902"/>
      <c r="M440" s="902"/>
      <c r="N440" s="902"/>
      <c r="O440" s="902"/>
      <c r="P440" s="902"/>
      <c r="Q440" s="902"/>
      <c r="AE440" s="531"/>
      <c r="AF440" s="531"/>
    </row>
    <row r="441" spans="1:32" s="158" customFormat="1" ht="12" customHeight="1">
      <c r="A441" s="903"/>
      <c r="B441" s="903"/>
      <c r="C441" s="903"/>
      <c r="D441" s="903"/>
      <c r="E441" s="903"/>
      <c r="F441" s="903"/>
      <c r="G441" s="903"/>
      <c r="H441" s="903"/>
      <c r="I441" s="903"/>
      <c r="J441" s="903"/>
      <c r="K441" s="903"/>
      <c r="L441" s="903"/>
      <c r="M441" s="903"/>
      <c r="N441" s="902"/>
      <c r="O441" s="902"/>
      <c r="P441" s="902"/>
      <c r="Q441" s="902"/>
      <c r="AE441" s="531"/>
      <c r="AF441" s="531"/>
    </row>
    <row r="442" spans="1:32" s="158" customFormat="1" ht="12" customHeight="1">
      <c r="A442" s="903"/>
      <c r="B442" s="903"/>
      <c r="C442" s="903"/>
      <c r="D442" s="903"/>
      <c r="E442" s="903"/>
      <c r="F442" s="903"/>
      <c r="G442" s="903"/>
      <c r="H442" s="903"/>
      <c r="I442" s="903"/>
      <c r="J442" s="903"/>
      <c r="K442" s="903"/>
      <c r="L442" s="903"/>
      <c r="M442" s="903"/>
      <c r="N442" s="902"/>
      <c r="O442" s="902"/>
      <c r="P442" s="902"/>
      <c r="Q442" s="902"/>
      <c r="AE442" s="531"/>
      <c r="AF442" s="531"/>
    </row>
    <row r="443" spans="1:32" s="158" customFormat="1">
      <c r="A443" s="503"/>
      <c r="B443" s="503"/>
      <c r="C443" s="503"/>
      <c r="D443" s="503"/>
      <c r="E443" s="503"/>
      <c r="F443" s="503"/>
      <c r="G443" s="503"/>
      <c r="H443" s="503"/>
      <c r="I443" s="503"/>
      <c r="J443" s="503"/>
      <c r="K443" s="503"/>
      <c r="L443" s="503"/>
      <c r="M443" s="503"/>
      <c r="AE443" s="531"/>
      <c r="AF443" s="531"/>
    </row>
    <row r="444" spans="1:32" s="172" customFormat="1">
      <c r="A444" s="548"/>
      <c r="B444" s="548"/>
      <c r="C444" s="548"/>
      <c r="D444" s="548"/>
      <c r="E444" s="548"/>
      <c r="F444" s="548"/>
      <c r="G444" s="548"/>
      <c r="H444" s="548"/>
      <c r="I444" s="548"/>
      <c r="J444" s="548"/>
      <c r="K444" s="548"/>
      <c r="L444" s="548"/>
      <c r="M444" s="548"/>
      <c r="N444" s="130"/>
      <c r="O444" s="2024"/>
      <c r="P444" s="2024"/>
      <c r="AE444" s="534"/>
      <c r="AF444" s="534"/>
    </row>
    <row r="445" spans="1:32" s="481" customFormat="1" ht="15">
      <c r="A445" s="549"/>
      <c r="B445" s="549"/>
      <c r="C445" s="550" t="s">
        <v>1718</v>
      </c>
      <c r="D445" s="550"/>
      <c r="E445" s="550"/>
      <c r="F445" s="550"/>
      <c r="G445" s="550"/>
      <c r="H445" s="550"/>
      <c r="I445" s="550"/>
      <c r="J445" s="550" t="s">
        <v>1057</v>
      </c>
      <c r="K445" s="550"/>
      <c r="L445" s="549"/>
      <c r="M445" s="549"/>
      <c r="N445" s="484"/>
      <c r="O445" s="904" t="s">
        <v>3167</v>
      </c>
      <c r="P445" s="496"/>
      <c r="AE445" s="490"/>
      <c r="AF445" s="490"/>
    </row>
    <row r="446" spans="1:32" s="481" customFormat="1" ht="15">
      <c r="A446" s="549"/>
      <c r="B446" s="549"/>
      <c r="C446" s="549" t="s">
        <v>2177</v>
      </c>
      <c r="D446" s="549"/>
      <c r="E446" s="549"/>
      <c r="F446" s="549"/>
      <c r="G446" s="549"/>
      <c r="H446" s="549"/>
      <c r="I446" s="549"/>
      <c r="J446" s="549" t="s">
        <v>1847</v>
      </c>
      <c r="K446" s="549"/>
      <c r="L446" s="549"/>
      <c r="M446" s="549"/>
      <c r="N446" s="484"/>
      <c r="O446" s="904" t="s">
        <v>3168</v>
      </c>
      <c r="P446" s="496"/>
      <c r="AE446" s="490"/>
      <c r="AF446" s="490"/>
    </row>
    <row r="447" spans="1:32" s="481" customFormat="1" ht="15">
      <c r="A447" s="549"/>
      <c r="B447" s="549"/>
      <c r="C447" s="550" t="s">
        <v>2644</v>
      </c>
      <c r="D447" s="550"/>
      <c r="E447" s="550"/>
      <c r="F447" s="550"/>
      <c r="G447" s="550"/>
      <c r="H447" s="550"/>
      <c r="I447" s="550"/>
      <c r="J447" s="551" t="s">
        <v>1800</v>
      </c>
      <c r="K447" s="550"/>
      <c r="L447" s="549"/>
      <c r="M447" s="549"/>
      <c r="N447" s="484"/>
      <c r="O447" s="904" t="s">
        <v>3169</v>
      </c>
      <c r="P447" s="496"/>
      <c r="AE447" s="490"/>
      <c r="AF447" s="490"/>
    </row>
    <row r="448" spans="1:32" s="481" customFormat="1" ht="15">
      <c r="A448" s="549"/>
      <c r="B448" s="549"/>
      <c r="C448" s="550" t="s">
        <v>2178</v>
      </c>
      <c r="D448" s="550"/>
      <c r="E448" s="550"/>
      <c r="F448" s="550"/>
      <c r="G448" s="550"/>
      <c r="H448" s="550"/>
      <c r="I448" s="550"/>
      <c r="J448" s="551" t="s">
        <v>240</v>
      </c>
      <c r="K448" s="550"/>
      <c r="L448" s="549"/>
      <c r="M448" s="549"/>
      <c r="N448" s="484"/>
      <c r="O448" s="904" t="s">
        <v>3170</v>
      </c>
      <c r="P448" s="496"/>
      <c r="AE448" s="490"/>
      <c r="AF448" s="490"/>
    </row>
    <row r="449" spans="1:32" s="481" customFormat="1" ht="15">
      <c r="A449" s="549"/>
      <c r="B449" s="549"/>
      <c r="C449" s="550" t="s">
        <v>2179</v>
      </c>
      <c r="D449" s="550"/>
      <c r="E449" s="550"/>
      <c r="F449" s="550"/>
      <c r="G449" s="550"/>
      <c r="H449" s="550"/>
      <c r="I449" s="550"/>
      <c r="J449" s="549" t="s">
        <v>1236</v>
      </c>
      <c r="K449" s="550"/>
      <c r="L449" s="549"/>
      <c r="M449" s="549"/>
      <c r="N449" s="484"/>
      <c r="O449" s="904" t="s">
        <v>3171</v>
      </c>
      <c r="P449" s="496"/>
      <c r="AE449" s="490"/>
      <c r="AF449" s="490"/>
    </row>
    <row r="450" spans="1:32" s="481" customFormat="1" ht="15">
      <c r="A450" s="549"/>
      <c r="B450" s="549"/>
      <c r="C450" s="552" t="s">
        <v>2180</v>
      </c>
      <c r="D450" s="550"/>
      <c r="E450" s="550"/>
      <c r="F450" s="550"/>
      <c r="G450" s="550"/>
      <c r="H450" s="550"/>
      <c r="I450" s="550"/>
      <c r="J450" s="553" t="s">
        <v>2192</v>
      </c>
      <c r="K450" s="550"/>
      <c r="L450" s="549"/>
      <c r="M450" s="549"/>
      <c r="N450" s="484"/>
      <c r="O450" s="904" t="s">
        <v>3172</v>
      </c>
      <c r="P450" s="496"/>
      <c r="AE450" s="490"/>
      <c r="AF450" s="490"/>
    </row>
    <row r="451" spans="1:32" s="481" customFormat="1" ht="15">
      <c r="A451" s="549"/>
      <c r="B451" s="549"/>
      <c r="C451" s="552" t="s">
        <v>2181</v>
      </c>
      <c r="D451" s="550"/>
      <c r="E451" s="550"/>
      <c r="F451" s="550"/>
      <c r="G451" s="550"/>
      <c r="H451" s="550"/>
      <c r="I451" s="550"/>
      <c r="J451" s="551" t="s">
        <v>1730</v>
      </c>
      <c r="K451" s="550"/>
      <c r="L451" s="549"/>
      <c r="M451" s="549"/>
      <c r="N451" s="484"/>
      <c r="O451" s="904" t="s">
        <v>3173</v>
      </c>
      <c r="P451" s="496"/>
      <c r="AE451" s="490"/>
      <c r="AF451" s="490"/>
    </row>
    <row r="452" spans="1:32" s="481" customFormat="1" ht="15">
      <c r="A452" s="549"/>
      <c r="B452" s="549"/>
      <c r="C452" s="552"/>
      <c r="D452" s="550"/>
      <c r="E452" s="550"/>
      <c r="F452" s="550"/>
      <c r="G452" s="550"/>
      <c r="H452" s="550"/>
      <c r="I452" s="550"/>
      <c r="J452" s="551" t="s">
        <v>1243</v>
      </c>
      <c r="K452" s="550"/>
      <c r="L452" s="549"/>
      <c r="M452" s="549"/>
      <c r="N452" s="484"/>
      <c r="O452" s="904" t="s">
        <v>3174</v>
      </c>
      <c r="P452" s="496"/>
      <c r="AE452" s="490"/>
      <c r="AF452" s="490"/>
    </row>
    <row r="453" spans="1:32" s="481" customFormat="1" ht="15">
      <c r="A453" s="549"/>
      <c r="B453" s="549"/>
      <c r="C453" s="549" t="s">
        <v>1847</v>
      </c>
      <c r="D453" s="550"/>
      <c r="E453" s="550"/>
      <c r="F453" s="550"/>
      <c r="G453" s="550"/>
      <c r="H453" s="550"/>
      <c r="I453" s="550"/>
      <c r="J453" s="551" t="s">
        <v>1727</v>
      </c>
      <c r="K453" s="550"/>
      <c r="L453" s="549"/>
      <c r="M453" s="549"/>
      <c r="N453" s="484"/>
      <c r="O453" s="904" t="s">
        <v>3175</v>
      </c>
      <c r="P453" s="496"/>
      <c r="AE453" s="490"/>
      <c r="AF453" s="490"/>
    </row>
    <row r="454" spans="1:32" s="481" customFormat="1" ht="11.25">
      <c r="A454" s="549"/>
      <c r="B454" s="549"/>
      <c r="C454" s="554" t="s">
        <v>1449</v>
      </c>
      <c r="D454" s="550"/>
      <c r="E454" s="550"/>
      <c r="F454" s="550"/>
      <c r="G454" s="550"/>
      <c r="H454" s="550"/>
      <c r="I454" s="550"/>
      <c r="J454" s="551" t="s">
        <v>2193</v>
      </c>
      <c r="K454" s="550"/>
      <c r="L454" s="549"/>
      <c r="M454" s="549"/>
      <c r="N454" s="484"/>
      <c r="O454" s="496"/>
      <c r="P454" s="496"/>
      <c r="AE454" s="490"/>
      <c r="AF454" s="490"/>
    </row>
    <row r="455" spans="1:32" s="481" customFormat="1" ht="11.25">
      <c r="A455" s="549"/>
      <c r="B455" s="549"/>
      <c r="C455" s="554" t="s">
        <v>1450</v>
      </c>
      <c r="D455" s="550"/>
      <c r="E455" s="550"/>
      <c r="F455" s="550"/>
      <c r="G455" s="550"/>
      <c r="H455" s="550"/>
      <c r="I455" s="550"/>
      <c r="J455" s="551" t="s">
        <v>1720</v>
      </c>
      <c r="K455" s="550"/>
      <c r="L455" s="549"/>
      <c r="M455" s="549"/>
      <c r="N455" s="484"/>
      <c r="O455" s="496"/>
      <c r="P455" s="496"/>
      <c r="AE455" s="490"/>
      <c r="AF455" s="490"/>
    </row>
    <row r="456" spans="1:32" s="481" customFormat="1" ht="11.25">
      <c r="A456" s="549"/>
      <c r="B456" s="549"/>
      <c r="C456" s="555" t="s">
        <v>2221</v>
      </c>
      <c r="D456" s="550"/>
      <c r="E456" s="550"/>
      <c r="F456" s="550"/>
      <c r="G456" s="550"/>
      <c r="H456" s="550"/>
      <c r="I456" s="550"/>
      <c r="J456" s="551" t="s">
        <v>1244</v>
      </c>
      <c r="K456" s="550"/>
      <c r="L456" s="549"/>
      <c r="M456" s="549"/>
      <c r="N456" s="484"/>
      <c r="O456" s="496"/>
      <c r="P456" s="496"/>
      <c r="AE456" s="490"/>
      <c r="AF456" s="490"/>
    </row>
    <row r="457" spans="1:32" s="481" customFormat="1" ht="11.25">
      <c r="A457" s="549"/>
      <c r="B457" s="549"/>
      <c r="C457" s="555" t="s">
        <v>1446</v>
      </c>
      <c r="D457" s="550"/>
      <c r="E457" s="550"/>
      <c r="F457" s="550"/>
      <c r="G457" s="550"/>
      <c r="H457" s="550"/>
      <c r="I457" s="550"/>
      <c r="J457" s="551" t="s">
        <v>619</v>
      </c>
      <c r="K457" s="550"/>
      <c r="L457" s="549"/>
      <c r="M457" s="549"/>
      <c r="N457" s="484"/>
      <c r="O457" s="496"/>
      <c r="P457" s="496"/>
      <c r="AE457" s="490"/>
      <c r="AF457" s="490"/>
    </row>
    <row r="458" spans="1:32" s="481" customFormat="1" ht="11.25">
      <c r="A458" s="549"/>
      <c r="B458" s="549"/>
      <c r="C458" s="555" t="s">
        <v>1447</v>
      </c>
      <c r="D458" s="550"/>
      <c r="E458" s="550"/>
      <c r="F458" s="550"/>
      <c r="G458" s="550"/>
      <c r="H458" s="550"/>
      <c r="I458" s="550"/>
      <c r="J458" s="551" t="s">
        <v>1726</v>
      </c>
      <c r="K458" s="550"/>
      <c r="L458" s="549"/>
      <c r="M458" s="549"/>
      <c r="N458" s="484"/>
      <c r="O458" s="496"/>
      <c r="P458" s="496"/>
      <c r="AE458" s="490"/>
      <c r="AF458" s="490"/>
    </row>
    <row r="459" spans="1:32" s="481" customFormat="1" ht="11.25">
      <c r="A459" s="549"/>
      <c r="B459" s="549"/>
      <c r="C459" s="554" t="s">
        <v>2216</v>
      </c>
      <c r="D459" s="550"/>
      <c r="E459" s="550"/>
      <c r="F459" s="550"/>
      <c r="G459" s="550"/>
      <c r="H459" s="550"/>
      <c r="I459" s="550"/>
      <c r="J459" s="551" t="s">
        <v>1238</v>
      </c>
      <c r="K459" s="550"/>
      <c r="L459" s="549"/>
      <c r="M459" s="549"/>
      <c r="N459" s="484"/>
      <c r="O459" s="496"/>
      <c r="P459" s="496"/>
      <c r="AE459" s="490"/>
      <c r="AF459" s="490"/>
    </row>
    <row r="460" spans="1:32" s="481" customFormat="1" ht="11.25">
      <c r="A460" s="549"/>
      <c r="B460" s="549"/>
      <c r="C460" s="554" t="s">
        <v>2217</v>
      </c>
      <c r="D460" s="550"/>
      <c r="E460" s="550"/>
      <c r="F460" s="550"/>
      <c r="G460" s="550"/>
      <c r="H460" s="550"/>
      <c r="I460" s="550"/>
      <c r="J460" s="551" t="s">
        <v>1237</v>
      </c>
      <c r="K460" s="549"/>
      <c r="L460" s="549"/>
      <c r="M460" s="549"/>
      <c r="N460" s="484"/>
      <c r="O460" s="496"/>
      <c r="P460" s="496"/>
      <c r="AE460" s="490"/>
      <c r="AF460" s="490"/>
    </row>
    <row r="461" spans="1:32" s="481" customFormat="1" ht="11.25">
      <c r="A461" s="549"/>
      <c r="B461" s="549"/>
      <c r="C461" s="554" t="s">
        <v>2218</v>
      </c>
      <c r="D461" s="549"/>
      <c r="E461" s="549"/>
      <c r="F461" s="549"/>
      <c r="G461" s="549"/>
      <c r="H461" s="549"/>
      <c r="I461" s="549"/>
      <c r="J461" s="551" t="s">
        <v>1801</v>
      </c>
      <c r="K461" s="549"/>
      <c r="L461" s="549"/>
      <c r="M461" s="549"/>
      <c r="N461" s="484"/>
      <c r="O461" s="496"/>
      <c r="P461" s="496"/>
      <c r="AE461" s="490"/>
      <c r="AF461" s="490"/>
    </row>
    <row r="462" spans="1:32" s="481" customFormat="1" ht="11.25">
      <c r="A462" s="549"/>
      <c r="B462" s="549"/>
      <c r="C462" s="554" t="s">
        <v>2219</v>
      </c>
      <c r="D462" s="549"/>
      <c r="E462" s="549"/>
      <c r="F462" s="549"/>
      <c r="G462" s="549"/>
      <c r="H462" s="549"/>
      <c r="I462" s="549"/>
      <c r="J462" s="551" t="s">
        <v>1729</v>
      </c>
      <c r="K462" s="549"/>
      <c r="L462" s="549"/>
      <c r="M462" s="549"/>
      <c r="N462" s="484"/>
      <c r="O462" s="496"/>
      <c r="P462" s="496"/>
      <c r="AE462" s="490"/>
      <c r="AF462" s="490"/>
    </row>
    <row r="463" spans="1:32" s="481" customFormat="1" ht="11.25">
      <c r="A463" s="549"/>
      <c r="B463" s="549"/>
      <c r="C463" s="554" t="s">
        <v>2220</v>
      </c>
      <c r="D463" s="549"/>
      <c r="E463" s="549"/>
      <c r="F463" s="549"/>
      <c r="G463" s="549"/>
      <c r="H463" s="549"/>
      <c r="I463" s="549"/>
      <c r="J463" s="551" t="s">
        <v>1721</v>
      </c>
      <c r="K463" s="549"/>
      <c r="L463" s="549"/>
      <c r="M463" s="549"/>
      <c r="N463" s="484"/>
      <c r="O463" s="496"/>
      <c r="P463" s="496"/>
      <c r="AE463" s="490"/>
      <c r="AF463" s="490"/>
    </row>
    <row r="464" spans="1:32" s="481" customFormat="1" ht="11.25">
      <c r="A464" s="549"/>
      <c r="B464" s="549"/>
      <c r="C464" s="554" t="s">
        <v>1448</v>
      </c>
      <c r="D464" s="549"/>
      <c r="E464" s="549"/>
      <c r="F464" s="549"/>
      <c r="G464" s="549"/>
      <c r="H464" s="549"/>
      <c r="I464" s="549"/>
      <c r="J464" s="551" t="s">
        <v>2191</v>
      </c>
      <c r="K464" s="549"/>
      <c r="L464" s="549"/>
      <c r="M464" s="549"/>
      <c r="N464" s="484"/>
      <c r="O464" s="496"/>
      <c r="P464" s="496"/>
      <c r="AE464" s="490"/>
      <c r="AF464" s="490"/>
    </row>
    <row r="465" spans="1:32" s="481" customFormat="1" ht="11.25">
      <c r="A465" s="549"/>
      <c r="B465" s="549"/>
      <c r="C465" s="554" t="s">
        <v>2373</v>
      </c>
      <c r="D465" s="549"/>
      <c r="E465" s="549"/>
      <c r="F465" s="549"/>
      <c r="G465" s="549"/>
      <c r="H465" s="549"/>
      <c r="I465" s="549"/>
      <c r="J465" s="549"/>
      <c r="K465" s="549"/>
      <c r="L465" s="549"/>
      <c r="M465" s="549"/>
      <c r="N465" s="484"/>
      <c r="O465" s="496"/>
      <c r="P465" s="496"/>
      <c r="AE465" s="490"/>
      <c r="AF465" s="490"/>
    </row>
    <row r="466" spans="1:32" s="481" customFormat="1" ht="11.25">
      <c r="A466" s="549"/>
      <c r="B466" s="549"/>
      <c r="C466" s="549"/>
      <c r="D466" s="549"/>
      <c r="E466" s="549"/>
      <c r="F466" s="549"/>
      <c r="G466" s="549"/>
      <c r="H466" s="549"/>
      <c r="I466" s="549"/>
      <c r="J466" s="549"/>
      <c r="K466" s="549"/>
      <c r="L466" s="549"/>
      <c r="M466" s="549"/>
      <c r="N466" s="484"/>
      <c r="O466" s="496"/>
      <c r="P466" s="496"/>
      <c r="AE466" s="490"/>
      <c r="AF466" s="490"/>
    </row>
    <row r="467" spans="1:32" s="57" customFormat="1" ht="11.25">
      <c r="A467" s="550"/>
      <c r="B467" s="550"/>
      <c r="C467" s="556" t="s">
        <v>1656</v>
      </c>
      <c r="D467" s="550"/>
      <c r="E467" s="550"/>
      <c r="F467" s="550"/>
      <c r="G467" s="550"/>
      <c r="H467" s="550"/>
      <c r="I467" s="550"/>
      <c r="J467" s="550"/>
      <c r="K467" s="550"/>
      <c r="L467" s="550"/>
      <c r="M467" s="550"/>
      <c r="AE467" s="463"/>
      <c r="AF467" s="463"/>
    </row>
    <row r="468" spans="1:32" s="57" customFormat="1" ht="11.25">
      <c r="A468" s="550"/>
      <c r="B468" s="550"/>
      <c r="C468" s="550" t="s">
        <v>1847</v>
      </c>
      <c r="D468" s="550"/>
      <c r="E468" s="550"/>
      <c r="F468" s="550"/>
      <c r="G468" s="550"/>
      <c r="H468" s="550"/>
      <c r="I468" s="550"/>
      <c r="J468" s="550"/>
      <c r="K468" s="550"/>
      <c r="L468" s="550"/>
      <c r="M468" s="550"/>
      <c r="AE468" s="463"/>
      <c r="AF468" s="463"/>
    </row>
    <row r="469" spans="1:32" s="57" customFormat="1" ht="11.25">
      <c r="A469" s="550"/>
      <c r="B469" s="550"/>
      <c r="C469" s="550" t="s">
        <v>2177</v>
      </c>
      <c r="D469" s="550"/>
      <c r="E469" s="549"/>
      <c r="F469" s="549"/>
      <c r="G469" s="549"/>
      <c r="H469" s="549"/>
      <c r="I469" s="549"/>
      <c r="J469" s="549"/>
      <c r="K469" s="549"/>
      <c r="L469" s="549"/>
      <c r="M469" s="549"/>
      <c r="AE469" s="463"/>
      <c r="AF469" s="463"/>
    </row>
    <row r="470" spans="1:32" s="57" customFormat="1" ht="11.25">
      <c r="A470" s="550"/>
      <c r="B470" s="550"/>
      <c r="C470" s="550" t="s">
        <v>2644</v>
      </c>
      <c r="D470" s="549"/>
      <c r="E470" s="549"/>
      <c r="F470" s="549"/>
      <c r="G470" s="549"/>
      <c r="H470" s="550"/>
      <c r="I470" s="549"/>
      <c r="J470" s="549"/>
      <c r="K470" s="549"/>
      <c r="L470" s="549"/>
      <c r="M470" s="549"/>
      <c r="AE470" s="463"/>
      <c r="AF470" s="463"/>
    </row>
    <row r="471" spans="1:32" s="57" customFormat="1" ht="11.25">
      <c r="A471" s="550"/>
      <c r="B471" s="550"/>
      <c r="C471" s="550" t="s">
        <v>2178</v>
      </c>
      <c r="D471" s="549"/>
      <c r="E471" s="549"/>
      <c r="F471" s="549"/>
      <c r="G471" s="549"/>
      <c r="H471" s="549"/>
      <c r="I471" s="549"/>
      <c r="J471" s="549"/>
      <c r="K471" s="549"/>
      <c r="L471" s="549"/>
      <c r="M471" s="549"/>
      <c r="AE471" s="463"/>
      <c r="AF471" s="463"/>
    </row>
    <row r="472" spans="1:32" s="57" customFormat="1" ht="11.25">
      <c r="A472" s="550"/>
      <c r="B472" s="550"/>
      <c r="C472" s="550" t="s">
        <v>1719</v>
      </c>
      <c r="D472" s="549"/>
      <c r="E472" s="549"/>
      <c r="F472" s="549"/>
      <c r="G472" s="549"/>
      <c r="H472" s="550"/>
      <c r="I472" s="549"/>
      <c r="J472" s="549"/>
      <c r="K472" s="549"/>
      <c r="L472" s="549"/>
      <c r="M472" s="549"/>
      <c r="AE472" s="463"/>
      <c r="AF472" s="463"/>
    </row>
    <row r="473" spans="1:32" s="57" customFormat="1" ht="11.25">
      <c r="A473" s="550"/>
      <c r="B473" s="550"/>
      <c r="C473" s="552" t="s">
        <v>2097</v>
      </c>
      <c r="D473" s="549"/>
      <c r="E473" s="549"/>
      <c r="F473" s="549"/>
      <c r="G473" s="549"/>
      <c r="H473" s="550"/>
      <c r="I473" s="549"/>
      <c r="J473" s="549"/>
      <c r="K473" s="549"/>
      <c r="L473" s="549"/>
      <c r="M473" s="549"/>
      <c r="AE473" s="463"/>
      <c r="AF473" s="463"/>
    </row>
    <row r="474" spans="1:32" s="57" customFormat="1" ht="11.25">
      <c r="A474" s="550"/>
      <c r="B474" s="550"/>
      <c r="C474" s="550" t="s">
        <v>240</v>
      </c>
      <c r="D474" s="549"/>
      <c r="E474" s="549"/>
      <c r="F474" s="549"/>
      <c r="G474" s="549"/>
      <c r="H474" s="550"/>
      <c r="I474" s="549"/>
      <c r="J474" s="550"/>
      <c r="K474" s="549"/>
      <c r="L474" s="549"/>
      <c r="M474" s="549"/>
      <c r="AE474" s="463"/>
      <c r="AF474" s="463"/>
    </row>
    <row r="475" spans="1:32" s="57" customFormat="1" ht="11.25">
      <c r="A475" s="550"/>
      <c r="B475" s="550"/>
      <c r="C475" s="550" t="s">
        <v>1720</v>
      </c>
      <c r="D475" s="549"/>
      <c r="E475" s="549"/>
      <c r="F475" s="549"/>
      <c r="G475" s="549"/>
      <c r="H475" s="550"/>
      <c r="I475" s="549"/>
      <c r="J475" s="550"/>
      <c r="K475" s="549"/>
      <c r="L475" s="549"/>
      <c r="M475" s="549"/>
      <c r="AE475" s="463"/>
      <c r="AF475" s="463"/>
    </row>
    <row r="476" spans="1:32" s="57" customFormat="1" ht="11.25">
      <c r="A476" s="550"/>
      <c r="B476" s="550"/>
      <c r="C476" s="550" t="s">
        <v>1721</v>
      </c>
      <c r="D476" s="549"/>
      <c r="E476" s="549"/>
      <c r="F476" s="549"/>
      <c r="G476" s="549"/>
      <c r="H476" s="550"/>
      <c r="I476" s="549"/>
      <c r="J476" s="550"/>
      <c r="K476" s="549"/>
      <c r="L476" s="549"/>
      <c r="M476" s="549"/>
      <c r="AE476" s="463"/>
      <c r="AF476" s="463"/>
    </row>
    <row r="477" spans="1:32" s="57" customFormat="1" ht="11.25">
      <c r="A477" s="550"/>
      <c r="B477" s="550"/>
      <c r="C477" s="550" t="s">
        <v>2603</v>
      </c>
      <c r="D477" s="549"/>
      <c r="E477" s="549"/>
      <c r="F477" s="549"/>
      <c r="G477" s="549"/>
      <c r="H477" s="549"/>
      <c r="I477" s="549"/>
      <c r="J477" s="549"/>
      <c r="K477" s="549"/>
      <c r="L477" s="549"/>
      <c r="M477" s="549"/>
      <c r="AE477" s="463"/>
      <c r="AF477" s="463"/>
    </row>
    <row r="478" spans="1:32" s="57" customFormat="1" ht="11.25">
      <c r="A478" s="550"/>
      <c r="B478" s="550"/>
      <c r="C478" s="550" t="s">
        <v>1657</v>
      </c>
      <c r="D478" s="549"/>
      <c r="E478" s="549"/>
      <c r="F478" s="549"/>
      <c r="G478" s="549"/>
      <c r="H478" s="549"/>
      <c r="I478" s="549"/>
      <c r="J478" s="549"/>
      <c r="K478" s="549"/>
      <c r="L478" s="549"/>
      <c r="M478" s="549"/>
      <c r="AE478" s="463"/>
      <c r="AF478" s="463"/>
    </row>
    <row r="479" spans="1:32" s="57" customFormat="1" ht="11.25">
      <c r="A479" s="550"/>
      <c r="B479" s="550"/>
      <c r="C479" s="550" t="s">
        <v>1723</v>
      </c>
      <c r="D479" s="549"/>
      <c r="E479" s="549"/>
      <c r="F479" s="549"/>
      <c r="G479" s="549"/>
      <c r="H479" s="549"/>
      <c r="I479" s="549"/>
      <c r="J479" s="549"/>
      <c r="K479" s="549"/>
      <c r="L479" s="549"/>
      <c r="M479" s="549"/>
      <c r="AE479" s="463"/>
      <c r="AF479" s="463"/>
    </row>
    <row r="480" spans="1:32" s="57" customFormat="1" ht="11.25">
      <c r="A480" s="550"/>
      <c r="B480" s="550"/>
      <c r="C480" s="550" t="s">
        <v>2606</v>
      </c>
      <c r="D480" s="549"/>
      <c r="E480" s="549"/>
      <c r="F480" s="549"/>
      <c r="G480" s="549"/>
      <c r="H480" s="549"/>
      <c r="I480" s="549"/>
      <c r="J480" s="549"/>
      <c r="K480" s="549"/>
      <c r="L480" s="549"/>
      <c r="M480" s="549"/>
      <c r="AE480" s="463"/>
      <c r="AF480" s="463"/>
    </row>
    <row r="481" spans="1:32" s="57" customFormat="1" ht="11.25">
      <c r="A481" s="550"/>
      <c r="B481" s="550"/>
      <c r="C481" s="550" t="s">
        <v>1725</v>
      </c>
      <c r="D481" s="549"/>
      <c r="E481" s="549"/>
      <c r="F481" s="549"/>
      <c r="G481" s="549"/>
      <c r="H481" s="549"/>
      <c r="I481" s="549"/>
      <c r="J481" s="549"/>
      <c r="K481" s="549"/>
      <c r="L481" s="549"/>
      <c r="M481" s="549"/>
      <c r="N481" s="57" t="s">
        <v>2604</v>
      </c>
      <c r="AE481" s="463"/>
      <c r="AF481" s="463"/>
    </row>
    <row r="482" spans="1:32" s="57" customFormat="1" ht="11.25">
      <c r="A482" s="550"/>
      <c r="B482" s="550"/>
      <c r="C482" s="550" t="s">
        <v>1726</v>
      </c>
      <c r="D482" s="549"/>
      <c r="E482" s="549"/>
      <c r="F482" s="549"/>
      <c r="G482" s="549"/>
      <c r="H482" s="549"/>
      <c r="I482" s="549"/>
      <c r="J482" s="549"/>
      <c r="K482" s="549"/>
      <c r="L482" s="549"/>
      <c r="M482" s="549"/>
      <c r="AE482" s="463"/>
      <c r="AF482" s="463"/>
    </row>
    <row r="483" spans="1:32" s="57" customFormat="1" ht="11.25">
      <c r="A483" s="550"/>
      <c r="B483" s="550"/>
      <c r="C483" s="550" t="s">
        <v>1727</v>
      </c>
      <c r="D483" s="549"/>
      <c r="E483" s="549"/>
      <c r="F483" s="549"/>
      <c r="G483" s="549"/>
      <c r="H483" s="549"/>
      <c r="I483" s="549"/>
      <c r="J483" s="549"/>
      <c r="K483" s="549"/>
      <c r="L483" s="549"/>
      <c r="M483" s="549"/>
      <c r="AE483" s="463"/>
      <c r="AF483" s="463"/>
    </row>
    <row r="484" spans="1:32" s="57" customFormat="1" ht="11.25">
      <c r="A484" s="550"/>
      <c r="B484" s="550"/>
      <c r="C484" s="550" t="s">
        <v>619</v>
      </c>
      <c r="D484" s="549"/>
      <c r="E484" s="549"/>
      <c r="F484" s="549"/>
      <c r="G484" s="549"/>
      <c r="H484" s="549"/>
      <c r="I484" s="549"/>
      <c r="J484" s="549"/>
      <c r="K484" s="549"/>
      <c r="L484" s="549"/>
      <c r="M484" s="549"/>
      <c r="AE484" s="463"/>
      <c r="AF484" s="463"/>
    </row>
    <row r="485" spans="1:32" s="57" customFormat="1" ht="11.25">
      <c r="A485" s="550"/>
      <c r="B485" s="550"/>
      <c r="C485" s="550" t="s">
        <v>1728</v>
      </c>
      <c r="D485" s="549"/>
      <c r="E485" s="549"/>
      <c r="F485" s="549"/>
      <c r="G485" s="549"/>
      <c r="H485" s="549"/>
      <c r="I485" s="549"/>
      <c r="J485" s="549"/>
      <c r="K485" s="549"/>
      <c r="L485" s="549"/>
      <c r="M485" s="549"/>
      <c r="AE485" s="463"/>
      <c r="AF485" s="463"/>
    </row>
    <row r="486" spans="1:32" s="57" customFormat="1" ht="11.25">
      <c r="A486" s="550"/>
      <c r="B486" s="550"/>
      <c r="C486" s="550" t="s">
        <v>1959</v>
      </c>
      <c r="D486" s="549"/>
      <c r="E486" s="549"/>
      <c r="F486" s="549"/>
      <c r="G486" s="549"/>
      <c r="H486" s="549"/>
      <c r="I486" s="549"/>
      <c r="J486" s="549"/>
      <c r="K486" s="549"/>
      <c r="L486" s="549"/>
      <c r="M486" s="549"/>
      <c r="AE486" s="463"/>
      <c r="AF486" s="463"/>
    </row>
    <row r="487" spans="1:32" s="57" customFormat="1" ht="11.25">
      <c r="A487" s="550"/>
      <c r="B487" s="550"/>
      <c r="C487" s="550" t="s">
        <v>239</v>
      </c>
      <c r="D487" s="549"/>
      <c r="E487" s="549"/>
      <c r="F487" s="549"/>
      <c r="G487" s="549"/>
      <c r="H487" s="549"/>
      <c r="I487" s="549"/>
      <c r="J487" s="549"/>
      <c r="K487" s="549"/>
      <c r="L487" s="549"/>
      <c r="M487" s="549"/>
      <c r="AE487" s="463"/>
      <c r="AF487" s="463"/>
    </row>
    <row r="488" spans="1:32" s="57" customFormat="1" ht="11.25">
      <c r="A488" s="550"/>
      <c r="B488" s="550"/>
      <c r="C488" s="550"/>
      <c r="D488" s="550"/>
      <c r="E488" s="550"/>
      <c r="F488" s="550"/>
      <c r="G488" s="550"/>
      <c r="H488" s="550"/>
      <c r="I488" s="550"/>
      <c r="J488" s="550"/>
      <c r="K488" s="550"/>
      <c r="L488" s="550"/>
      <c r="M488" s="550"/>
      <c r="AE488" s="463"/>
      <c r="AF488" s="463"/>
    </row>
    <row r="489" spans="1:32" s="57" customFormat="1" ht="11.25">
      <c r="A489" s="550"/>
      <c r="B489" s="550"/>
      <c r="C489" s="556" t="s">
        <v>1865</v>
      </c>
      <c r="D489" s="550"/>
      <c r="E489" s="550"/>
      <c r="F489" s="550"/>
      <c r="G489" s="550"/>
      <c r="H489" s="550"/>
      <c r="I489" s="550"/>
      <c r="J489" s="550"/>
      <c r="K489" s="550"/>
      <c r="L489" s="550"/>
      <c r="M489" s="550"/>
      <c r="AE489" s="463"/>
      <c r="AF489" s="463"/>
    </row>
    <row r="490" spans="1:32" s="57" customFormat="1" ht="11.25">
      <c r="A490" s="550"/>
      <c r="B490" s="550"/>
      <c r="C490" s="550" t="s">
        <v>967</v>
      </c>
      <c r="D490" s="550"/>
      <c r="E490" s="550"/>
      <c r="F490" s="550"/>
      <c r="G490" s="550"/>
      <c r="H490" s="550"/>
      <c r="I490" s="550"/>
      <c r="J490" s="550"/>
      <c r="K490" s="550"/>
      <c r="L490" s="550"/>
      <c r="M490" s="550"/>
      <c r="AE490" s="463"/>
      <c r="AF490" s="463"/>
    </row>
    <row r="491" spans="1:32" s="57" customFormat="1" ht="11.25">
      <c r="A491" s="550"/>
      <c r="B491" s="550"/>
      <c r="C491" s="554" t="s">
        <v>1698</v>
      </c>
      <c r="D491" s="550"/>
      <c r="E491" s="550"/>
      <c r="F491" s="550"/>
      <c r="G491" s="550"/>
      <c r="H491" s="550"/>
      <c r="I491" s="550"/>
      <c r="J491" s="550"/>
      <c r="K491" s="550"/>
      <c r="L491" s="550"/>
      <c r="M491" s="550"/>
      <c r="AE491" s="463"/>
      <c r="AF491" s="463"/>
    </row>
    <row r="492" spans="1:32" s="57" customFormat="1" ht="11.25">
      <c r="A492" s="550"/>
      <c r="B492" s="550"/>
      <c r="C492" s="554" t="s">
        <v>756</v>
      </c>
      <c r="D492" s="550"/>
      <c r="E492" s="550"/>
      <c r="F492" s="550"/>
      <c r="G492" s="550"/>
      <c r="H492" s="550"/>
      <c r="I492" s="550"/>
      <c r="J492" s="550"/>
      <c r="K492" s="550"/>
      <c r="L492" s="554"/>
      <c r="M492" s="550"/>
      <c r="AE492" s="463"/>
      <c r="AF492" s="463"/>
    </row>
    <row r="493" spans="1:32" s="57" customFormat="1" ht="11.25">
      <c r="A493" s="550"/>
      <c r="B493" s="550"/>
      <c r="C493" s="554" t="s">
        <v>757</v>
      </c>
      <c r="D493" s="550"/>
      <c r="E493" s="550"/>
      <c r="F493" s="550"/>
      <c r="G493" s="550"/>
      <c r="H493" s="550"/>
      <c r="I493" s="550"/>
      <c r="J493" s="550"/>
      <c r="K493" s="550"/>
      <c r="L493" s="554"/>
      <c r="M493" s="550"/>
      <c r="AE493" s="463"/>
      <c r="AF493" s="463"/>
    </row>
    <row r="494" spans="1:32" s="57" customFormat="1" ht="11.25">
      <c r="A494" s="550"/>
      <c r="B494" s="550"/>
      <c r="C494" s="554" t="s">
        <v>2244</v>
      </c>
      <c r="D494" s="550"/>
      <c r="E494" s="550"/>
      <c r="F494" s="550"/>
      <c r="G494" s="550"/>
      <c r="H494" s="550"/>
      <c r="I494" s="550"/>
      <c r="J494" s="550"/>
      <c r="K494" s="550"/>
      <c r="L494" s="554"/>
      <c r="M494" s="550"/>
      <c r="AE494" s="463"/>
      <c r="AF494" s="463"/>
    </row>
    <row r="495" spans="1:32" s="57" customFormat="1" ht="11.25">
      <c r="A495" s="550"/>
      <c r="B495" s="550"/>
      <c r="C495" s="554" t="s">
        <v>128</v>
      </c>
      <c r="D495" s="550"/>
      <c r="E495" s="550"/>
      <c r="F495" s="550"/>
      <c r="G495" s="550"/>
      <c r="H495" s="550"/>
      <c r="I495" s="550"/>
      <c r="J495" s="550"/>
      <c r="K495" s="550"/>
      <c r="L495" s="554"/>
      <c r="M495" s="550"/>
      <c r="AE495" s="463"/>
      <c r="AF495" s="463"/>
    </row>
    <row r="496" spans="1:32" s="57" customFormat="1" ht="11.25">
      <c r="A496" s="550"/>
      <c r="B496" s="550"/>
      <c r="C496" s="502" t="s">
        <v>126</v>
      </c>
      <c r="D496" s="550"/>
      <c r="E496" s="550"/>
      <c r="F496" s="550"/>
      <c r="G496" s="550"/>
      <c r="H496" s="550"/>
      <c r="I496" s="550"/>
      <c r="J496" s="550"/>
      <c r="K496" s="550"/>
      <c r="L496" s="554"/>
      <c r="M496" s="550"/>
      <c r="AE496" s="463"/>
      <c r="AF496" s="463"/>
    </row>
    <row r="497" spans="1:32" s="57" customFormat="1" ht="11.25">
      <c r="A497" s="550"/>
      <c r="B497" s="550"/>
      <c r="C497" s="502" t="s">
        <v>1964</v>
      </c>
      <c r="D497" s="550"/>
      <c r="E497" s="550"/>
      <c r="F497" s="550"/>
      <c r="G497" s="550"/>
      <c r="H497" s="550"/>
      <c r="I497" s="550"/>
      <c r="J497" s="550"/>
      <c r="K497" s="550"/>
      <c r="L497" s="550"/>
      <c r="M497" s="550"/>
      <c r="AE497" s="463"/>
      <c r="AF497" s="463"/>
    </row>
    <row r="498" spans="1:32" s="57" customFormat="1" ht="11.25">
      <c r="A498" s="550"/>
      <c r="B498" s="550"/>
      <c r="C498" s="554" t="s">
        <v>987</v>
      </c>
      <c r="D498" s="550"/>
      <c r="E498" s="550"/>
      <c r="F498" s="550"/>
      <c r="G498" s="550"/>
      <c r="H498" s="550"/>
      <c r="I498" s="550"/>
      <c r="J498" s="550"/>
      <c r="K498" s="550"/>
      <c r="L498" s="554"/>
      <c r="M498" s="550"/>
      <c r="AE498" s="463"/>
      <c r="AF498" s="463"/>
    </row>
    <row r="499" spans="1:32" s="57" customFormat="1" ht="11.25">
      <c r="A499" s="550"/>
      <c r="B499" s="550"/>
      <c r="C499" s="502" t="s">
        <v>127</v>
      </c>
      <c r="D499" s="550"/>
      <c r="E499" s="550"/>
      <c r="F499" s="550"/>
      <c r="G499" s="550"/>
      <c r="H499" s="550"/>
      <c r="I499" s="550"/>
      <c r="J499" s="550"/>
      <c r="K499" s="550"/>
      <c r="L499" s="554"/>
      <c r="M499" s="550"/>
      <c r="AE499" s="463"/>
      <c r="AF499" s="463"/>
    </row>
    <row r="500" spans="1:32" s="57" customFormat="1" ht="11.25">
      <c r="A500" s="550"/>
      <c r="B500" s="550"/>
      <c r="C500" s="502" t="s">
        <v>128</v>
      </c>
      <c r="D500" s="550"/>
      <c r="E500" s="550"/>
      <c r="F500" s="550"/>
      <c r="G500" s="550"/>
      <c r="H500" s="550"/>
      <c r="I500" s="550"/>
      <c r="J500" s="550"/>
      <c r="K500" s="550"/>
      <c r="L500" s="554"/>
      <c r="M500" s="550"/>
      <c r="AE500" s="463"/>
      <c r="AF500" s="463"/>
    </row>
    <row r="501" spans="1:32" s="57" customFormat="1" ht="11.25">
      <c r="A501" s="550"/>
      <c r="B501" s="550"/>
      <c r="C501" s="502" t="s">
        <v>129</v>
      </c>
      <c r="D501" s="550"/>
      <c r="E501" s="550"/>
      <c r="F501" s="550"/>
      <c r="G501" s="550"/>
      <c r="H501" s="550"/>
      <c r="I501" s="550"/>
      <c r="J501" s="550"/>
      <c r="K501" s="550"/>
      <c r="L501" s="554"/>
      <c r="M501" s="550"/>
      <c r="AE501" s="463"/>
      <c r="AF501" s="463"/>
    </row>
    <row r="502" spans="1:32" s="57" customFormat="1" ht="11.25">
      <c r="A502" s="550"/>
      <c r="B502" s="550"/>
      <c r="C502" s="502" t="s">
        <v>2781</v>
      </c>
      <c r="D502" s="550"/>
      <c r="E502" s="550"/>
      <c r="F502" s="550"/>
      <c r="G502" s="550"/>
      <c r="H502" s="550"/>
      <c r="I502" s="550"/>
      <c r="J502" s="550"/>
      <c r="K502" s="550"/>
      <c r="L502" s="550"/>
      <c r="M502" s="550"/>
      <c r="AE502" s="463"/>
      <c r="AF502" s="463"/>
    </row>
    <row r="503" spans="1:32" s="57" customFormat="1" ht="11.25">
      <c r="A503" s="550"/>
      <c r="B503" s="550"/>
      <c r="C503" s="554" t="s">
        <v>2096</v>
      </c>
      <c r="D503" s="550"/>
      <c r="E503" s="550"/>
      <c r="F503" s="550"/>
      <c r="G503" s="550"/>
      <c r="H503" s="550"/>
      <c r="I503" s="550"/>
      <c r="J503" s="550"/>
      <c r="K503" s="550"/>
      <c r="L503" s="554"/>
      <c r="M503" s="550"/>
      <c r="AE503" s="463"/>
      <c r="AF503" s="463"/>
    </row>
    <row r="504" spans="1:32" s="57" customFormat="1" ht="11.25">
      <c r="A504" s="550"/>
      <c r="B504" s="550"/>
      <c r="C504" s="502" t="s">
        <v>2782</v>
      </c>
      <c r="D504" s="550"/>
      <c r="E504" s="550"/>
      <c r="F504" s="550"/>
      <c r="G504" s="550"/>
      <c r="H504" s="550"/>
      <c r="I504" s="550"/>
      <c r="J504" s="550"/>
      <c r="K504" s="550"/>
      <c r="L504" s="554"/>
      <c r="M504" s="550"/>
      <c r="AE504" s="463"/>
      <c r="AF504" s="463"/>
    </row>
    <row r="505" spans="1:32" s="57" customFormat="1" ht="11.25">
      <c r="A505" s="550"/>
      <c r="B505" s="550"/>
      <c r="C505" s="502" t="s">
        <v>1439</v>
      </c>
      <c r="D505" s="550"/>
      <c r="E505" s="550"/>
      <c r="F505" s="550"/>
      <c r="G505" s="550"/>
      <c r="H505" s="550"/>
      <c r="I505" s="550"/>
      <c r="J505" s="550"/>
      <c r="K505" s="550"/>
      <c r="L505" s="554"/>
      <c r="M505" s="550"/>
      <c r="AE505" s="463"/>
      <c r="AF505" s="463"/>
    </row>
    <row r="506" spans="1:32" s="57" customFormat="1" ht="11.25">
      <c r="A506" s="550"/>
      <c r="B506" s="550"/>
      <c r="C506" s="502" t="s">
        <v>1655</v>
      </c>
      <c r="D506" s="550"/>
      <c r="E506" s="550"/>
      <c r="F506" s="550"/>
      <c r="G506" s="550"/>
      <c r="H506" s="550"/>
      <c r="I506" s="550"/>
      <c r="J506" s="550"/>
      <c r="K506" s="557" t="s">
        <v>481</v>
      </c>
      <c r="L506" s="554"/>
      <c r="M506" s="550"/>
      <c r="AE506" s="463"/>
      <c r="AF506" s="463"/>
    </row>
    <row r="507" spans="1:32" s="57" customFormat="1" ht="11.25">
      <c r="A507" s="550"/>
      <c r="B507" s="550"/>
      <c r="C507" s="502" t="s">
        <v>2783</v>
      </c>
      <c r="D507" s="550"/>
      <c r="E507" s="550"/>
      <c r="F507" s="550"/>
      <c r="G507" s="550"/>
      <c r="H507" s="550"/>
      <c r="I507" s="550"/>
      <c r="J507" s="550"/>
      <c r="K507" s="550" t="s">
        <v>1128</v>
      </c>
      <c r="L507" s="554"/>
      <c r="M507" s="550"/>
      <c r="AE507" s="463"/>
      <c r="AF507" s="463"/>
    </row>
    <row r="508" spans="1:32" s="57" customFormat="1" ht="11.25">
      <c r="A508" s="550"/>
      <c r="B508" s="550"/>
      <c r="C508" s="502" t="s">
        <v>2784</v>
      </c>
      <c r="D508" s="550"/>
      <c r="E508" s="550"/>
      <c r="F508" s="550"/>
      <c r="G508" s="550"/>
      <c r="H508" s="550"/>
      <c r="I508" s="550"/>
      <c r="J508" s="550"/>
      <c r="K508" s="550" t="s">
        <v>2755</v>
      </c>
      <c r="L508" s="550"/>
      <c r="M508" s="550"/>
      <c r="AE508" s="463"/>
      <c r="AF508" s="463"/>
    </row>
    <row r="509" spans="1:32" s="57" customFormat="1" ht="11.25">
      <c r="A509" s="550"/>
      <c r="B509" s="550"/>
      <c r="C509" s="554" t="s">
        <v>1257</v>
      </c>
      <c r="D509" s="550"/>
      <c r="E509" s="550"/>
      <c r="F509" s="550"/>
      <c r="G509" s="550"/>
      <c r="H509" s="550"/>
      <c r="I509" s="550"/>
      <c r="J509" s="550"/>
      <c r="K509" s="550" t="s">
        <v>2756</v>
      </c>
      <c r="L509" s="550"/>
      <c r="M509" s="550"/>
      <c r="AE509" s="463"/>
      <c r="AF509" s="463"/>
    </row>
    <row r="510" spans="1:32" s="57" customFormat="1" ht="11.25">
      <c r="A510" s="550"/>
      <c r="B510" s="550"/>
      <c r="C510" s="550"/>
      <c r="D510" s="550"/>
      <c r="E510" s="550"/>
      <c r="F510" s="550"/>
      <c r="G510" s="550"/>
      <c r="H510" s="550"/>
      <c r="I510" s="550"/>
      <c r="J510" s="550"/>
      <c r="K510" s="550"/>
      <c r="L510" s="550"/>
      <c r="M510" s="550"/>
      <c r="AE510" s="463"/>
      <c r="AF510" s="463"/>
    </row>
    <row r="511" spans="1:32" s="57" customFormat="1" ht="11.25">
      <c r="A511" s="550"/>
      <c r="B511" s="550"/>
      <c r="C511" s="556" t="s">
        <v>267</v>
      </c>
      <c r="D511" s="550"/>
      <c r="E511" s="550"/>
      <c r="F511" s="550"/>
      <c r="G511" s="550"/>
      <c r="H511" s="550"/>
      <c r="I511" s="550"/>
      <c r="J511" s="550"/>
      <c r="K511" s="557" t="s">
        <v>2332</v>
      </c>
      <c r="L511" s="550"/>
      <c r="M511" s="550"/>
      <c r="AE511" s="463"/>
      <c r="AF511" s="463"/>
    </row>
    <row r="512" spans="1:32" s="57" customFormat="1" ht="11.25">
      <c r="A512" s="550"/>
      <c r="B512" s="550"/>
      <c r="C512" s="550" t="s">
        <v>1129</v>
      </c>
      <c r="D512" s="550"/>
      <c r="E512" s="550"/>
      <c r="F512" s="550"/>
      <c r="G512" s="550"/>
      <c r="H512" s="550"/>
      <c r="I512" s="550"/>
      <c r="J512" s="550"/>
      <c r="K512" s="550" t="s">
        <v>2418</v>
      </c>
      <c r="L512" s="550"/>
      <c r="M512" s="550"/>
      <c r="AE512" s="463"/>
      <c r="AF512" s="463"/>
    </row>
    <row r="513" spans="1:32" s="57" customFormat="1" ht="11.25">
      <c r="A513" s="550"/>
      <c r="B513" s="550"/>
      <c r="C513" s="550" t="s">
        <v>176</v>
      </c>
      <c r="D513" s="550"/>
      <c r="E513" s="550"/>
      <c r="F513" s="550"/>
      <c r="G513" s="550"/>
      <c r="H513" s="550"/>
      <c r="I513" s="550"/>
      <c r="J513" s="550"/>
      <c r="K513" s="550" t="s">
        <v>1507</v>
      </c>
      <c r="L513" s="550"/>
      <c r="M513" s="550"/>
      <c r="AE513" s="463"/>
      <c r="AF513" s="463"/>
    </row>
    <row r="514" spans="1:32" s="57" customFormat="1" ht="11.25">
      <c r="A514" s="550"/>
      <c r="B514" s="550"/>
      <c r="C514" s="550" t="s">
        <v>1592</v>
      </c>
      <c r="D514" s="550"/>
      <c r="E514" s="550"/>
      <c r="F514" s="550"/>
      <c r="G514" s="550"/>
      <c r="H514" s="550"/>
      <c r="I514" s="550"/>
      <c r="J514" s="550"/>
      <c r="K514" s="550" t="s">
        <v>1180</v>
      </c>
      <c r="L514" s="550"/>
      <c r="M514" s="550"/>
      <c r="AE514" s="463"/>
      <c r="AF514" s="463"/>
    </row>
    <row r="515" spans="1:32" s="57" customFormat="1" ht="11.25">
      <c r="A515" s="550"/>
      <c r="B515" s="550"/>
      <c r="C515" s="550" t="s">
        <v>2206</v>
      </c>
      <c r="D515" s="550"/>
      <c r="E515" s="550"/>
      <c r="F515" s="550"/>
      <c r="G515" s="550"/>
      <c r="H515" s="550"/>
      <c r="I515" s="550"/>
      <c r="J515" s="550"/>
      <c r="K515" s="550" t="s">
        <v>1179</v>
      </c>
      <c r="L515" s="550"/>
      <c r="M515" s="550"/>
      <c r="AE515" s="463"/>
      <c r="AF515" s="463"/>
    </row>
    <row r="516" spans="1:32" s="57" customFormat="1" ht="11.25">
      <c r="A516" s="550"/>
      <c r="B516" s="550"/>
      <c r="C516" s="550" t="s">
        <v>175</v>
      </c>
      <c r="D516" s="550"/>
      <c r="E516" s="550"/>
      <c r="F516" s="550"/>
      <c r="G516" s="550"/>
      <c r="H516" s="550"/>
      <c r="I516" s="550"/>
      <c r="J516" s="550"/>
      <c r="K516" s="550" t="s">
        <v>2859</v>
      </c>
      <c r="L516" s="550"/>
      <c r="M516" s="550"/>
      <c r="AE516" s="463"/>
      <c r="AF516" s="463"/>
    </row>
    <row r="517" spans="1:32" s="57" customFormat="1" ht="11.25">
      <c r="A517" s="550"/>
      <c r="B517" s="550"/>
      <c r="C517" s="550"/>
      <c r="D517" s="550"/>
      <c r="E517" s="550"/>
      <c r="F517" s="550"/>
      <c r="G517" s="550"/>
      <c r="H517" s="550"/>
      <c r="I517" s="550"/>
      <c r="J517" s="550"/>
      <c r="K517" s="557" t="s">
        <v>2032</v>
      </c>
      <c r="L517" s="550"/>
      <c r="M517" s="550"/>
      <c r="AE517" s="463"/>
      <c r="AF517" s="463"/>
    </row>
    <row r="518" spans="1:32" s="57" customFormat="1" ht="11.25">
      <c r="A518" s="550"/>
      <c r="B518" s="550"/>
      <c r="C518" s="550"/>
      <c r="D518" s="550"/>
      <c r="E518" s="550"/>
      <c r="F518" s="550"/>
      <c r="G518" s="550"/>
      <c r="H518" s="550"/>
      <c r="I518" s="550"/>
      <c r="J518" s="550"/>
      <c r="K518" s="550" t="s">
        <v>1127</v>
      </c>
      <c r="L518" s="550"/>
      <c r="M518" s="550"/>
      <c r="AE518" s="463"/>
      <c r="AF518" s="463"/>
    </row>
    <row r="519" spans="1:32" s="57" customFormat="1" ht="11.25">
      <c r="A519" s="550"/>
      <c r="B519" s="550"/>
      <c r="C519" s="550"/>
      <c r="D519" s="550"/>
      <c r="E519" s="550"/>
      <c r="F519" s="550"/>
      <c r="G519" s="550"/>
      <c r="H519" s="550"/>
      <c r="I519" s="550"/>
      <c r="J519" s="550"/>
      <c r="K519" s="550" t="s">
        <v>1827</v>
      </c>
      <c r="L519" s="550"/>
      <c r="M519" s="550"/>
      <c r="AE519" s="463"/>
      <c r="AF519" s="463"/>
    </row>
    <row r="520" spans="1:32" s="57" customFormat="1" ht="11.25">
      <c r="A520" s="550"/>
      <c r="B520" s="550"/>
      <c r="C520" s="550"/>
      <c r="D520" s="550"/>
      <c r="E520" s="550"/>
      <c r="F520" s="550"/>
      <c r="G520" s="550"/>
      <c r="H520" s="550"/>
      <c r="I520" s="550"/>
      <c r="J520" s="550"/>
      <c r="K520" s="550" t="s">
        <v>1181</v>
      </c>
      <c r="L520" s="550"/>
      <c r="M520" s="550"/>
      <c r="AE520" s="463"/>
      <c r="AF520" s="463"/>
    </row>
    <row r="521" spans="1:32" s="57" customFormat="1" ht="11.25">
      <c r="A521" s="550"/>
      <c r="B521" s="550"/>
      <c r="C521" s="550"/>
      <c r="D521" s="550"/>
      <c r="E521" s="550"/>
      <c r="F521" s="550"/>
      <c r="G521" s="550"/>
      <c r="H521" s="550"/>
      <c r="I521" s="550"/>
      <c r="J521" s="550"/>
      <c r="K521" s="550" t="s">
        <v>1828</v>
      </c>
      <c r="L521" s="550"/>
      <c r="M521" s="550"/>
      <c r="AE521" s="463"/>
      <c r="AF521" s="463"/>
    </row>
    <row r="522" spans="1:32" s="57" customFormat="1" ht="11.25">
      <c r="A522" s="550"/>
      <c r="B522" s="550"/>
      <c r="C522" s="550"/>
      <c r="D522" s="550"/>
      <c r="E522" s="550"/>
      <c r="F522" s="550"/>
      <c r="G522" s="550"/>
      <c r="H522" s="550"/>
      <c r="I522" s="550"/>
      <c r="J522" s="550"/>
      <c r="K522" s="550" t="s">
        <v>2462</v>
      </c>
      <c r="L522" s="550"/>
      <c r="M522" s="550"/>
      <c r="AE522" s="463"/>
      <c r="AF522" s="463"/>
    </row>
    <row r="523" spans="1:32" s="57" customFormat="1" ht="11.25">
      <c r="A523" s="550"/>
      <c r="B523" s="550"/>
      <c r="C523" s="550"/>
      <c r="D523" s="550"/>
      <c r="E523" s="550"/>
      <c r="F523" s="550"/>
      <c r="G523" s="550"/>
      <c r="H523" s="550"/>
      <c r="I523" s="550"/>
      <c r="J523" s="550"/>
      <c r="K523" s="550"/>
      <c r="L523" s="550"/>
      <c r="M523" s="550"/>
      <c r="AE523" s="463"/>
      <c r="AF523" s="463"/>
    </row>
    <row r="524" spans="1:32" s="57" customFormat="1" ht="11.25">
      <c r="A524" s="550"/>
      <c r="B524" s="550"/>
      <c r="C524" s="556" t="s">
        <v>1058</v>
      </c>
      <c r="D524" s="550"/>
      <c r="E524" s="550"/>
      <c r="F524" s="550"/>
      <c r="G524" s="550"/>
      <c r="H524" s="550"/>
      <c r="I524" s="550"/>
      <c r="J524" s="550"/>
      <c r="K524" s="556" t="s">
        <v>1059</v>
      </c>
      <c r="L524" s="550"/>
      <c r="M524" s="550"/>
      <c r="AE524" s="463"/>
      <c r="AF524" s="463"/>
    </row>
    <row r="525" spans="1:32" s="57" customFormat="1" ht="11.25">
      <c r="A525" s="550"/>
      <c r="B525" s="550"/>
      <c r="C525" s="550" t="s">
        <v>1057</v>
      </c>
      <c r="D525" s="550"/>
      <c r="E525" s="550"/>
      <c r="F525" s="550"/>
      <c r="G525" s="550"/>
      <c r="H525" s="550"/>
      <c r="I525" s="550"/>
      <c r="J525" s="550"/>
      <c r="K525" s="550" t="s">
        <v>1057</v>
      </c>
      <c r="L525" s="550"/>
      <c r="M525" s="550"/>
      <c r="AE525" s="463"/>
      <c r="AF525" s="463"/>
    </row>
    <row r="526" spans="1:32" s="57" customFormat="1" ht="11.25">
      <c r="A526" s="550"/>
      <c r="B526" s="550"/>
      <c r="C526" s="550" t="s">
        <v>2177</v>
      </c>
      <c r="D526" s="550"/>
      <c r="E526" s="550"/>
      <c r="F526" s="550"/>
      <c r="G526" s="550"/>
      <c r="H526" s="550"/>
      <c r="I526" s="550"/>
      <c r="J526" s="550"/>
      <c r="K526" s="550" t="s">
        <v>240</v>
      </c>
      <c r="L526" s="550"/>
      <c r="M526" s="550"/>
      <c r="AE526" s="463"/>
      <c r="AF526" s="463"/>
    </row>
    <row r="527" spans="1:32" s="57" customFormat="1" ht="11.25">
      <c r="A527" s="550"/>
      <c r="B527" s="550"/>
      <c r="C527" s="550" t="s">
        <v>2644</v>
      </c>
      <c r="D527" s="550"/>
      <c r="E527" s="550"/>
      <c r="F527" s="550"/>
      <c r="G527" s="550"/>
      <c r="H527" s="550"/>
      <c r="I527" s="550"/>
      <c r="J527" s="550"/>
      <c r="K527" s="550" t="s">
        <v>506</v>
      </c>
      <c r="L527" s="550"/>
      <c r="M527" s="550"/>
      <c r="AE527" s="463"/>
      <c r="AF527" s="463"/>
    </row>
    <row r="528" spans="1:32" s="57" customFormat="1" ht="11.25">
      <c r="A528" s="550"/>
      <c r="B528" s="550"/>
      <c r="C528" s="550" t="s">
        <v>2178</v>
      </c>
      <c r="D528" s="550"/>
      <c r="E528" s="550"/>
      <c r="F528" s="550"/>
      <c r="G528" s="550"/>
      <c r="H528" s="550"/>
      <c r="I528" s="550"/>
      <c r="J528" s="550"/>
      <c r="K528" s="550" t="s">
        <v>2603</v>
      </c>
      <c r="L528" s="550"/>
      <c r="M528" s="550"/>
      <c r="AE528" s="463"/>
      <c r="AF528" s="463"/>
    </row>
    <row r="529" spans="1:32" s="57" customFormat="1" ht="11.25">
      <c r="A529" s="550"/>
      <c r="B529" s="550"/>
      <c r="C529" s="550" t="s">
        <v>2033</v>
      </c>
      <c r="D529" s="550"/>
      <c r="E529" s="550"/>
      <c r="F529" s="550"/>
      <c r="G529" s="550"/>
      <c r="H529" s="550"/>
      <c r="I529" s="550"/>
      <c r="J529" s="550"/>
      <c r="K529" s="550" t="s">
        <v>2042</v>
      </c>
      <c r="L529" s="550"/>
      <c r="M529" s="550"/>
      <c r="AE529" s="463"/>
      <c r="AF529" s="463"/>
    </row>
    <row r="530" spans="1:32" s="57" customFormat="1" ht="11.25">
      <c r="A530" s="550"/>
      <c r="B530" s="550"/>
      <c r="C530" s="550" t="s">
        <v>618</v>
      </c>
      <c r="D530" s="550"/>
      <c r="E530" s="550"/>
      <c r="F530" s="550"/>
      <c r="G530" s="550"/>
      <c r="H530" s="550"/>
      <c r="I530" s="550"/>
      <c r="J530" s="550"/>
      <c r="K530" s="550" t="s">
        <v>2605</v>
      </c>
      <c r="L530" s="550"/>
      <c r="M530" s="550"/>
      <c r="AE530" s="463"/>
      <c r="AF530" s="463"/>
    </row>
    <row r="531" spans="1:32" s="57" customFormat="1" ht="11.25">
      <c r="A531" s="550"/>
      <c r="B531" s="550"/>
      <c r="C531" s="550" t="s">
        <v>2284</v>
      </c>
      <c r="D531" s="550"/>
      <c r="E531" s="550"/>
      <c r="F531" s="550"/>
      <c r="G531" s="550"/>
      <c r="H531" s="550"/>
      <c r="I531" s="550"/>
      <c r="J531" s="550"/>
      <c r="K531" s="550" t="s">
        <v>34</v>
      </c>
      <c r="L531" s="550"/>
      <c r="M531" s="550"/>
      <c r="AE531" s="463"/>
      <c r="AF531" s="463"/>
    </row>
    <row r="532" spans="1:32" s="57" customFormat="1" ht="11.25">
      <c r="A532" s="550"/>
      <c r="B532" s="550"/>
      <c r="C532" s="552" t="s">
        <v>35</v>
      </c>
      <c r="D532" s="550"/>
      <c r="E532" s="550"/>
      <c r="F532" s="550"/>
      <c r="G532" s="550"/>
      <c r="H532" s="550"/>
      <c r="I532" s="550"/>
      <c r="J532" s="550"/>
      <c r="K532" s="550" t="s">
        <v>1898</v>
      </c>
      <c r="L532" s="550"/>
      <c r="M532" s="550"/>
      <c r="AE532" s="463"/>
      <c r="AF532" s="463"/>
    </row>
    <row r="533" spans="1:32" s="57" customFormat="1" ht="11.25">
      <c r="A533" s="550"/>
      <c r="B533" s="550"/>
      <c r="C533" s="550"/>
      <c r="D533" s="550"/>
      <c r="E533" s="550"/>
      <c r="F533" s="550"/>
      <c r="G533" s="550"/>
      <c r="H533" s="550"/>
      <c r="I533" s="550"/>
      <c r="J533" s="550"/>
      <c r="K533" s="550" t="s">
        <v>2606</v>
      </c>
      <c r="L533" s="550"/>
      <c r="M533" s="550"/>
      <c r="AE533" s="463"/>
      <c r="AF533" s="463"/>
    </row>
    <row r="534" spans="1:32" s="57" customFormat="1" ht="11.25">
      <c r="A534" s="550"/>
      <c r="B534" s="550"/>
      <c r="C534" s="550"/>
      <c r="D534" s="550"/>
      <c r="E534" s="550"/>
      <c r="F534" s="550"/>
      <c r="G534" s="550"/>
      <c r="H534" s="550"/>
      <c r="I534" s="550"/>
      <c r="J534" s="550"/>
      <c r="K534" s="550" t="s">
        <v>1212</v>
      </c>
      <c r="L534" s="550"/>
      <c r="M534" s="550"/>
      <c r="AE534" s="463"/>
      <c r="AF534" s="463"/>
    </row>
    <row r="535" spans="1:32" s="57" customFormat="1" ht="11.25">
      <c r="A535" s="550"/>
      <c r="B535" s="550"/>
      <c r="C535" s="550"/>
      <c r="D535" s="550"/>
      <c r="E535" s="550"/>
      <c r="F535" s="550"/>
      <c r="G535" s="550"/>
      <c r="H535" s="550"/>
      <c r="I535" s="550"/>
      <c r="J535" s="550"/>
      <c r="K535" s="550" t="s">
        <v>1958</v>
      </c>
      <c r="L535" s="550"/>
      <c r="M535" s="550"/>
      <c r="AE535" s="463"/>
      <c r="AF535" s="463"/>
    </row>
    <row r="536" spans="1:32" s="57" customFormat="1" ht="11.25">
      <c r="A536" s="550"/>
      <c r="B536" s="550"/>
      <c r="C536" s="550"/>
      <c r="D536" s="550"/>
      <c r="E536" s="550"/>
      <c r="F536" s="550"/>
      <c r="G536" s="550"/>
      <c r="H536" s="550"/>
      <c r="I536" s="550"/>
      <c r="J536" s="550"/>
      <c r="K536" s="550" t="s">
        <v>617</v>
      </c>
      <c r="L536" s="550"/>
      <c r="M536" s="550"/>
      <c r="AE536" s="463"/>
      <c r="AF536" s="463"/>
    </row>
    <row r="537" spans="1:32" s="57" customFormat="1" ht="11.25">
      <c r="A537" s="550"/>
      <c r="B537" s="550"/>
      <c r="C537" s="550"/>
      <c r="D537" s="550"/>
      <c r="E537" s="550"/>
      <c r="F537" s="550"/>
      <c r="G537" s="550"/>
      <c r="H537" s="550"/>
      <c r="I537" s="550"/>
      <c r="J537" s="550"/>
      <c r="K537" s="550" t="s">
        <v>1959</v>
      </c>
      <c r="L537" s="550"/>
      <c r="M537" s="550"/>
      <c r="AE537" s="463"/>
      <c r="AF537" s="463"/>
    </row>
    <row r="538" spans="1:32" s="57" customFormat="1" ht="11.25">
      <c r="A538" s="550"/>
      <c r="B538" s="550"/>
      <c r="C538" s="550"/>
      <c r="D538" s="550"/>
      <c r="E538" s="550"/>
      <c r="F538" s="550"/>
      <c r="G538" s="550"/>
      <c r="H538" s="550"/>
      <c r="I538" s="550"/>
      <c r="J538" s="550"/>
      <c r="K538" s="550" t="s">
        <v>619</v>
      </c>
      <c r="L538" s="550"/>
      <c r="M538" s="550"/>
      <c r="AE538" s="463"/>
      <c r="AF538" s="463"/>
    </row>
    <row r="539" spans="1:32" s="57" customFormat="1" ht="11.25">
      <c r="A539" s="550"/>
      <c r="B539" s="550"/>
      <c r="C539" s="550"/>
      <c r="D539" s="550"/>
      <c r="E539" s="550"/>
      <c r="F539" s="550"/>
      <c r="G539" s="550"/>
      <c r="H539" s="550"/>
      <c r="I539" s="550"/>
      <c r="J539" s="550"/>
      <c r="K539" s="550" t="s">
        <v>239</v>
      </c>
      <c r="L539" s="550"/>
      <c r="M539" s="550"/>
      <c r="AE539" s="463"/>
      <c r="AF539" s="463"/>
    </row>
    <row r="540" spans="1:32" s="57" customFormat="1" ht="11.25">
      <c r="A540" s="550"/>
      <c r="B540" s="550"/>
      <c r="C540" s="550"/>
      <c r="D540" s="550"/>
      <c r="E540" s="550"/>
      <c r="F540" s="550"/>
      <c r="G540" s="550"/>
      <c r="H540" s="550"/>
      <c r="I540" s="550"/>
      <c r="J540" s="550"/>
      <c r="K540" s="550"/>
      <c r="L540" s="550"/>
      <c r="M540" s="550"/>
      <c r="AE540" s="463"/>
      <c r="AF540" s="463"/>
    </row>
    <row r="541" spans="1:32" s="57" customFormat="1" ht="11.25">
      <c r="A541" s="550"/>
      <c r="B541" s="550"/>
      <c r="C541" s="550"/>
      <c r="D541" s="558" t="s">
        <v>2124</v>
      </c>
      <c r="E541" s="550"/>
      <c r="F541" s="550"/>
      <c r="G541" s="550"/>
      <c r="H541" s="550"/>
      <c r="I541" s="550"/>
      <c r="J541" s="550"/>
      <c r="K541" s="550"/>
      <c r="L541" s="550"/>
      <c r="M541" s="550"/>
      <c r="AE541" s="463"/>
      <c r="AF541" s="463"/>
    </row>
    <row r="542" spans="1:32" s="57" customFormat="1" ht="11.25">
      <c r="A542" s="550"/>
      <c r="B542" s="550"/>
      <c r="C542" s="550"/>
      <c r="D542" s="550"/>
      <c r="E542" s="550"/>
      <c r="F542" s="550"/>
      <c r="G542" s="550"/>
      <c r="H542" s="550"/>
      <c r="I542" s="550"/>
      <c r="J542" s="550"/>
      <c r="K542" s="550"/>
      <c r="L542" s="550"/>
      <c r="M542" s="550"/>
      <c r="AE542" s="463"/>
      <c r="AF542" s="463"/>
    </row>
    <row r="543" spans="1:32" s="158" customFormat="1">
      <c r="A543" s="503"/>
      <c r="B543" s="503"/>
      <c r="C543" s="503"/>
      <c r="D543" s="503"/>
      <c r="E543" s="503"/>
      <c r="F543" s="503"/>
      <c r="G543" s="503"/>
      <c r="H543" s="503"/>
      <c r="I543" s="503"/>
      <c r="J543" s="503"/>
      <c r="K543" s="503"/>
      <c r="L543" s="503"/>
      <c r="M543" s="503"/>
      <c r="AE543" s="531"/>
      <c r="AF543" s="531"/>
    </row>
    <row r="544" spans="1:32">
      <c r="A544" s="503"/>
      <c r="B544" s="503"/>
      <c r="C544" s="503"/>
      <c r="D544" s="503"/>
      <c r="E544" s="503"/>
      <c r="F544" s="503"/>
      <c r="G544" s="503"/>
      <c r="H544" s="503"/>
      <c r="I544" s="503"/>
      <c r="J544" s="503"/>
      <c r="K544" s="503"/>
      <c r="L544" s="503"/>
      <c r="M544" s="503"/>
      <c r="N544" s="158"/>
      <c r="O544" s="158"/>
      <c r="P544" s="158"/>
      <c r="Q544" s="158"/>
      <c r="R544" s="158"/>
      <c r="S544" s="158"/>
      <c r="T544" s="158"/>
      <c r="U544" s="158"/>
    </row>
    <row r="545" spans="1:21">
      <c r="A545" s="503"/>
      <c r="B545" s="503"/>
      <c r="C545" s="503"/>
      <c r="D545" s="503"/>
      <c r="E545" s="503"/>
      <c r="F545" s="503"/>
      <c r="G545" s="503"/>
      <c r="H545" s="503"/>
      <c r="I545" s="503"/>
      <c r="J545" s="503"/>
      <c r="K545" s="503"/>
      <c r="L545" s="503"/>
      <c r="M545" s="503"/>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MY5Vpzu4hWzf2jFXXQxsXLQo12R34dueV5XR2WgT/etLK01hpx8BtIO8gbUB8GOGc+9gUTTT3R0g5Hjrbj/I6w==" saltValue="ZZ/MZW7LM0MecR0FyKZ+vQ==" spinCount="100000" sheet="1" objects="1" scenarios="1" formatColumns="0" formatRows="0"/>
  <mergeCells count="253">
    <mergeCell ref="A13:Q13"/>
    <mergeCell ref="A25:Q25"/>
    <mergeCell ref="A16:Q16"/>
    <mergeCell ref="G40:H40"/>
    <mergeCell ref="G39:H39"/>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66:Q16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N170:O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04:Q104"/>
    <mergeCell ref="A106:Q106"/>
    <mergeCell ref="P107:Q107"/>
    <mergeCell ref="M97:P97"/>
    <mergeCell ref="A218:Q218"/>
    <mergeCell ref="K204:N204"/>
    <mergeCell ref="A209:Q209"/>
    <mergeCell ref="A185:Q185"/>
    <mergeCell ref="A183:Q183"/>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M226:Q226"/>
    <mergeCell ref="M225:N225"/>
    <mergeCell ref="M227:N227"/>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C413:N413"/>
    <mergeCell ref="C414:N414"/>
    <mergeCell ref="P159:Q159"/>
    <mergeCell ref="A372:Q372"/>
    <mergeCell ref="P67:Q71"/>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4"/>
  <sheetViews>
    <sheetView showGridLines="0" zoomScale="106" zoomScaleNormal="106"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2024" customWidth="1"/>
    <col min="17" max="17" width="6" style="28" customWidth="1"/>
    <col min="18" max="21" width="9.140625" style="28" customWidth="1"/>
    <col min="22" max="22" width="8.85546875" style="28" customWidth="1"/>
    <col min="23" max="16384" width="9.140625" style="28"/>
  </cols>
  <sheetData>
    <row r="1" spans="1:19" s="36" customFormat="1" ht="13.9" customHeight="1">
      <c r="A1" s="2300" t="str">
        <f>CONCATENATE("PART NINE - SCORING CRITERIA","  -  ",'Part I-Project Information'!$O$4," ",'Part I-Project Information'!$F$24,", ",'Part I-Project Information'!F28,", ",'Part I-Project Information'!J29," County")</f>
        <v>PART NINE - SCORING CRITERIA  -  2016-508 Gateway Capitol View, Atlanta, Fulton County</v>
      </c>
      <c r="B1" s="2301"/>
      <c r="C1" s="2301"/>
      <c r="D1" s="2301"/>
      <c r="E1" s="2301"/>
      <c r="F1" s="2301"/>
      <c r="G1" s="2301"/>
      <c r="H1" s="2301"/>
      <c r="I1" s="2301"/>
      <c r="J1" s="2301"/>
      <c r="K1" s="2301"/>
      <c r="L1" s="2301"/>
      <c r="M1" s="2301"/>
      <c r="N1" s="2301"/>
      <c r="O1" s="2301"/>
      <c r="P1" s="2302"/>
    </row>
    <row r="2" spans="1:19" s="36" customFormat="1" ht="4.1500000000000004" customHeight="1">
      <c r="A2" s="37"/>
      <c r="B2" s="37"/>
      <c r="C2" s="38"/>
      <c r="D2" s="37"/>
      <c r="E2" s="37"/>
      <c r="F2" s="37"/>
      <c r="G2" s="37"/>
      <c r="H2" s="37"/>
      <c r="I2" s="37"/>
      <c r="J2" s="37"/>
      <c r="K2" s="37"/>
      <c r="L2" s="37"/>
      <c r="M2" s="39"/>
      <c r="N2" s="77"/>
      <c r="O2" s="2028"/>
      <c r="P2" s="2028"/>
    </row>
    <row r="3" spans="1:19" s="36" customFormat="1" ht="12.6" customHeight="1">
      <c r="A3" s="2676" t="s">
        <v>4298</v>
      </c>
      <c r="B3" s="2676"/>
      <c r="C3" s="2676"/>
      <c r="D3" s="2676"/>
      <c r="E3" s="2676"/>
      <c r="F3" s="2676"/>
      <c r="G3" s="2676"/>
      <c r="H3" s="2676"/>
      <c r="I3" s="2676"/>
      <c r="J3" s="2676"/>
      <c r="K3" s="2676"/>
      <c r="L3" s="2676"/>
      <c r="M3" s="97" t="s">
        <v>2308</v>
      </c>
      <c r="N3" s="78"/>
      <c r="O3" s="88" t="s">
        <v>2307</v>
      </c>
      <c r="P3" s="189" t="s">
        <v>269</v>
      </c>
    </row>
    <row r="4" spans="1:19" s="45" customFormat="1" ht="12.6" customHeight="1">
      <c r="A4" s="2676"/>
      <c r="B4" s="2676"/>
      <c r="C4" s="2676"/>
      <c r="D4" s="2676"/>
      <c r="E4" s="2676"/>
      <c r="F4" s="2676"/>
      <c r="G4" s="2676"/>
      <c r="H4" s="2676"/>
      <c r="I4" s="2676"/>
      <c r="J4" s="2676"/>
      <c r="K4" s="2676"/>
      <c r="L4" s="2676"/>
      <c r="M4" s="191" t="s">
        <v>95</v>
      </c>
      <c r="N4" s="90"/>
      <c r="O4" s="190" t="s">
        <v>2308</v>
      </c>
      <c r="P4" s="89" t="s">
        <v>2308</v>
      </c>
    </row>
    <row r="5" spans="1:19" s="45" customFormat="1" ht="3" customHeight="1">
      <c r="A5" s="43"/>
      <c r="B5" s="43"/>
      <c r="C5" s="43"/>
      <c r="D5" s="43"/>
      <c r="E5" s="43"/>
      <c r="F5" s="43"/>
      <c r="G5" s="43"/>
      <c r="H5" s="43"/>
      <c r="I5" s="43"/>
      <c r="J5" s="43"/>
      <c r="K5" s="43"/>
      <c r="M5" s="97"/>
      <c r="N5" s="10"/>
      <c r="O5" s="1308"/>
      <c r="P5" s="31"/>
    </row>
    <row r="6" spans="1:19" s="45" customFormat="1" ht="12.75" customHeight="1">
      <c r="A6" s="43"/>
      <c r="B6" s="51"/>
      <c r="C6" s="43"/>
      <c r="D6" s="43"/>
      <c r="E6" s="43"/>
      <c r="F6" s="43"/>
      <c r="G6" s="43"/>
      <c r="H6" s="43"/>
      <c r="I6" s="43"/>
      <c r="J6" s="43"/>
      <c r="L6" s="74" t="s">
        <v>1279</v>
      </c>
      <c r="M6" s="295">
        <f>M404</f>
        <v>103</v>
      </c>
      <c r="N6" s="9"/>
      <c r="O6" s="68">
        <f>O404</f>
        <v>24</v>
      </c>
      <c r="P6" s="68">
        <f>P404</f>
        <v>24</v>
      </c>
    </row>
    <row r="7" spans="1:19" s="45" customFormat="1" ht="3" customHeight="1">
      <c r="A7" s="43"/>
      <c r="B7" s="51"/>
      <c r="C7" s="43"/>
      <c r="D7" s="43"/>
      <c r="E7" s="43"/>
      <c r="F7" s="43"/>
      <c r="G7" s="43"/>
      <c r="H7" s="43"/>
      <c r="I7" s="43"/>
      <c r="J7" s="43"/>
      <c r="K7" s="43"/>
      <c r="M7" s="97"/>
      <c r="N7" s="10"/>
      <c r="O7" s="1308"/>
      <c r="P7" s="31"/>
    </row>
    <row r="8" spans="1:19" s="43" customFormat="1" ht="12.6" customHeight="1">
      <c r="A8" s="165" t="s">
        <v>2072</v>
      </c>
      <c r="B8" s="112" t="s">
        <v>3013</v>
      </c>
      <c r="C8" s="4"/>
      <c r="D8" s="4"/>
      <c r="E8" s="4"/>
      <c r="F8" s="10"/>
      <c r="H8" s="50" t="s">
        <v>3954</v>
      </c>
      <c r="M8" s="2028">
        <v>10</v>
      </c>
      <c r="N8" s="113"/>
      <c r="O8" s="68">
        <f>MIN($M8, $M8-O10-O12-O11)</f>
        <v>10</v>
      </c>
      <c r="P8" s="68">
        <f>MIN($M8, $M8-P10-P12-P11)</f>
        <v>10</v>
      </c>
      <c r="Q8" s="115" t="s">
        <v>459</v>
      </c>
    </row>
    <row r="9" spans="1:19" s="44" customFormat="1" ht="3.6" customHeight="1">
      <c r="A9" s="43"/>
      <c r="B9" s="67"/>
      <c r="C9" s="37"/>
      <c r="D9" s="49"/>
      <c r="E9" s="49"/>
      <c r="F9" s="55"/>
      <c r="G9" s="49"/>
      <c r="H9" s="49"/>
      <c r="I9" s="49"/>
      <c r="J9" s="49"/>
      <c r="K9" s="49"/>
      <c r="L9" s="43"/>
      <c r="M9" s="47"/>
      <c r="N9" s="65"/>
      <c r="O9" s="3"/>
      <c r="P9" s="1308"/>
      <c r="R9" s="43"/>
      <c r="S9" s="43"/>
    </row>
    <row r="10" spans="1:19" s="43" customFormat="1" ht="11.25" customHeight="1">
      <c r="A10" s="196" t="s">
        <v>2068</v>
      </c>
      <c r="B10" s="180" t="s">
        <v>1949</v>
      </c>
      <c r="D10" s="49"/>
      <c r="E10" s="49"/>
      <c r="F10" s="2051" t="s">
        <v>2683</v>
      </c>
      <c r="G10" s="1344">
        <f>F15</f>
        <v>0</v>
      </c>
      <c r="H10" s="188" t="s">
        <v>4320</v>
      </c>
      <c r="M10" s="6"/>
      <c r="N10" s="69" t="s">
        <v>2068</v>
      </c>
      <c r="O10" s="2058"/>
      <c r="P10" s="2059">
        <f>F15</f>
        <v>0</v>
      </c>
    </row>
    <row r="11" spans="1:19" s="44" customFormat="1" ht="11.25" customHeight="1">
      <c r="A11" s="196"/>
      <c r="B11" s="116" t="s">
        <v>2201</v>
      </c>
      <c r="D11" s="49"/>
      <c r="E11" s="49"/>
      <c r="F11" s="2051" t="s">
        <v>2683</v>
      </c>
      <c r="G11" s="1344">
        <f>J15</f>
        <v>0</v>
      </c>
      <c r="H11" s="188" t="s">
        <v>2970</v>
      </c>
      <c r="J11" s="50"/>
      <c r="M11" s="6">
        <v>1</v>
      </c>
      <c r="N11" s="69"/>
      <c r="O11" s="2060"/>
      <c r="P11" s="2061">
        <f>J15</f>
        <v>0</v>
      </c>
    </row>
    <row r="12" spans="1:19" s="43" customFormat="1" ht="11.25" customHeight="1">
      <c r="A12" s="196" t="s">
        <v>2071</v>
      </c>
      <c r="B12" s="180" t="s">
        <v>763</v>
      </c>
      <c r="D12" s="49"/>
      <c r="E12" s="49"/>
      <c r="F12" s="2051" t="s">
        <v>2683</v>
      </c>
      <c r="G12" s="1344">
        <f>O15</f>
        <v>0</v>
      </c>
      <c r="H12" s="188" t="s">
        <v>2860</v>
      </c>
      <c r="J12" s="50"/>
      <c r="M12" s="6"/>
      <c r="N12" s="69" t="s">
        <v>2071</v>
      </c>
      <c r="O12" s="2062"/>
      <c r="P12" s="2063">
        <f>O15</f>
        <v>0</v>
      </c>
      <c r="Q12" s="115"/>
    </row>
    <row r="13" spans="1:19" s="43" customFormat="1" ht="10.9" customHeight="1">
      <c r="A13" s="71" t="s">
        <v>1947</v>
      </c>
      <c r="C13" s="100"/>
      <c r="D13" s="100"/>
      <c r="F13" s="2041" t="s">
        <v>1790</v>
      </c>
      <c r="K13" s="2041" t="s">
        <v>1790</v>
      </c>
      <c r="P13" s="527" t="s">
        <v>1790</v>
      </c>
      <c r="R13" s="500"/>
      <c r="S13" s="171"/>
    </row>
    <row r="14" spans="1:19" s="43" customFormat="1" ht="10.9" customHeight="1">
      <c r="A14" s="234" t="s">
        <v>4148</v>
      </c>
      <c r="B14" s="234"/>
      <c r="C14" s="234"/>
      <c r="D14" s="234"/>
      <c r="E14" s="234"/>
      <c r="K14" s="2041"/>
      <c r="P14" s="527"/>
      <c r="R14" s="500"/>
      <c r="S14" s="171"/>
    </row>
    <row r="15" spans="1:19" s="43" customFormat="1" ht="12" customHeight="1">
      <c r="A15" s="1295" t="s">
        <v>4147</v>
      </c>
      <c r="B15" s="1295"/>
      <c r="C15" s="1295"/>
      <c r="D15" s="1295"/>
      <c r="E15" s="70" t="s">
        <v>533</v>
      </c>
      <c r="F15" s="81">
        <f>SUM(F16:F27)</f>
        <v>0</v>
      </c>
      <c r="G15" s="2670" t="s">
        <v>4141</v>
      </c>
      <c r="H15" s="2671"/>
      <c r="I15" s="1296"/>
      <c r="J15" s="81">
        <f>SUM(J16:J27)</f>
        <v>0</v>
      </c>
      <c r="K15" s="2668" t="s">
        <v>3715</v>
      </c>
      <c r="L15" s="2669"/>
      <c r="M15" s="2669"/>
      <c r="N15" s="70" t="s">
        <v>533</v>
      </c>
      <c r="O15" s="2634">
        <f>SUM(O16:O27)</f>
        <v>0</v>
      </c>
      <c r="P15" s="2635"/>
      <c r="Q15" s="500"/>
      <c r="R15" s="171"/>
    </row>
    <row r="16" spans="1:19" s="43" customFormat="1" ht="37.5" customHeight="1">
      <c r="A16" s="2665">
        <v>1</v>
      </c>
      <c r="B16" s="2666"/>
      <c r="C16" s="2666"/>
      <c r="D16" s="2666"/>
      <c r="E16" s="2667"/>
      <c r="F16" s="1297"/>
      <c r="G16" s="2665">
        <v>1</v>
      </c>
      <c r="H16" s="2666"/>
      <c r="I16" s="2667"/>
      <c r="J16" s="1302" t="s">
        <v>1809</v>
      </c>
      <c r="K16" s="2663">
        <v>1</v>
      </c>
      <c r="L16" s="2664"/>
      <c r="M16" s="2664"/>
      <c r="N16" s="2664"/>
      <c r="O16" s="2674" t="s">
        <v>1809</v>
      </c>
      <c r="P16" s="2675"/>
      <c r="Q16" s="498" t="s">
        <v>1308</v>
      </c>
      <c r="R16" s="171"/>
    </row>
    <row r="17" spans="1:18" s="43" customFormat="1" ht="37.5" customHeight="1">
      <c r="A17" s="2546">
        <v>2</v>
      </c>
      <c r="B17" s="2547"/>
      <c r="C17" s="2547"/>
      <c r="D17" s="2547"/>
      <c r="E17" s="2548"/>
      <c r="F17" s="1298"/>
      <c r="G17" s="2546">
        <v>2</v>
      </c>
      <c r="H17" s="2547"/>
      <c r="I17" s="2548"/>
      <c r="J17" s="1298"/>
      <c r="K17" s="2567">
        <v>2</v>
      </c>
      <c r="L17" s="2568"/>
      <c r="M17" s="2568"/>
      <c r="N17" s="2568"/>
      <c r="O17" s="2576"/>
      <c r="P17" s="2577"/>
      <c r="Q17" s="499"/>
      <c r="R17" s="171"/>
    </row>
    <row r="18" spans="1:18" s="43" customFormat="1" ht="37.5" customHeight="1">
      <c r="A18" s="2546">
        <v>3</v>
      </c>
      <c r="B18" s="2547"/>
      <c r="C18" s="2547"/>
      <c r="D18" s="2547"/>
      <c r="E18" s="2548"/>
      <c r="F18" s="1298"/>
      <c r="G18" s="2546">
        <v>3</v>
      </c>
      <c r="H18" s="2547"/>
      <c r="I18" s="2548"/>
      <c r="J18" s="1303" t="s">
        <v>3195</v>
      </c>
      <c r="K18" s="2567">
        <v>3</v>
      </c>
      <c r="L18" s="2568"/>
      <c r="M18" s="2568"/>
      <c r="N18" s="2568"/>
      <c r="O18" s="2672" t="s">
        <v>3195</v>
      </c>
      <c r="P18" s="2673"/>
      <c r="Q18" s="499"/>
      <c r="R18" s="171"/>
    </row>
    <row r="19" spans="1:18" s="43" customFormat="1" ht="37.5" customHeight="1">
      <c r="A19" s="2546">
        <v>4</v>
      </c>
      <c r="B19" s="2547"/>
      <c r="C19" s="2547"/>
      <c r="D19" s="2547"/>
      <c r="E19" s="2548"/>
      <c r="F19" s="1298"/>
      <c r="G19" s="2546">
        <v>4</v>
      </c>
      <c r="H19" s="2547"/>
      <c r="I19" s="2548"/>
      <c r="J19" s="1298"/>
      <c r="K19" s="2567">
        <v>4</v>
      </c>
      <c r="L19" s="2568"/>
      <c r="M19" s="2568"/>
      <c r="N19" s="2568"/>
      <c r="O19" s="2672" t="s">
        <v>3195</v>
      </c>
      <c r="P19" s="2673"/>
      <c r="Q19" s="499"/>
      <c r="R19" s="171"/>
    </row>
    <row r="20" spans="1:18" s="43" customFormat="1" ht="37.5" customHeight="1">
      <c r="A20" s="2546">
        <v>5</v>
      </c>
      <c r="B20" s="2547"/>
      <c r="C20" s="2547"/>
      <c r="D20" s="2547"/>
      <c r="E20" s="2548"/>
      <c r="F20" s="1298"/>
      <c r="G20" s="2546">
        <v>5</v>
      </c>
      <c r="H20" s="2547"/>
      <c r="I20" s="2548"/>
      <c r="J20" s="1303" t="s">
        <v>4143</v>
      </c>
      <c r="K20" s="2567">
        <v>5</v>
      </c>
      <c r="L20" s="2568"/>
      <c r="M20" s="2568"/>
      <c r="N20" s="2568"/>
      <c r="O20" s="2576"/>
      <c r="P20" s="2577"/>
      <c r="Q20" s="171"/>
      <c r="R20" s="171"/>
    </row>
    <row r="21" spans="1:18" s="43" customFormat="1" ht="37.5" customHeight="1">
      <c r="A21" s="2546">
        <v>6</v>
      </c>
      <c r="B21" s="2547"/>
      <c r="C21" s="2547"/>
      <c r="D21" s="2547"/>
      <c r="E21" s="2548"/>
      <c r="F21" s="1298"/>
      <c r="G21" s="2546">
        <v>6</v>
      </c>
      <c r="H21" s="2547"/>
      <c r="I21" s="2548"/>
      <c r="J21" s="1298"/>
      <c r="K21" s="2567">
        <v>6</v>
      </c>
      <c r="L21" s="2568"/>
      <c r="M21" s="2568"/>
      <c r="N21" s="2568"/>
      <c r="O21" s="2576"/>
      <c r="P21" s="2577"/>
      <c r="Q21" s="171"/>
      <c r="R21" s="171"/>
    </row>
    <row r="22" spans="1:18" s="43" customFormat="1" ht="37.5" customHeight="1">
      <c r="A22" s="2546">
        <v>7</v>
      </c>
      <c r="B22" s="2547"/>
      <c r="C22" s="2547"/>
      <c r="D22" s="2547"/>
      <c r="E22" s="2548"/>
      <c r="F22" s="1298"/>
      <c r="G22" s="2546">
        <v>7</v>
      </c>
      <c r="H22" s="2547"/>
      <c r="I22" s="2548"/>
      <c r="J22" s="1303" t="s">
        <v>4144</v>
      </c>
      <c r="K22" s="2567">
        <v>7</v>
      </c>
      <c r="L22" s="2568"/>
      <c r="M22" s="2568"/>
      <c r="N22" s="2568"/>
      <c r="O22" s="2576"/>
      <c r="P22" s="2577"/>
      <c r="Q22" s="171"/>
      <c r="R22" s="171"/>
    </row>
    <row r="23" spans="1:18" s="43" customFormat="1" ht="37.5" customHeight="1">
      <c r="A23" s="2546">
        <v>8</v>
      </c>
      <c r="B23" s="2547"/>
      <c r="C23" s="2547"/>
      <c r="D23" s="2547"/>
      <c r="E23" s="2548"/>
      <c r="F23" s="1298"/>
      <c r="G23" s="2546">
        <v>8</v>
      </c>
      <c r="H23" s="2547"/>
      <c r="I23" s="2548"/>
      <c r="J23" s="1298"/>
      <c r="K23" s="2567">
        <v>8</v>
      </c>
      <c r="L23" s="2568"/>
      <c r="M23" s="2568"/>
      <c r="N23" s="2568"/>
      <c r="O23" s="2576"/>
      <c r="P23" s="2577"/>
      <c r="Q23" s="171"/>
      <c r="R23" s="171"/>
    </row>
    <row r="24" spans="1:18" s="43" customFormat="1" ht="24" customHeight="1">
      <c r="A24" s="2546">
        <v>9</v>
      </c>
      <c r="B24" s="2547"/>
      <c r="C24" s="2547"/>
      <c r="D24" s="2547"/>
      <c r="E24" s="2548"/>
      <c r="F24" s="1298"/>
      <c r="G24" s="2546">
        <v>9</v>
      </c>
      <c r="H24" s="2547"/>
      <c r="I24" s="2548"/>
      <c r="J24" s="1303" t="s">
        <v>4145</v>
      </c>
      <c r="K24" s="2567">
        <v>9</v>
      </c>
      <c r="L24" s="2568"/>
      <c r="M24" s="2568"/>
      <c r="N24" s="2568"/>
      <c r="O24" s="2576"/>
      <c r="P24" s="2577"/>
      <c r="Q24" s="171"/>
      <c r="R24" s="171"/>
    </row>
    <row r="25" spans="1:18" s="43" customFormat="1" ht="24" customHeight="1">
      <c r="A25" s="2546">
        <v>10</v>
      </c>
      <c r="B25" s="2547"/>
      <c r="C25" s="2547"/>
      <c r="D25" s="2547"/>
      <c r="E25" s="2548"/>
      <c r="F25" s="1298"/>
      <c r="G25" s="2546">
        <v>10</v>
      </c>
      <c r="H25" s="2547"/>
      <c r="I25" s="2548"/>
      <c r="J25" s="1298"/>
      <c r="K25" s="2567">
        <v>10</v>
      </c>
      <c r="L25" s="2568"/>
      <c r="M25" s="2568"/>
      <c r="N25" s="2568"/>
      <c r="O25" s="2576"/>
      <c r="P25" s="2577"/>
      <c r="Q25" s="171"/>
      <c r="R25" s="171"/>
    </row>
    <row r="26" spans="1:18" s="43" customFormat="1" ht="24" customHeight="1">
      <c r="A26" s="2546">
        <v>11</v>
      </c>
      <c r="B26" s="2547"/>
      <c r="C26" s="2547"/>
      <c r="D26" s="2547"/>
      <c r="E26" s="2548"/>
      <c r="F26" s="1298"/>
      <c r="G26" s="2546">
        <v>11</v>
      </c>
      <c r="H26" s="2547"/>
      <c r="I26" s="2548"/>
      <c r="J26" s="1303" t="s">
        <v>4146</v>
      </c>
      <c r="K26" s="2546">
        <v>11</v>
      </c>
      <c r="L26" s="2547"/>
      <c r="M26" s="2547"/>
      <c r="N26" s="2548"/>
      <c r="O26" s="2576"/>
      <c r="P26" s="2577"/>
      <c r="Q26" s="171"/>
      <c r="R26" s="171"/>
    </row>
    <row r="27" spans="1:18" s="43" customFormat="1" ht="24" customHeight="1">
      <c r="A27" s="2569">
        <v>12</v>
      </c>
      <c r="B27" s="2570"/>
      <c r="C27" s="2570"/>
      <c r="D27" s="2570"/>
      <c r="E27" s="2571"/>
      <c r="F27" s="1299"/>
      <c r="G27" s="2569">
        <v>12</v>
      </c>
      <c r="H27" s="2570"/>
      <c r="I27" s="2571"/>
      <c r="J27" s="1299"/>
      <c r="K27" s="2569">
        <v>12</v>
      </c>
      <c r="L27" s="2570"/>
      <c r="M27" s="2570"/>
      <c r="N27" s="2571"/>
      <c r="O27" s="2578"/>
      <c r="P27" s="2579"/>
    </row>
    <row r="28" spans="1:18" s="44" customFormat="1" ht="3" customHeight="1">
      <c r="D28" s="40"/>
      <c r="E28" s="37"/>
      <c r="F28" s="1308"/>
      <c r="G28" s="1308"/>
      <c r="H28" s="1308"/>
      <c r="I28" s="1308"/>
      <c r="J28" s="1344"/>
      <c r="K28" s="1344"/>
      <c r="L28" s="1344"/>
      <c r="M28" s="63"/>
      <c r="N28" s="1308"/>
      <c r="O28" s="2032"/>
      <c r="P28" s="3"/>
    </row>
    <row r="29" spans="1:18" s="44" customFormat="1" ht="12.6" customHeight="1">
      <c r="A29" s="493" t="s">
        <v>2074</v>
      </c>
      <c r="B29" s="119" t="s">
        <v>4149</v>
      </c>
      <c r="E29" s="60"/>
      <c r="G29" s="93"/>
      <c r="H29" s="54"/>
      <c r="I29" s="46" t="s">
        <v>3986</v>
      </c>
      <c r="M29" s="1308">
        <v>3</v>
      </c>
      <c r="N29" s="7"/>
      <c r="O29" s="68">
        <f>IF(AND(O33&gt;0,O37&gt;0),"AorB?",MIN($M$29,O33+O37))</f>
        <v>0</v>
      </c>
      <c r="P29" s="68">
        <f>IF(AND(P33&gt;0,P37&gt;0),"AorB?",MIN($M$29,P33+P37))</f>
        <v>0</v>
      </c>
      <c r="Q29" s="115" t="s">
        <v>459</v>
      </c>
      <c r="R29" s="414" t="str">
        <f>IF(OR($O29=$M29,$O29=0,$O29=""),"","* * Check Score! * *")</f>
        <v/>
      </c>
    </row>
    <row r="30" spans="1:18" s="44" customFormat="1" ht="6" customHeight="1">
      <c r="A30" s="493"/>
      <c r="B30" s="119"/>
      <c r="E30" s="60"/>
      <c r="G30" s="93"/>
      <c r="H30" s="54"/>
      <c r="I30" s="46"/>
      <c r="K30" s="678"/>
      <c r="L30" s="1305"/>
      <c r="M30" s="1308"/>
      <c r="N30" s="7"/>
      <c r="O30" s="1306"/>
      <c r="P30" s="3"/>
      <c r="Q30" s="115"/>
      <c r="R30" s="414"/>
    </row>
    <row r="31" spans="1:18" s="44" customFormat="1" ht="13.5" customHeight="1">
      <c r="A31" s="149" t="s">
        <v>2068</v>
      </c>
      <c r="B31" s="1393" t="s">
        <v>2725</v>
      </c>
      <c r="E31" s="60"/>
      <c r="G31" s="93"/>
      <c r="H31" s="2575" t="s">
        <v>4150</v>
      </c>
      <c r="I31" s="2575"/>
      <c r="J31" s="1395">
        <f>'Part VI-Revenues &amp; Expenses'!$O$60</f>
        <v>162</v>
      </c>
      <c r="K31" s="1394"/>
      <c r="M31" s="1308"/>
      <c r="N31" s="7"/>
      <c r="Q31" s="7"/>
      <c r="R31" s="414"/>
    </row>
    <row r="32" spans="1:18" s="108" customFormat="1" ht="13.5" customHeight="1">
      <c r="A32" s="149"/>
      <c r="B32" s="2463" t="s">
        <v>4151</v>
      </c>
      <c r="C32" s="2463"/>
      <c r="D32" s="2463"/>
      <c r="E32" s="2463"/>
      <c r="F32" s="2463"/>
      <c r="G32" s="1296"/>
      <c r="H32" s="1398" t="s">
        <v>4152</v>
      </c>
      <c r="I32" s="1398" t="s">
        <v>4153</v>
      </c>
      <c r="J32" s="1296"/>
      <c r="K32" s="2559" t="s">
        <v>3717</v>
      </c>
      <c r="L32" s="2559"/>
      <c r="M32" s="1308"/>
      <c r="N32" s="7"/>
      <c r="Q32" s="7"/>
      <c r="R32" s="414"/>
    </row>
    <row r="33" spans="1:18" s="108" customFormat="1" ht="13.5" customHeight="1">
      <c r="B33" s="2463"/>
      <c r="C33" s="2463"/>
      <c r="D33" s="2463"/>
      <c r="E33" s="2463"/>
      <c r="F33" s="2463"/>
      <c r="H33" s="2572" t="s">
        <v>4321</v>
      </c>
      <c r="I33" s="2572"/>
      <c r="J33" s="1307"/>
      <c r="K33" s="1398" t="s">
        <v>4152</v>
      </c>
      <c r="L33" s="1398" t="s">
        <v>4153</v>
      </c>
      <c r="M33" s="480"/>
      <c r="N33" s="431" t="s">
        <v>2068</v>
      </c>
      <c r="O33" s="1403">
        <f>SUM(O34:O35)</f>
        <v>0</v>
      </c>
      <c r="P33" s="1403">
        <f>SUM(P34:P35)</f>
        <v>0</v>
      </c>
    </row>
    <row r="34" spans="1:18" s="474" customFormat="1" ht="13.5" customHeight="1">
      <c r="A34" s="473"/>
      <c r="B34" s="829" t="s">
        <v>2072</v>
      </c>
      <c r="C34" s="830">
        <v>0.15</v>
      </c>
      <c r="D34" s="150" t="s">
        <v>3716</v>
      </c>
      <c r="H34" s="2064"/>
      <c r="I34" s="695"/>
      <c r="K34" s="831">
        <f>IF(OR('Part VI-Revenues &amp; Expenses'!$O$60="", 'Part VI-Revenues &amp; Expenses'!$O$60=0),0,H34/'Part VI-Revenues &amp; Expenses'!$O$60)</f>
        <v>0</v>
      </c>
      <c r="L34" s="831">
        <f>IF(OR('Part VI-Revenues &amp; Expenses'!$O$60="", 'Part VI-Revenues &amp; Expenses'!$O$60=0),0,I34/'Part VI-Revenues &amp; Expenses'!$O$60)</f>
        <v>0</v>
      </c>
      <c r="M34" s="480">
        <v>1</v>
      </c>
      <c r="N34" s="431" t="s">
        <v>2072</v>
      </c>
      <c r="O34" s="1396">
        <f>IF(AND(K34 &gt;= $C$34,K34&lt;$C$35),$M34,0)</f>
        <v>0</v>
      </c>
      <c r="P34" s="1396">
        <f>IF(AND(L34 &gt;= $C$34,L34&lt;$C$35),$M34,0)</f>
        <v>0</v>
      </c>
    </row>
    <row r="35" spans="1:18" s="474" customFormat="1" ht="13.5" customHeight="1">
      <c r="A35" s="837" t="s">
        <v>3673</v>
      </c>
      <c r="B35" s="829" t="s">
        <v>2074</v>
      </c>
      <c r="C35" s="830">
        <v>0.2</v>
      </c>
      <c r="D35" s="150" t="s">
        <v>3716</v>
      </c>
      <c r="H35" s="2065"/>
      <c r="I35" s="828"/>
      <c r="K35" s="1476">
        <f>IF(OR('Part VI-Revenues &amp; Expenses'!$O$60="", 'Part VI-Revenues &amp; Expenses'!$O$60=0),0,H35/'Part VI-Revenues &amp; Expenses'!$O$60)</f>
        <v>0</v>
      </c>
      <c r="L35" s="1476">
        <f>IF(OR('Part VI-Revenues &amp; Expenses'!$O$60="", 'Part VI-Revenues &amp; Expenses'!$O$60=0),0,I35/'Part VI-Revenues &amp; Expenses'!$O$60)</f>
        <v>0</v>
      </c>
      <c r="M35" s="480">
        <v>2</v>
      </c>
      <c r="N35" s="431" t="s">
        <v>2074</v>
      </c>
      <c r="O35" s="1397">
        <f>IF(K35&gt;=$C$35,$M35,0)</f>
        <v>0</v>
      </c>
      <c r="P35" s="1397">
        <f>IF(L35&gt;=$C$35,$M35,0)</f>
        <v>0</v>
      </c>
    </row>
    <row r="36" spans="1:18" s="474" customFormat="1" ht="6.75" customHeight="1">
      <c r="A36" s="837"/>
      <c r="B36" s="829"/>
      <c r="C36" s="830"/>
      <c r="D36" s="150"/>
      <c r="K36" s="1392"/>
      <c r="L36" s="1392"/>
      <c r="M36" s="480"/>
      <c r="N36" s="431"/>
      <c r="O36" s="1402"/>
      <c r="P36" s="1402"/>
    </row>
    <row r="37" spans="1:18" s="474" customFormat="1" ht="13.5" customHeight="1">
      <c r="A37" s="149" t="s">
        <v>2071</v>
      </c>
      <c r="B37" s="1393" t="s">
        <v>4326</v>
      </c>
      <c r="E37" s="475"/>
      <c r="H37" s="2572" t="s">
        <v>4328</v>
      </c>
      <c r="I37" s="2572"/>
      <c r="M37" s="480"/>
      <c r="N37" s="174" t="s">
        <v>2071</v>
      </c>
      <c r="O37" s="1403">
        <f>SUM(O38:O39)</f>
        <v>0</v>
      </c>
      <c r="P37" s="1403">
        <f>SUM(P38:P39)</f>
        <v>0</v>
      </c>
    </row>
    <row r="38" spans="1:18" s="474" customFormat="1" ht="13.5" customHeight="1">
      <c r="A38" s="473"/>
      <c r="B38" s="829" t="s">
        <v>2072</v>
      </c>
      <c r="C38" s="830">
        <v>0.15</v>
      </c>
      <c r="D38" s="150" t="s">
        <v>4327</v>
      </c>
      <c r="E38" s="475"/>
      <c r="F38" s="1300"/>
      <c r="H38" s="2066"/>
      <c r="I38" s="1304"/>
      <c r="J38" s="1276"/>
      <c r="K38" s="1476">
        <f>IF(OR('Part VI-Revenues &amp; Expenses'!$O$60="", 'Part VI-Revenues &amp; Expenses'!$O$60=0),0,H38/'Part VI-Revenues &amp; Expenses'!$O$60)</f>
        <v>0</v>
      </c>
      <c r="L38" s="1476">
        <f>IF(OR('Part VI-Revenues &amp; Expenses'!$O$60="", 'Part VI-Revenues &amp; Expenses'!$O$60=0),0,I38/'Part VI-Revenues &amp; Expenses'!$O$60)</f>
        <v>0</v>
      </c>
      <c r="M38" s="480">
        <v>2</v>
      </c>
      <c r="N38" s="431" t="s">
        <v>2072</v>
      </c>
      <c r="O38" s="1401">
        <f>IF(K38 &gt;= $C$38,$M38,0)</f>
        <v>0</v>
      </c>
      <c r="P38" s="1396">
        <f>IF(L38 &gt;= $C$38,$M38,0)</f>
        <v>0</v>
      </c>
    </row>
    <row r="39" spans="1:18" s="474" customFormat="1" ht="13.5" customHeight="1">
      <c r="A39" s="837" t="s">
        <v>3673</v>
      </c>
      <c r="B39" s="829" t="s">
        <v>2074</v>
      </c>
      <c r="C39" s="1300" t="s">
        <v>4330</v>
      </c>
      <c r="E39" s="1510">
        <v>3</v>
      </c>
      <c r="F39" s="1300" t="s">
        <v>4329</v>
      </c>
      <c r="I39" s="1400" t="s">
        <v>4331</v>
      </c>
      <c r="K39" s="1399">
        <f>O109</f>
        <v>0</v>
      </c>
      <c r="L39" s="1399">
        <f>P109</f>
        <v>0</v>
      </c>
      <c r="M39" s="480">
        <v>1</v>
      </c>
      <c r="N39" s="431" t="s">
        <v>2074</v>
      </c>
      <c r="O39" s="2067"/>
      <c r="P39" s="694"/>
    </row>
    <row r="40" spans="1:18" s="44" customFormat="1" ht="10.5" customHeight="1">
      <c r="A40" s="43"/>
      <c r="B40" s="103" t="s">
        <v>1947</v>
      </c>
      <c r="C40" s="474"/>
      <c r="D40" s="91"/>
      <c r="E40" s="2033"/>
      <c r="F40" s="2033"/>
      <c r="G40" s="2033"/>
      <c r="H40" s="2033"/>
      <c r="I40" s="2033"/>
      <c r="J40" s="2033"/>
      <c r="K40" s="2033"/>
      <c r="L40" s="2033"/>
      <c r="M40" s="2033"/>
      <c r="N40" s="79"/>
      <c r="O40" s="75"/>
      <c r="P40" s="2028"/>
      <c r="Q40" s="474"/>
    </row>
    <row r="41" spans="1:18" s="44" customFormat="1" ht="23.25" customHeight="1">
      <c r="A41" s="2513"/>
      <c r="B41" s="2514"/>
      <c r="C41" s="2514"/>
      <c r="D41" s="2514"/>
      <c r="E41" s="2514"/>
      <c r="F41" s="2514"/>
      <c r="G41" s="2514"/>
      <c r="H41" s="2514"/>
      <c r="I41" s="2514"/>
      <c r="J41" s="2514"/>
      <c r="K41" s="2514"/>
      <c r="L41" s="2514"/>
      <c r="M41" s="2514"/>
      <c r="N41" s="2514"/>
      <c r="O41" s="2514"/>
      <c r="P41" s="2515"/>
      <c r="Q41" s="498" t="s">
        <v>1308</v>
      </c>
    </row>
    <row r="42" spans="1:18" ht="3" customHeight="1"/>
    <row r="43" spans="1:18" s="44" customFormat="1" ht="12.6" customHeight="1">
      <c r="A43" s="165" t="s">
        <v>2634</v>
      </c>
      <c r="B43" s="111" t="s">
        <v>1955</v>
      </c>
      <c r="D43" s="42"/>
      <c r="J43" s="2602" t="s">
        <v>625</v>
      </c>
      <c r="K43" s="2602"/>
      <c r="L43" s="2602"/>
      <c r="M43" s="2028">
        <v>13</v>
      </c>
      <c r="N43" s="527"/>
      <c r="O43" s="68">
        <f>IF(OR($M45-O50+O46&lt;0,O45-O50-O46&lt;0),0,IF(O45&lt;=$M45,O45-O50+O46,IF(O45&gt;$M45,$M45-O50+O46,0)))</f>
        <v>0</v>
      </c>
      <c r="P43" s="68">
        <f>IF(OR($M45-P50+P46&lt;0,P45-P50-P46&lt;0),0,IF(P45&lt;=$M45,P45-P50+P46,IF(P45&gt;$M45,$M45-P50+P46,0)))</f>
        <v>0</v>
      </c>
      <c r="Q43" s="115" t="s">
        <v>459</v>
      </c>
    </row>
    <row r="44" spans="1:18" s="44" customFormat="1" ht="3" customHeight="1">
      <c r="A44" s="43"/>
      <c r="D44" s="40"/>
      <c r="E44" s="37"/>
      <c r="F44" s="1308"/>
      <c r="G44" s="1308"/>
      <c r="J44" s="2602"/>
      <c r="K44" s="2602"/>
      <c r="L44" s="2602"/>
      <c r="M44" s="63"/>
      <c r="N44" s="1308"/>
      <c r="O44" s="2032"/>
      <c r="P44" s="3"/>
    </row>
    <row r="45" spans="1:18" s="44" customFormat="1" ht="12" customHeight="1">
      <c r="A45" s="149" t="s">
        <v>2068</v>
      </c>
      <c r="B45" s="180" t="s">
        <v>1956</v>
      </c>
      <c r="C45" s="4"/>
      <c r="D45" s="4"/>
      <c r="E45" s="188" t="s">
        <v>2848</v>
      </c>
      <c r="F45" s="328"/>
      <c r="G45" s="328"/>
      <c r="J45" s="2602"/>
      <c r="K45" s="2602"/>
      <c r="L45" s="2602"/>
      <c r="M45" s="77">
        <v>12</v>
      </c>
      <c r="N45" s="192" t="s">
        <v>2068</v>
      </c>
      <c r="O45" s="2068"/>
      <c r="P45" s="692"/>
      <c r="Q45" s="430" t="s">
        <v>2834</v>
      </c>
      <c r="R45" s="414"/>
    </row>
    <row r="46" spans="1:18" s="44" customFormat="1" ht="12" customHeight="1">
      <c r="A46" s="149" t="s">
        <v>2071</v>
      </c>
      <c r="B46" s="180" t="s">
        <v>3779</v>
      </c>
      <c r="C46" s="4"/>
      <c r="D46" s="4"/>
      <c r="F46" s="188" t="s">
        <v>3800</v>
      </c>
      <c r="H46" s="328"/>
      <c r="I46" s="188" t="s">
        <v>3801</v>
      </c>
      <c r="L46" s="1301" t="s">
        <v>3780</v>
      </c>
      <c r="M46" s="77">
        <v>1</v>
      </c>
      <c r="N46" s="527" t="s">
        <v>2071</v>
      </c>
      <c r="O46" s="2069"/>
      <c r="P46" s="694"/>
      <c r="Q46" s="430" t="s">
        <v>2834</v>
      </c>
      <c r="R46" s="414"/>
    </row>
    <row r="47" spans="1:18" s="44" customFormat="1" ht="12" customHeight="1">
      <c r="A47" s="149"/>
      <c r="B47" s="2566" t="s">
        <v>4332</v>
      </c>
      <c r="C47" s="2566"/>
      <c r="D47" s="2566"/>
      <c r="E47" s="2566"/>
      <c r="F47" s="2583" t="s">
        <v>3799</v>
      </c>
      <c r="G47" s="2681"/>
      <c r="H47" s="2584"/>
      <c r="I47" s="2583"/>
      <c r="J47" s="2681"/>
      <c r="K47" s="2584"/>
      <c r="L47" s="2070"/>
      <c r="M47" s="77"/>
      <c r="N47" s="192"/>
      <c r="O47" s="192"/>
      <c r="P47" s="192"/>
      <c r="Q47" s="430"/>
      <c r="R47" s="414"/>
    </row>
    <row r="48" spans="1:18" s="44" customFormat="1" ht="12" customHeight="1">
      <c r="A48" s="149"/>
      <c r="B48" s="2566"/>
      <c r="C48" s="2566"/>
      <c r="D48" s="2566"/>
      <c r="E48" s="2566"/>
      <c r="F48" s="2682" t="s">
        <v>3799</v>
      </c>
      <c r="G48" s="2683"/>
      <c r="H48" s="2684"/>
      <c r="I48" s="2682"/>
      <c r="J48" s="2683"/>
      <c r="K48" s="2684"/>
      <c r="L48" s="2071"/>
      <c r="M48" s="77"/>
      <c r="N48" s="192"/>
      <c r="O48" s="192"/>
      <c r="P48" s="192"/>
      <c r="Q48" s="430"/>
      <c r="R48" s="414"/>
    </row>
    <row r="49" spans="1:18" s="44" customFormat="1" ht="12" customHeight="1">
      <c r="A49" s="149"/>
      <c r="B49" s="2566"/>
      <c r="C49" s="2566"/>
      <c r="D49" s="2566"/>
      <c r="E49" s="2566"/>
      <c r="F49" s="2603" t="s">
        <v>3799</v>
      </c>
      <c r="G49" s="2604"/>
      <c r="H49" s="2605"/>
      <c r="I49" s="2603"/>
      <c r="J49" s="2604"/>
      <c r="K49" s="2605"/>
      <c r="L49" s="2072"/>
      <c r="M49" s="77"/>
      <c r="N49" s="192"/>
      <c r="O49" s="192"/>
      <c r="P49" s="192"/>
      <c r="Q49" s="430"/>
      <c r="R49" s="414"/>
    </row>
    <row r="50" spans="1:18" s="44" customFormat="1" ht="12.6" customHeight="1">
      <c r="A50" s="149" t="s">
        <v>786</v>
      </c>
      <c r="B50" s="180" t="s">
        <v>1957</v>
      </c>
      <c r="D50" s="42"/>
      <c r="E50" s="188" t="s">
        <v>443</v>
      </c>
      <c r="F50" s="434"/>
      <c r="G50" s="434"/>
      <c r="H50" s="434"/>
      <c r="M50" s="2041" t="s">
        <v>1292</v>
      </c>
      <c r="N50" s="527" t="s">
        <v>786</v>
      </c>
      <c r="O50" s="2073"/>
      <c r="P50" s="1220"/>
      <c r="Q50" s="430" t="s">
        <v>2834</v>
      </c>
      <c r="R50" s="414"/>
    </row>
    <row r="51" spans="1:18" s="44" customFormat="1" ht="11.25" customHeight="1">
      <c r="A51" s="43"/>
      <c r="B51" s="50" t="s">
        <v>268</v>
      </c>
      <c r="C51" s="43"/>
      <c r="D51" s="49"/>
      <c r="E51" s="49"/>
      <c r="F51" s="49"/>
      <c r="G51" s="49"/>
      <c r="H51" s="37"/>
      <c r="I51" s="37"/>
      <c r="J51" s="37"/>
      <c r="K51" s="37"/>
      <c r="M51" s="47"/>
      <c r="N51" s="65"/>
      <c r="O51" s="3"/>
      <c r="P51" s="2032"/>
    </row>
    <row r="52" spans="1:18" s="44" customFormat="1" ht="23.45" customHeight="1">
      <c r="A52" s="2539"/>
      <c r="B52" s="2540"/>
      <c r="C52" s="2540"/>
      <c r="D52" s="2540"/>
      <c r="E52" s="2540"/>
      <c r="F52" s="2540"/>
      <c r="G52" s="2540"/>
      <c r="H52" s="2540"/>
      <c r="I52" s="2540"/>
      <c r="J52" s="2540"/>
      <c r="K52" s="2540"/>
      <c r="L52" s="2540"/>
      <c r="M52" s="2540"/>
      <c r="N52" s="2540"/>
      <c r="O52" s="2540"/>
      <c r="P52" s="2541"/>
      <c r="Q52" s="498" t="s">
        <v>1308</v>
      </c>
      <c r="R52" s="499"/>
    </row>
    <row r="53" spans="1:18" s="44" customFormat="1" ht="11.45" customHeight="1">
      <c r="A53" s="43"/>
      <c r="B53" s="71" t="s">
        <v>1947</v>
      </c>
      <c r="C53" s="43"/>
      <c r="D53" s="147"/>
      <c r="E53" s="2033"/>
      <c r="F53" s="2033"/>
      <c r="G53" s="2033"/>
      <c r="H53" s="2033"/>
      <c r="I53" s="2033"/>
      <c r="J53" s="2033"/>
      <c r="K53" s="2033"/>
      <c r="L53" s="2033"/>
      <c r="M53" s="2033"/>
      <c r="N53" s="79"/>
      <c r="O53" s="75"/>
      <c r="P53" s="2028"/>
      <c r="Q53" s="474"/>
      <c r="R53" s="474"/>
    </row>
    <row r="54" spans="1:18" s="44" customFormat="1" ht="23.45" customHeight="1">
      <c r="A54" s="2513"/>
      <c r="B54" s="2514"/>
      <c r="C54" s="2514"/>
      <c r="D54" s="2514"/>
      <c r="E54" s="2514"/>
      <c r="F54" s="2514"/>
      <c r="G54" s="2514"/>
      <c r="H54" s="2514"/>
      <c r="I54" s="2514"/>
      <c r="J54" s="2514"/>
      <c r="K54" s="2514"/>
      <c r="L54" s="2514"/>
      <c r="M54" s="2514"/>
      <c r="N54" s="2514"/>
      <c r="O54" s="2514"/>
      <c r="P54" s="2515"/>
      <c r="Q54" s="498" t="s">
        <v>1308</v>
      </c>
      <c r="R54" s="499"/>
    </row>
    <row r="55" spans="1:18" ht="3.6" customHeight="1">
      <c r="M55" s="34"/>
      <c r="N55" s="122"/>
      <c r="O55" s="163"/>
      <c r="P55" s="163"/>
    </row>
    <row r="56" spans="1:18" s="44" customFormat="1" ht="12.6" customHeight="1">
      <c r="A56" s="165" t="s">
        <v>1277</v>
      </c>
      <c r="B56" s="111" t="s">
        <v>2735</v>
      </c>
      <c r="D56" s="42"/>
      <c r="H56" s="46" t="s">
        <v>2790</v>
      </c>
      <c r="I56" s="50" t="s">
        <v>1963</v>
      </c>
      <c r="J56" s="49"/>
      <c r="K56" s="49"/>
      <c r="M56" s="2028">
        <v>5</v>
      </c>
      <c r="N56" s="527"/>
      <c r="O56" s="68">
        <f>IF($J$65="Flexible",MIN($M56,(O66+O67+O68+O69+O70)),IF(AND($J$65="Rural",O72&gt;0),MIN($M72,O72),0))</f>
        <v>0</v>
      </c>
      <c r="P56" s="68">
        <f>IF($J$65="Flexible",MIN($M56,(P66+P67+P68+P69+P70)),IF(AND($J$65="Rural",P72&gt;0),MIN($M72,P72),0))</f>
        <v>0</v>
      </c>
      <c r="Q56" s="115" t="s">
        <v>459</v>
      </c>
    </row>
    <row r="57" spans="1:18" s="44" customFormat="1" ht="23.25" customHeight="1">
      <c r="A57" s="165"/>
      <c r="B57" s="37" t="s">
        <v>4154</v>
      </c>
      <c r="D57" s="42"/>
      <c r="H57" s="46"/>
      <c r="I57" s="50"/>
      <c r="J57" s="49"/>
      <c r="K57" s="49"/>
      <c r="M57" s="2028"/>
      <c r="N57" s="527"/>
      <c r="O57" s="1309" t="s">
        <v>4161</v>
      </c>
      <c r="P57" s="1309" t="s">
        <v>4162</v>
      </c>
      <c r="Q57" s="115"/>
    </row>
    <row r="58" spans="1:18" s="44" customFormat="1" ht="12.6" customHeight="1">
      <c r="A58" s="165"/>
      <c r="B58" s="543" t="s">
        <v>2072</v>
      </c>
      <c r="C58" s="57" t="s">
        <v>4155</v>
      </c>
      <c r="D58" s="42"/>
      <c r="H58" s="46"/>
      <c r="I58" s="50"/>
      <c r="J58" s="49"/>
      <c r="K58" s="49"/>
      <c r="M58" s="2028"/>
      <c r="N58" s="527"/>
      <c r="O58" s="2074"/>
      <c r="P58" s="697"/>
      <c r="Q58" s="115"/>
    </row>
    <row r="59" spans="1:18" s="44" customFormat="1" ht="12.6" customHeight="1">
      <c r="A59" s="165"/>
      <c r="B59" s="543" t="s">
        <v>2074</v>
      </c>
      <c r="C59" s="57" t="s">
        <v>4156</v>
      </c>
      <c r="D59" s="42"/>
      <c r="H59" s="46"/>
      <c r="I59" s="50"/>
      <c r="J59" s="49"/>
      <c r="K59" s="49"/>
      <c r="M59" s="2028"/>
      <c r="N59" s="527"/>
      <c r="O59" s="527"/>
      <c r="P59" s="698"/>
      <c r="Q59" s="115"/>
    </row>
    <row r="60" spans="1:18" s="44" customFormat="1" ht="12.6" customHeight="1">
      <c r="A60" s="165"/>
      <c r="B60" s="543" t="s">
        <v>2634</v>
      </c>
      <c r="C60" s="57" t="s">
        <v>4157</v>
      </c>
      <c r="D60" s="42"/>
      <c r="H60" s="46"/>
      <c r="I60" s="50"/>
      <c r="J60" s="49"/>
      <c r="K60" s="49"/>
      <c r="M60" s="2028"/>
      <c r="N60" s="527"/>
      <c r="O60" s="2074"/>
      <c r="P60" s="697"/>
      <c r="Q60" s="115"/>
    </row>
    <row r="61" spans="1:18" s="44" customFormat="1" ht="22.5" customHeight="1">
      <c r="A61" s="165"/>
      <c r="B61" s="543" t="s">
        <v>1277</v>
      </c>
      <c r="C61" s="2520" t="s">
        <v>4158</v>
      </c>
      <c r="D61" s="2520"/>
      <c r="E61" s="2520"/>
      <c r="F61" s="2520"/>
      <c r="G61" s="2520"/>
      <c r="H61" s="2520"/>
      <c r="I61" s="2520"/>
      <c r="J61" s="2520"/>
      <c r="K61" s="2520"/>
      <c r="L61" s="2520"/>
      <c r="M61" s="691"/>
      <c r="N61" s="527"/>
      <c r="O61" s="2075"/>
      <c r="P61" s="708"/>
      <c r="Q61" s="115"/>
    </row>
    <row r="62" spans="1:18" s="44" customFormat="1" ht="12.6" customHeight="1">
      <c r="A62" s="165"/>
      <c r="B62" s="543" t="s">
        <v>1278</v>
      </c>
      <c r="C62" s="57" t="s">
        <v>4159</v>
      </c>
      <c r="D62" s="42"/>
      <c r="H62" s="46"/>
      <c r="I62" s="50"/>
      <c r="J62" s="49"/>
      <c r="K62" s="49"/>
      <c r="M62" s="2028"/>
      <c r="N62" s="527"/>
      <c r="O62" s="2074"/>
      <c r="P62" s="697"/>
      <c r="Q62" s="115"/>
    </row>
    <row r="63" spans="1:18" s="44" customFormat="1" ht="12.6" customHeight="1">
      <c r="A63" s="165"/>
      <c r="B63" s="543" t="s">
        <v>1965</v>
      </c>
      <c r="C63" s="57" t="s">
        <v>4160</v>
      </c>
      <c r="D63" s="42"/>
      <c r="H63" s="46"/>
      <c r="I63" s="50"/>
      <c r="J63" s="49"/>
      <c r="K63" s="49"/>
      <c r="M63" s="2028"/>
      <c r="N63" s="527"/>
      <c r="O63" s="2074"/>
      <c r="P63" s="697"/>
      <c r="Q63" s="115"/>
    </row>
    <row r="64" spans="1:18" s="44" customFormat="1" ht="3" customHeight="1">
      <c r="A64" s="165"/>
      <c r="B64" s="111"/>
      <c r="D64" s="42"/>
      <c r="H64" s="46"/>
      <c r="I64" s="50"/>
      <c r="J64" s="49"/>
      <c r="K64" s="49"/>
      <c r="M64" s="2028"/>
      <c r="N64" s="527"/>
      <c r="O64" s="3"/>
      <c r="P64" s="3"/>
      <c r="Q64" s="115"/>
    </row>
    <row r="65" spans="1:18" s="44" customFormat="1" ht="12.6" customHeight="1">
      <c r="A65" s="653" t="s">
        <v>3014</v>
      </c>
      <c r="B65" s="111"/>
      <c r="D65" s="42"/>
      <c r="H65" s="180" t="s">
        <v>3023</v>
      </c>
      <c r="I65" s="654"/>
      <c r="J65" s="180" t="str">
        <f>'Part I-Project Information'!$H$90</f>
        <v>&lt;&lt;Select Pool&gt;&gt;</v>
      </c>
      <c r="L65" s="28"/>
      <c r="M65" s="2028"/>
      <c r="N65" s="2028"/>
      <c r="O65" s="2028"/>
      <c r="P65" s="2028"/>
      <c r="Q65" s="115"/>
    </row>
    <row r="66" spans="1:18" s="459" customFormat="1" ht="23.25" customHeight="1">
      <c r="A66" s="154" t="s">
        <v>2068</v>
      </c>
      <c r="B66" s="2585" t="s">
        <v>4167</v>
      </c>
      <c r="C66" s="2585"/>
      <c r="D66" s="2585"/>
      <c r="E66" s="2585"/>
      <c r="F66" s="2585"/>
      <c r="G66" s="2585"/>
      <c r="H66" s="2585"/>
      <c r="I66" s="2586" t="s">
        <v>3980</v>
      </c>
      <c r="J66" s="2587"/>
      <c r="K66" s="2587"/>
      <c r="L66" s="2588"/>
      <c r="M66" s="649">
        <v>5</v>
      </c>
      <c r="N66" s="431" t="s">
        <v>2068</v>
      </c>
      <c r="O66" s="2076"/>
      <c r="P66" s="2042"/>
      <c r="Q66" s="650" t="str">
        <f>IF(OR($O66=$M66,$O66=0,$O66=""),"","* * Check Score! * *")</f>
        <v/>
      </c>
      <c r="R66" s="430" t="s">
        <v>2834</v>
      </c>
    </row>
    <row r="67" spans="1:18" s="459" customFormat="1" ht="12" customHeight="1">
      <c r="A67" s="154" t="s">
        <v>2071</v>
      </c>
      <c r="B67" s="939" t="s">
        <v>3976</v>
      </c>
      <c r="C67" s="939"/>
      <c r="D67" s="939"/>
      <c r="E67" s="939"/>
      <c r="F67" s="939"/>
      <c r="G67" s="939"/>
      <c r="H67" s="939"/>
      <c r="I67" s="2595" t="s">
        <v>4163</v>
      </c>
      <c r="J67" s="2596"/>
      <c r="K67" s="2596"/>
      <c r="L67" s="2077" t="s">
        <v>4164</v>
      </c>
      <c r="M67" s="649">
        <v>4</v>
      </c>
      <c r="N67" s="174" t="s">
        <v>2071</v>
      </c>
      <c r="O67" s="2078"/>
      <c r="P67" s="1221"/>
      <c r="Q67" s="650" t="str">
        <f>IF(OR($O67=$M67,$O67=0,$O67=""),"","* * Check Score! * *")</f>
        <v/>
      </c>
      <c r="R67" s="430" t="s">
        <v>2834</v>
      </c>
    </row>
    <row r="68" spans="1:18" s="459" customFormat="1" ht="12" customHeight="1">
      <c r="A68" s="149" t="s">
        <v>786</v>
      </c>
      <c r="B68" s="116" t="s">
        <v>3977</v>
      </c>
      <c r="C68" s="939"/>
      <c r="D68" s="939"/>
      <c r="E68" s="939"/>
      <c r="F68" s="939"/>
      <c r="G68" s="939"/>
      <c r="H68" s="939"/>
      <c r="I68" s="2589" t="s">
        <v>4165</v>
      </c>
      <c r="J68" s="2590"/>
      <c r="K68" s="2590"/>
      <c r="L68" s="2591"/>
      <c r="M68" s="649">
        <v>3</v>
      </c>
      <c r="N68" s="192" t="s">
        <v>786</v>
      </c>
      <c r="O68" s="2078"/>
      <c r="P68" s="1221"/>
      <c r="Q68" s="650" t="str">
        <f>IF(OR($O68=$M68,$O68=0,$O68=""),"","* * Check Score! * *")</f>
        <v/>
      </c>
      <c r="R68" s="430" t="s">
        <v>2834</v>
      </c>
    </row>
    <row r="69" spans="1:18" s="44" customFormat="1" ht="12.6" customHeight="1">
      <c r="A69" s="149" t="s">
        <v>2203</v>
      </c>
      <c r="B69" s="116" t="s">
        <v>3978</v>
      </c>
      <c r="E69" s="42"/>
      <c r="I69" s="2592"/>
      <c r="J69" s="2593"/>
      <c r="K69" s="2593"/>
      <c r="L69" s="2594"/>
      <c r="M69" s="77">
        <v>2</v>
      </c>
      <c r="N69" s="192" t="s">
        <v>2203</v>
      </c>
      <c r="O69" s="2079"/>
      <c r="P69" s="693"/>
      <c r="Q69" s="414" t="str">
        <f>IF(OR($O69=$M69,$O69=0,$O69=""),"","* * Check Score! * *")</f>
        <v/>
      </c>
      <c r="R69" s="430" t="s">
        <v>2834</v>
      </c>
    </row>
    <row r="70" spans="1:18" s="44" customFormat="1" ht="12.6" customHeight="1">
      <c r="A70" s="149" t="s">
        <v>1811</v>
      </c>
      <c r="B70" s="939" t="s">
        <v>3979</v>
      </c>
      <c r="E70" s="42"/>
      <c r="I70" s="2589" t="s">
        <v>4166</v>
      </c>
      <c r="J70" s="2590"/>
      <c r="K70" s="2590"/>
      <c r="L70" s="2591"/>
      <c r="M70" s="77">
        <v>1</v>
      </c>
      <c r="N70" s="192" t="s">
        <v>1811</v>
      </c>
      <c r="O70" s="2069"/>
      <c r="P70" s="694"/>
      <c r="Q70" s="414" t="str">
        <f>IF(OR($O70=$M70,$O70=0,$O70=""),"","* * Check Score! * *")</f>
        <v/>
      </c>
      <c r="R70" s="430" t="s">
        <v>2834</v>
      </c>
    </row>
    <row r="71" spans="1:18" s="44" customFormat="1" ht="12.6" customHeight="1">
      <c r="A71" s="653" t="s">
        <v>3016</v>
      </c>
      <c r="B71" s="180"/>
      <c r="E71" s="42"/>
      <c r="I71" s="2597"/>
      <c r="J71" s="2598"/>
      <c r="K71" s="2598"/>
      <c r="L71" s="2599"/>
      <c r="M71" s="77"/>
      <c r="N71" s="77"/>
      <c r="O71" s="77"/>
      <c r="P71" s="77"/>
      <c r="Q71" s="414"/>
      <c r="R71" s="414"/>
    </row>
    <row r="72" spans="1:18" s="108" customFormat="1" ht="12" customHeight="1">
      <c r="A72" s="149" t="s">
        <v>1812</v>
      </c>
      <c r="B72" s="180" t="s">
        <v>4168</v>
      </c>
      <c r="C72" s="180"/>
      <c r="D72" s="180"/>
      <c r="E72" s="180"/>
      <c r="F72" s="180"/>
      <c r="G72" s="180"/>
      <c r="H72" s="180"/>
      <c r="I72" s="180"/>
      <c r="J72" s="180"/>
      <c r="K72" s="180"/>
      <c r="L72" s="180"/>
      <c r="M72" s="77">
        <v>2</v>
      </c>
      <c r="N72" s="192" t="s">
        <v>1812</v>
      </c>
      <c r="O72" s="2073"/>
      <c r="P72" s="1219"/>
      <c r="Q72" s="414" t="str">
        <f>IF(OR($O72=$M72,$O72=0,$O72=""),"","* * Check Score! * *")</f>
        <v/>
      </c>
      <c r="R72" s="430" t="s">
        <v>2834</v>
      </c>
    </row>
    <row r="73" spans="1:18" s="44" customFormat="1" ht="12.6" customHeight="1">
      <c r="A73" s="37" t="s">
        <v>3955</v>
      </c>
      <c r="B73" s="180"/>
      <c r="E73" s="42"/>
      <c r="K73" s="49"/>
      <c r="M73" s="77"/>
      <c r="N73" s="77"/>
      <c r="O73" s="77"/>
      <c r="P73" s="77"/>
      <c r="Q73" s="414"/>
      <c r="R73" s="414"/>
    </row>
    <row r="74" spans="1:18" s="108" customFormat="1" ht="11.45" customHeight="1">
      <c r="A74" s="43"/>
      <c r="B74" s="50" t="s">
        <v>268</v>
      </c>
      <c r="C74" s="43"/>
      <c r="D74" s="49"/>
      <c r="E74" s="49"/>
      <c r="F74" s="49"/>
      <c r="G74" s="49"/>
      <c r="H74" s="37"/>
      <c r="I74" s="37"/>
      <c r="J74" s="37"/>
      <c r="K74" s="37"/>
      <c r="M74" s="47"/>
      <c r="N74" s="6"/>
      <c r="O74" s="3"/>
      <c r="P74" s="2028"/>
    </row>
    <row r="75" spans="1:18" s="44" customFormat="1" ht="12.75" customHeight="1">
      <c r="A75" s="2539"/>
      <c r="B75" s="2540"/>
      <c r="C75" s="2540"/>
      <c r="D75" s="2540"/>
      <c r="E75" s="2540"/>
      <c r="F75" s="2540"/>
      <c r="G75" s="2540"/>
      <c r="H75" s="2540"/>
      <c r="I75" s="2540"/>
      <c r="J75" s="2540"/>
      <c r="K75" s="2540"/>
      <c r="L75" s="2540"/>
      <c r="M75" s="2540"/>
      <c r="N75" s="2540"/>
      <c r="O75" s="2540"/>
      <c r="P75" s="2541"/>
      <c r="Q75" s="498" t="s">
        <v>1308</v>
      </c>
    </row>
    <row r="76" spans="1:18" s="108" customFormat="1" ht="11.45" customHeight="1">
      <c r="A76" s="43"/>
      <c r="B76" s="103" t="s">
        <v>1947</v>
      </c>
      <c r="C76" s="43"/>
      <c r="D76" s="103"/>
      <c r="E76" s="2034"/>
      <c r="F76" s="2034"/>
      <c r="G76" s="2034"/>
      <c r="H76" s="2034"/>
      <c r="I76" s="2034"/>
      <c r="J76" s="2034"/>
      <c r="K76" s="2034"/>
      <c r="L76" s="2034"/>
      <c r="M76" s="2034"/>
      <c r="N76" s="99"/>
      <c r="O76" s="1279"/>
      <c r="P76" s="2028"/>
      <c r="Q76" s="474"/>
    </row>
    <row r="77" spans="1:18" s="44" customFormat="1" ht="12.75" customHeight="1">
      <c r="A77" s="2513"/>
      <c r="B77" s="2514"/>
      <c r="C77" s="2514"/>
      <c r="D77" s="2514"/>
      <c r="E77" s="2514"/>
      <c r="F77" s="2514"/>
      <c r="G77" s="2514"/>
      <c r="H77" s="2514"/>
      <c r="I77" s="2514"/>
      <c r="J77" s="2514"/>
      <c r="K77" s="2514"/>
      <c r="L77" s="2514"/>
      <c r="M77" s="2514"/>
      <c r="N77" s="2514"/>
      <c r="O77" s="2514"/>
      <c r="P77" s="2515"/>
      <c r="Q77" s="498" t="s">
        <v>1308</v>
      </c>
    </row>
    <row r="78" spans="1:18" s="44" customFormat="1" ht="3" customHeight="1">
      <c r="A78" s="193"/>
      <c r="B78" s="52"/>
      <c r="G78" s="42"/>
      <c r="J78" s="49"/>
      <c r="K78" s="49"/>
      <c r="M78" s="108"/>
      <c r="N78" s="52"/>
      <c r="O78" s="108"/>
      <c r="P78" s="108"/>
    </row>
    <row r="79" spans="1:18" s="44" customFormat="1" ht="12.6" customHeight="1">
      <c r="A79" s="165" t="s">
        <v>1278</v>
      </c>
      <c r="B79" s="111" t="s">
        <v>2736</v>
      </c>
      <c r="D79" s="42"/>
      <c r="E79" s="37" t="s">
        <v>1441</v>
      </c>
      <c r="I79" s="50" t="s">
        <v>1963</v>
      </c>
      <c r="M79" s="2028">
        <v>2</v>
      </c>
      <c r="N79" s="438" t="str">
        <f>IF(OR($O79=$M79,$O79=0,$O79=""),"","***")</f>
        <v/>
      </c>
      <c r="O79" s="2080"/>
      <c r="P79" s="1219"/>
      <c r="Q79" s="115" t="s">
        <v>459</v>
      </c>
      <c r="R79" s="430" t="s">
        <v>2834</v>
      </c>
    </row>
    <row r="80" spans="1:18" s="44" customFormat="1" ht="12.6" customHeight="1">
      <c r="A80" s="154" t="s">
        <v>2068</v>
      </c>
      <c r="B80" s="435" t="s">
        <v>2726</v>
      </c>
      <c r="D80" s="42"/>
      <c r="E80" s="37"/>
      <c r="K80" s="2556"/>
      <c r="L80" s="2557"/>
      <c r="M80" s="2558"/>
      <c r="P80" s="527"/>
      <c r="Q80" s="115"/>
    </row>
    <row r="81" spans="1:18" s="44" customFormat="1" ht="12.6" customHeight="1">
      <c r="A81" s="154" t="s">
        <v>2071</v>
      </c>
      <c r="B81" s="435" t="s">
        <v>3802</v>
      </c>
      <c r="D81" s="42"/>
      <c r="E81" s="37"/>
      <c r="K81" s="2556"/>
      <c r="L81" s="2557"/>
      <c r="M81" s="2558"/>
      <c r="O81" s="127" t="s">
        <v>2609</v>
      </c>
      <c r="P81" s="127" t="s">
        <v>2609</v>
      </c>
      <c r="Q81" s="115"/>
    </row>
    <row r="82" spans="1:18" s="44" customFormat="1" ht="12.6" customHeight="1">
      <c r="A82" s="149" t="s">
        <v>786</v>
      </c>
      <c r="B82" s="435" t="s">
        <v>3956</v>
      </c>
      <c r="D82" s="42"/>
      <c r="E82" s="37"/>
      <c r="N82" s="192" t="s">
        <v>786</v>
      </c>
      <c r="O82" s="2074"/>
      <c r="P82" s="697"/>
      <c r="Q82" s="115"/>
    </row>
    <row r="83" spans="1:18" s="108" customFormat="1" ht="11.45" customHeight="1">
      <c r="A83" s="43"/>
      <c r="B83" s="103" t="s">
        <v>1947</v>
      </c>
      <c r="C83" s="43"/>
      <c r="D83" s="103"/>
      <c r="E83" s="2034"/>
      <c r="F83" s="2034"/>
      <c r="G83" s="2034"/>
      <c r="H83" s="2034"/>
      <c r="I83" s="2034"/>
      <c r="J83" s="2034"/>
      <c r="K83" s="2034"/>
      <c r="L83" s="2034"/>
      <c r="M83" s="2034"/>
      <c r="N83" s="99"/>
      <c r="O83" s="1279"/>
      <c r="P83" s="2028"/>
      <c r="Q83" s="474"/>
    </row>
    <row r="84" spans="1:18" s="44" customFormat="1" ht="12.75" customHeight="1">
      <c r="A84" s="2513"/>
      <c r="B84" s="2514"/>
      <c r="C84" s="2514"/>
      <c r="D84" s="2514"/>
      <c r="E84" s="2514"/>
      <c r="F84" s="2514"/>
      <c r="G84" s="2514"/>
      <c r="H84" s="2514"/>
      <c r="I84" s="2514"/>
      <c r="J84" s="2514"/>
      <c r="K84" s="2514"/>
      <c r="L84" s="2514"/>
      <c r="M84" s="2514"/>
      <c r="N84" s="2514"/>
      <c r="O84" s="2514"/>
      <c r="P84" s="2515"/>
      <c r="Q84" s="498" t="s">
        <v>1308</v>
      </c>
    </row>
    <row r="85" spans="1:18" ht="3" customHeight="1">
      <c r="B85" s="125"/>
      <c r="C85" s="125"/>
      <c r="D85" s="125"/>
      <c r="E85" s="125"/>
      <c r="R85" s="44"/>
    </row>
    <row r="86" spans="1:18" s="44" customFormat="1" ht="12.6" customHeight="1">
      <c r="A86" s="165" t="s">
        <v>1965</v>
      </c>
      <c r="B86" s="112" t="s">
        <v>224</v>
      </c>
      <c r="D86" s="40"/>
      <c r="E86" s="37"/>
      <c r="M86" s="2028">
        <v>3</v>
      </c>
      <c r="N86" s="438"/>
      <c r="O86" s="81">
        <f>IF(AND($I88="Flexible",OR($I87="Earth Craft Communities",$I87="LEED-ND v4"),O90="Yes",O93="Yes",OR(O95="Yes",O97="Yes")),$M92,IF(AND(OR($I88="Flexible",$I88="Rural"),OR($I87="Earth Craft House Multifamily",$I87="Earth Craft House Single Family",$I87="Earth Craft House Renovation",$I87="LEED for Homes",$I87="EF Green Communities",$I87="NAHB Natl Green Bdlg Stds",$I87="HIRL Natl Green Bdlg Stds - Min Bronze",$I87="EnergyStar v3"),O90="Yes",O99="Yes", O100="Yes",O101="Yes",O102="Yes"),MIN($M$92,$M$98),0))</f>
        <v>0</v>
      </c>
      <c r="P86" s="81">
        <f>IF(AND($I88="Flexible",OR($I87="Earth Craft Communities",$I87="LEED-ND v4"),P93="Yes",OR(P95="Yes",P97="Yes")),$M92,IF(AND(OR($I88="Flexible",$I88="Rural"),OR($I87="Earth Craft House Multifamily",$I87="Earth Craft House Single Family",$I87="Earth Craft House Renovation",$I87="LEED for Homes",$I87="EF Green Communities",$I87="NAHB Natl Green Bdlg Stds",$I87="HIRL Natl Green Bdlg Stds - Min Bronze",$I87="EnergyStar v3"),P99="Yes", P100="Yes",P101="Yes",P102="Yes"),MIN($M$92,$M$98),0))</f>
        <v>0</v>
      </c>
      <c r="Q86" s="115" t="s">
        <v>459</v>
      </c>
    </row>
    <row r="87" spans="1:18" s="44" customFormat="1" ht="12.6" customHeight="1">
      <c r="A87" s="165"/>
      <c r="B87" s="41" t="s">
        <v>3847</v>
      </c>
      <c r="I87" s="2688" t="s">
        <v>4336</v>
      </c>
      <c r="J87" s="2689"/>
      <c r="K87" s="2690"/>
      <c r="M87" s="2028"/>
      <c r="N87" s="438"/>
      <c r="O87" s="480"/>
      <c r="P87" s="480"/>
      <c r="Q87" s="115"/>
    </row>
    <row r="88" spans="1:18" s="44" customFormat="1" ht="12.6" customHeight="1">
      <c r="A88" s="165"/>
      <c r="B88" s="92" t="s">
        <v>3023</v>
      </c>
      <c r="G88" s="42"/>
      <c r="H88" s="42"/>
      <c r="I88" s="892" t="str">
        <f>'Part I-Project Information'!$H$90</f>
        <v>&lt;&lt;Select Pool&gt;&gt;</v>
      </c>
      <c r="K88" s="28"/>
      <c r="M88" s="2028"/>
      <c r="N88" s="438"/>
      <c r="O88" s="127" t="s">
        <v>2609</v>
      </c>
      <c r="P88" s="127" t="s">
        <v>2609</v>
      </c>
      <c r="Q88" s="115"/>
    </row>
    <row r="89" spans="1:18" s="44" customFormat="1" ht="12.6" customHeight="1">
      <c r="A89" s="165"/>
      <c r="B89" s="92" t="s">
        <v>4169</v>
      </c>
      <c r="G89" s="42"/>
      <c r="H89" s="42"/>
      <c r="I89" s="892"/>
      <c r="K89" s="28"/>
      <c r="M89" s="2028"/>
      <c r="N89" s="438"/>
      <c r="O89" s="2074"/>
      <c r="P89" s="697"/>
      <c r="Q89" s="115"/>
    </row>
    <row r="90" spans="1:18" s="44" customFormat="1" ht="12.6" customHeight="1">
      <c r="B90" s="2520" t="s">
        <v>4333</v>
      </c>
      <c r="C90" s="2520"/>
      <c r="D90" s="2520"/>
      <c r="E90" s="2520"/>
      <c r="F90" s="2520"/>
      <c r="G90" s="478" t="s">
        <v>4334</v>
      </c>
      <c r="H90" s="2081"/>
      <c r="I90" s="1404" t="s">
        <v>4335</v>
      </c>
      <c r="J90" s="2551"/>
      <c r="K90" s="2552"/>
      <c r="L90" s="2573" t="s">
        <v>4539</v>
      </c>
      <c r="M90" s="2574"/>
      <c r="N90" s="192"/>
      <c r="O90" s="2074"/>
      <c r="P90" s="697"/>
      <c r="Q90" s="115"/>
    </row>
    <row r="91" spans="1:18" ht="11.45" customHeight="1">
      <c r="B91" s="2520"/>
      <c r="C91" s="2520"/>
      <c r="D91" s="2520"/>
      <c r="E91" s="2520"/>
      <c r="F91" s="2520"/>
      <c r="G91" s="478" t="s">
        <v>4334</v>
      </c>
      <c r="H91" s="2081"/>
      <c r="I91" s="1404" t="s">
        <v>4335</v>
      </c>
      <c r="J91" s="2551"/>
      <c r="K91" s="2552"/>
      <c r="L91" s="2573" t="s">
        <v>4539</v>
      </c>
      <c r="M91" s="2574"/>
      <c r="N91" s="28"/>
      <c r="O91" s="2074"/>
      <c r="P91" s="697"/>
    </row>
    <row r="92" spans="1:18" ht="11.45" customHeight="1">
      <c r="A92" s="149" t="s">
        <v>2068</v>
      </c>
      <c r="B92" s="195" t="s">
        <v>2419</v>
      </c>
      <c r="D92" s="34"/>
      <c r="M92" s="122">
        <v>3</v>
      </c>
      <c r="N92" s="192" t="s">
        <v>2068</v>
      </c>
      <c r="O92" s="127" t="s">
        <v>2609</v>
      </c>
      <c r="P92" s="127" t="s">
        <v>2609</v>
      </c>
    </row>
    <row r="93" spans="1:18" s="44" customFormat="1" ht="12.6" customHeight="1">
      <c r="B93" s="478" t="s">
        <v>2804</v>
      </c>
      <c r="D93" s="42"/>
      <c r="M93" s="2028"/>
      <c r="O93" s="2074"/>
      <c r="P93" s="697"/>
      <c r="Q93" s="115"/>
    </row>
    <row r="94" spans="1:18" ht="11.45" customHeight="1">
      <c r="B94" s="412" t="s">
        <v>2072</v>
      </c>
      <c r="C94" s="423" t="s">
        <v>2727</v>
      </c>
      <c r="E94" s="125"/>
      <c r="N94" s="28"/>
      <c r="O94" s="28"/>
      <c r="P94" s="28"/>
    </row>
    <row r="95" spans="1:18" ht="23.25" customHeight="1">
      <c r="A95" s="458" t="str">
        <f>IF(AND(O95="",$I$87="Earth Craft Communities"), "X","")</f>
        <v/>
      </c>
      <c r="B95" s="429"/>
      <c r="C95" s="2644" t="s">
        <v>2728</v>
      </c>
      <c r="D95" s="2644"/>
      <c r="E95" s="2644"/>
      <c r="F95" s="2644"/>
      <c r="G95" s="2644"/>
      <c r="H95" s="2644"/>
      <c r="I95" s="2644"/>
      <c r="J95" s="2644"/>
      <c r="K95" s="2644"/>
      <c r="L95" s="2644"/>
      <c r="M95" s="426"/>
      <c r="N95" s="543" t="s">
        <v>2072</v>
      </c>
      <c r="O95" s="2082"/>
      <c r="P95" s="698"/>
    </row>
    <row r="96" spans="1:18" ht="11.45" customHeight="1">
      <c r="B96" s="412" t="s">
        <v>2074</v>
      </c>
      <c r="C96" s="423" t="s">
        <v>4170</v>
      </c>
      <c r="E96" s="125"/>
      <c r="M96" s="427"/>
      <c r="N96" s="28"/>
      <c r="O96" s="127" t="s">
        <v>2609</v>
      </c>
      <c r="P96" s="127" t="s">
        <v>2609</v>
      </c>
    </row>
    <row r="97" spans="1:18" ht="23.25" customHeight="1">
      <c r="A97" s="458" t="str">
        <f>IF(AND(O97="",$I$87="LEED-ND"), "X","")</f>
        <v/>
      </c>
      <c r="B97" s="429"/>
      <c r="C97" s="2644" t="s">
        <v>2861</v>
      </c>
      <c r="D97" s="2644"/>
      <c r="E97" s="2644"/>
      <c r="F97" s="2644"/>
      <c r="G97" s="2644"/>
      <c r="H97" s="2644"/>
      <c r="I97" s="2644"/>
      <c r="J97" s="2644"/>
      <c r="K97" s="2644"/>
      <c r="L97" s="2644"/>
      <c r="M97" s="426"/>
      <c r="N97" s="543" t="s">
        <v>2074</v>
      </c>
      <c r="O97" s="2083"/>
      <c r="P97" s="699"/>
    </row>
    <row r="98" spans="1:18" ht="11.45" customHeight="1">
      <c r="A98" s="149" t="s">
        <v>2071</v>
      </c>
      <c r="B98" s="195" t="s">
        <v>324</v>
      </c>
      <c r="D98" s="34"/>
      <c r="E98" s="34"/>
      <c r="F98" s="34"/>
      <c r="M98" s="58">
        <v>2</v>
      </c>
      <c r="N98" s="192" t="s">
        <v>2071</v>
      </c>
      <c r="O98" s="127" t="s">
        <v>2609</v>
      </c>
      <c r="P98" s="127" t="s">
        <v>2609</v>
      </c>
    </row>
    <row r="99" spans="1:18" s="44" customFormat="1" ht="11.25" customHeight="1">
      <c r="A99" s="411" t="str">
        <f>IF(AND(O99="",OR($I$87="Earth Craft House Single Family",$I$87="Earth Craft House Multifamily",$I$87="Earth Craft House Renovation",$I$87="EF Green Communities",$I$87="LEED for Homes",$I$87="NAHB Natl Green Bdlg Stds",$I$87="EnergyStar v3")), "X","")</f>
        <v/>
      </c>
      <c r="B99" s="492" t="s">
        <v>2072</v>
      </c>
      <c r="C99" s="542" t="s">
        <v>2865</v>
      </c>
      <c r="D99" s="42"/>
      <c r="M99" s="2028"/>
      <c r="N99" s="543" t="s">
        <v>2072</v>
      </c>
      <c r="O99" s="2084"/>
      <c r="P99" s="700"/>
      <c r="Q99" s="115"/>
    </row>
    <row r="100" spans="1:18" s="44" customFormat="1" ht="11.25" customHeight="1">
      <c r="A100" s="411" t="str">
        <f>IF(AND(O100="",OR($I$87="Earth Craft House Single Family",$I$87="Earth Craft House Multifamily",$I$87="Earth Craft House Renovation",$I$87="EF Green Communities",$I$87="LEED for Homes",$I$87="NAHB Natl Green Bdlg Stds",$I$87="EnergyStar v3")), "X","")</f>
        <v/>
      </c>
      <c r="B100" s="492" t="s">
        <v>2074</v>
      </c>
      <c r="C100" s="542" t="s">
        <v>2862</v>
      </c>
      <c r="D100" s="42"/>
      <c r="M100" s="2028"/>
      <c r="N100" s="543" t="s">
        <v>2074</v>
      </c>
      <c r="O100" s="2085"/>
      <c r="P100" s="701"/>
      <c r="Q100" s="115"/>
    </row>
    <row r="101" spans="1:18" s="44" customFormat="1" ht="11.25" customHeight="1">
      <c r="A101" s="411" t="str">
        <f>IF(AND(O101="",OR($I$87="Earth Craft House Single Family",$I$87="Earth Craft House Multifamily",$I$87="Earth Craft House Renovation",$I$87="EF Green Communities",$I$87="LEED for Homes",$I$87="NAHB Natl Green Bdlg Stds",$I$87="EnergyStar v3")), "X","")</f>
        <v/>
      </c>
      <c r="B101" s="492" t="s">
        <v>2634</v>
      </c>
      <c r="C101" s="542" t="s">
        <v>2863</v>
      </c>
      <c r="D101" s="42"/>
      <c r="M101" s="2028"/>
      <c r="N101" s="543" t="s">
        <v>2634</v>
      </c>
      <c r="O101" s="2085"/>
      <c r="P101" s="701"/>
      <c r="Q101" s="115"/>
    </row>
    <row r="102" spans="1:18" s="44" customFormat="1" ht="11.25" customHeight="1">
      <c r="A102" s="411" t="str">
        <f>IF(AND(O102="",OR($I$87="Earth Craft House Single Family",$I$87="Earth Craft House Multifamily",$I$87="Earth Craft House Renovation",$I$87="EF Green Communities",$I$87="LEED for Homes",$I$87="NAHB Natl Green Bdlg Stds",$I$87="EnergyStar v3")), "X","")</f>
        <v/>
      </c>
      <c r="B102" s="492" t="s">
        <v>1277</v>
      </c>
      <c r="C102" s="542" t="s">
        <v>2864</v>
      </c>
      <c r="D102" s="42"/>
      <c r="M102" s="2028"/>
      <c r="N102" s="543" t="s">
        <v>1277</v>
      </c>
      <c r="O102" s="2086"/>
      <c r="P102" s="702"/>
      <c r="Q102" s="115"/>
    </row>
    <row r="103" spans="1:18" ht="6" customHeight="1">
      <c r="B103" s="429"/>
      <c r="E103" s="150"/>
      <c r="F103" s="150"/>
      <c r="I103" s="150"/>
      <c r="J103" s="150"/>
      <c r="K103" s="150"/>
      <c r="M103" s="426"/>
      <c r="N103" s="426"/>
      <c r="O103" s="426"/>
      <c r="P103" s="426"/>
    </row>
    <row r="104" spans="1:18" s="108" customFormat="1" ht="11.45" customHeight="1">
      <c r="A104" s="43"/>
      <c r="B104" s="50" t="s">
        <v>268</v>
      </c>
      <c r="C104" s="43"/>
      <c r="D104" s="49"/>
      <c r="E104" s="49"/>
      <c r="F104" s="49"/>
      <c r="G104" s="49"/>
      <c r="K104" s="37"/>
      <c r="M104" s="47"/>
      <c r="N104" s="6"/>
      <c r="O104" s="3"/>
      <c r="P104" s="2028"/>
    </row>
    <row r="105" spans="1:18" s="44" customFormat="1" ht="12.75" customHeight="1">
      <c r="A105" s="2641"/>
      <c r="B105" s="2642"/>
      <c r="C105" s="2642"/>
      <c r="D105" s="2642"/>
      <c r="E105" s="2642"/>
      <c r="F105" s="2642"/>
      <c r="G105" s="2642"/>
      <c r="H105" s="2642"/>
      <c r="I105" s="2642"/>
      <c r="J105" s="2642"/>
      <c r="K105" s="2642"/>
      <c r="L105" s="2642"/>
      <c r="M105" s="2642"/>
      <c r="N105" s="2642"/>
      <c r="O105" s="2642"/>
      <c r="P105" s="2643"/>
      <c r="Q105" s="498" t="s">
        <v>1308</v>
      </c>
    </row>
    <row r="106" spans="1:18" s="44" customFormat="1" ht="11.25" customHeight="1">
      <c r="B106" s="103" t="s">
        <v>1947</v>
      </c>
      <c r="C106" s="43"/>
      <c r="D106" s="91"/>
      <c r="E106" s="2033"/>
      <c r="F106" s="2033"/>
      <c r="G106" s="2033"/>
      <c r="H106" s="2033"/>
      <c r="I106" s="2033"/>
      <c r="J106" s="2033"/>
      <c r="K106" s="2033"/>
      <c r="L106" s="2033"/>
      <c r="M106" s="2033"/>
      <c r="N106" s="79"/>
      <c r="O106" s="75"/>
      <c r="P106" s="2028"/>
      <c r="Q106" s="474"/>
    </row>
    <row r="107" spans="1:18" s="44" customFormat="1" ht="12.75" customHeight="1">
      <c r="A107" s="2560"/>
      <c r="B107" s="2561"/>
      <c r="C107" s="2561"/>
      <c r="D107" s="2561"/>
      <c r="E107" s="2561"/>
      <c r="F107" s="2561"/>
      <c r="G107" s="2561"/>
      <c r="H107" s="2561"/>
      <c r="I107" s="2561"/>
      <c r="J107" s="2561"/>
      <c r="K107" s="2561"/>
      <c r="L107" s="2561"/>
      <c r="M107" s="2561"/>
      <c r="N107" s="2561"/>
      <c r="O107" s="2561"/>
      <c r="P107" s="2562"/>
      <c r="Q107" s="498" t="s">
        <v>1308</v>
      </c>
    </row>
    <row r="108" spans="1:18" s="44" customFormat="1" ht="3" customHeight="1">
      <c r="A108" s="43"/>
      <c r="D108" s="40"/>
      <c r="E108" s="37"/>
      <c r="F108" s="1308"/>
      <c r="G108" s="1308"/>
      <c r="H108" s="1308"/>
      <c r="I108" s="1308"/>
      <c r="J108" s="1344"/>
      <c r="K108" s="1344"/>
      <c r="L108" s="1344"/>
      <c r="M108" s="63"/>
      <c r="N108" s="1308"/>
      <c r="O108" s="2032"/>
      <c r="P108" s="3"/>
    </row>
    <row r="109" spans="1:18" s="108" customFormat="1" ht="12.6" customHeight="1">
      <c r="A109" s="165" t="s">
        <v>527</v>
      </c>
      <c r="B109" s="112" t="s">
        <v>3015</v>
      </c>
      <c r="C109" s="98"/>
      <c r="D109" s="62"/>
      <c r="E109" s="62"/>
      <c r="H109" s="188" t="s">
        <v>4171</v>
      </c>
      <c r="M109" s="2028">
        <v>8</v>
      </c>
      <c r="N109" s="7"/>
      <c r="O109" s="1314">
        <f>O111+O118+O121</f>
        <v>0</v>
      </c>
      <c r="P109" s="1314">
        <f>P111+P118+P121</f>
        <v>0</v>
      </c>
      <c r="Q109" s="115" t="s">
        <v>459</v>
      </c>
      <c r="R109" s="44"/>
    </row>
    <row r="110" spans="1:18" s="108" customFormat="1" ht="4.5" customHeight="1">
      <c r="A110" s="165"/>
      <c r="B110" s="112"/>
      <c r="C110" s="98"/>
      <c r="D110" s="62"/>
      <c r="E110" s="62"/>
      <c r="H110" s="188"/>
      <c r="M110" s="837"/>
      <c r="Q110" s="115"/>
      <c r="R110" s="44"/>
    </row>
    <row r="111" spans="1:18" s="108" customFormat="1" ht="12.6" customHeight="1">
      <c r="A111" s="2692" t="s">
        <v>4174</v>
      </c>
      <c r="B111" s="1274" t="s">
        <v>4172</v>
      </c>
      <c r="C111" s="98"/>
      <c r="D111" s="62"/>
      <c r="E111" s="62"/>
      <c r="H111" s="188"/>
      <c r="M111" s="130">
        <v>3</v>
      </c>
      <c r="O111" s="1314">
        <f>IF(AND($E$112="Flexible",$D$114=5%,$O$113="Yes",NOT($O$116="Yes")),3,IF(OR(AND($E$112="Flexible",$D$114=5%,$O$116="Yes", NOT($O$113="Yes"),$O$43=13),AND($E$112="Flexible",$D$114=10%,$O$113="Yes",NOT($O$116="Yes")),AND($E$112="Rural",$D$114=15%,$O$113="Yes",NOT($O$116="Yes"))),2,IF(OR(AND($E$112="Flexible",$D$114=10%,$O$116="Yes",$O$43=13, NOT($O$113="Yes")),AND($E$112="Flexible",$D$114=15%,$O$113="Yes",NOT($O$116="Yes")),AND($E$112="Rural",$O$113="Yes",$D$114=20%, NOT($O$116="Yes"))),1,0)))</f>
        <v>0</v>
      </c>
      <c r="P111" s="696"/>
      <c r="Q111" s="115"/>
      <c r="R111" s="44"/>
    </row>
    <row r="112" spans="1:18" ht="11.45" customHeight="1">
      <c r="A112" s="2692"/>
      <c r="B112" s="116" t="s">
        <v>3023</v>
      </c>
      <c r="C112" s="651"/>
      <c r="D112" s="651"/>
      <c r="E112" s="652" t="str">
        <f>'Part I-Project Information'!$H$90</f>
        <v>&lt;&lt;Select Pool&gt;&gt;</v>
      </c>
      <c r="N112" s="28"/>
      <c r="O112" s="127" t="s">
        <v>2609</v>
      </c>
      <c r="P112" s="127" t="s">
        <v>2609</v>
      </c>
    </row>
    <row r="113" spans="1:18" ht="11.45" customHeight="1">
      <c r="A113" s="2692"/>
      <c r="B113" s="412" t="s">
        <v>2072</v>
      </c>
      <c r="C113" s="490" t="s">
        <v>2798</v>
      </c>
      <c r="E113" s="125"/>
      <c r="M113" s="85"/>
      <c r="N113" s="28"/>
      <c r="O113" s="2082"/>
      <c r="P113" s="698"/>
      <c r="Q113" s="2545" t="str">
        <f>IF(AND(O113="Yes",O116="Yes"),"Only 1 or 4 can be 'Yes'!","")</f>
        <v/>
      </c>
      <c r="R113" s="2545"/>
    </row>
    <row r="114" spans="1:18" ht="11.45" customHeight="1">
      <c r="B114" s="412" t="s">
        <v>2074</v>
      </c>
      <c r="C114" s="490" t="s">
        <v>2878</v>
      </c>
      <c r="D114" s="2087"/>
      <c r="E114" s="490" t="s">
        <v>2879</v>
      </c>
      <c r="G114" s="106" t="s">
        <v>2485</v>
      </c>
      <c r="K114" s="145" t="s">
        <v>2877</v>
      </c>
      <c r="L114" s="2088"/>
      <c r="M114" s="1312" t="str">
        <f>IF(L114&gt;D114,"CHECK ACTUAL PERCENT!!!","")</f>
        <v/>
      </c>
      <c r="N114" s="477"/>
      <c r="Q114" s="2545"/>
      <c r="R114" s="2545"/>
    </row>
    <row r="115" spans="1:18" ht="11.45" customHeight="1">
      <c r="B115" s="412" t="s">
        <v>2634</v>
      </c>
      <c r="C115" s="463" t="s">
        <v>2486</v>
      </c>
      <c r="E115" s="125"/>
      <c r="G115" s="106" t="s">
        <v>2487</v>
      </c>
      <c r="K115" s="539" t="s">
        <v>2869</v>
      </c>
      <c r="L115" s="2089"/>
      <c r="Q115" s="2545"/>
      <c r="R115" s="2545"/>
    </row>
    <row r="116" spans="1:18" ht="11.45" customHeight="1">
      <c r="B116" s="412" t="s">
        <v>1277</v>
      </c>
      <c r="C116" s="2691" t="s">
        <v>4178</v>
      </c>
      <c r="D116" s="2691"/>
      <c r="E116" s="2691"/>
      <c r="F116" s="2691"/>
      <c r="G116" s="2691"/>
      <c r="H116" s="2691"/>
      <c r="I116" s="2691"/>
      <c r="J116" s="2691"/>
      <c r="K116" s="2691"/>
      <c r="L116" s="2691"/>
      <c r="M116" s="2691"/>
      <c r="N116" s="28"/>
      <c r="O116" s="2082"/>
      <c r="P116" s="698"/>
      <c r="Q116" s="2545"/>
      <c r="R116" s="2545"/>
    </row>
    <row r="117" spans="1:18" ht="11.45" customHeight="1">
      <c r="B117" s="412"/>
      <c r="C117" s="2691"/>
      <c r="D117" s="2691"/>
      <c r="E117" s="2691"/>
      <c r="F117" s="2691"/>
      <c r="G117" s="2691"/>
      <c r="H117" s="2691"/>
      <c r="I117" s="2691"/>
      <c r="J117" s="2691"/>
      <c r="K117" s="2691"/>
      <c r="L117" s="2691"/>
      <c r="M117" s="2691"/>
    </row>
    <row r="118" spans="1:18" ht="11.45" customHeight="1">
      <c r="A118" s="654" t="s">
        <v>786</v>
      </c>
      <c r="B118" s="1310" t="s">
        <v>4173</v>
      </c>
      <c r="C118" s="463"/>
      <c r="E118" s="125"/>
      <c r="G118" s="106"/>
      <c r="K118" s="484" t="s">
        <v>4152</v>
      </c>
      <c r="L118" s="484" t="s">
        <v>4153</v>
      </c>
      <c r="M118" s="130">
        <v>3</v>
      </c>
      <c r="O118" s="1314">
        <f>IF(OR(K119="A2",K119="A3",K119="B1"),3,IF(OR(K119="A1",K119="B2",K119="C1"),2,IF(OR(K119="B3",K119="C2"),1,0)))</f>
        <v>0</v>
      </c>
      <c r="P118" s="81">
        <f>IF(OR(L119="A2",L119="A3",L119="B1"),3,IF(OR(L119="A1",L119="B2",L119="C1"),2,IF(OR(L119="B3",L119="C2"),1,0)))</f>
        <v>0</v>
      </c>
    </row>
    <row r="119" spans="1:18" ht="11.45" customHeight="1">
      <c r="A119" s="654"/>
      <c r="B119" s="2582" t="s">
        <v>4177</v>
      </c>
      <c r="C119" s="2582"/>
      <c r="D119" s="2582"/>
      <c r="E119" s="2582"/>
      <c r="F119" s="2582"/>
      <c r="G119" s="2582"/>
      <c r="H119" s="2582"/>
      <c r="I119" s="2582"/>
      <c r="J119" s="2582"/>
      <c r="K119" s="2090" t="s">
        <v>208</v>
      </c>
      <c r="L119" s="698" t="s">
        <v>208</v>
      </c>
      <c r="O119" s="1308"/>
      <c r="P119" s="1308"/>
    </row>
    <row r="120" spans="1:18" ht="11.45" customHeight="1">
      <c r="A120" s="654"/>
      <c r="B120" s="2582"/>
      <c r="C120" s="2582"/>
      <c r="D120" s="2582"/>
      <c r="E120" s="2582"/>
      <c r="F120" s="2582"/>
      <c r="G120" s="2582"/>
      <c r="H120" s="2582"/>
      <c r="I120" s="2582"/>
      <c r="J120" s="2582"/>
      <c r="O120" s="1308"/>
      <c r="P120" s="1308"/>
    </row>
    <row r="121" spans="1:18" ht="11.45" customHeight="1">
      <c r="A121" s="654" t="s">
        <v>2203</v>
      </c>
      <c r="B121" s="1310" t="s">
        <v>4175</v>
      </c>
      <c r="C121" s="463"/>
      <c r="E121" s="125"/>
      <c r="G121" s="539" t="s">
        <v>4176</v>
      </c>
      <c r="H121" s="1311">
        <f>'Part VI-Revenues &amp; Expenses'!$O$59</f>
        <v>0</v>
      </c>
      <c r="I121" s="484" t="s">
        <v>4195</v>
      </c>
      <c r="J121" s="1311">
        <f>'Part VI-Revenues &amp; Expenses'!$O$62</f>
        <v>162</v>
      </c>
      <c r="K121" s="484" t="s">
        <v>4196</v>
      </c>
      <c r="L121" s="1313">
        <f>IF(J121=0,0,H121/J121)</f>
        <v>0</v>
      </c>
      <c r="M121" s="130">
        <v>2</v>
      </c>
      <c r="O121" s="81">
        <f>IF(AND($E$112="Flexible",($O$111+$O$118)&gt;=3,$L$121&gt;=20%),2,IF(AND($E$112="Flexible",($O$111+$O$118)&gt;=3,$L$121&gt;=15%),1,0))</f>
        <v>0</v>
      </c>
      <c r="P121" s="81">
        <f>IF(AND($E$112="Flexible",($O$111+$O$118)&gt;=3,$L$121&gt;=20%),2,IF(AND($E$112="Flexible",($O$111+$O$118)&gt;=3,$L$121&gt;=15%),1,0))</f>
        <v>0</v>
      </c>
    </row>
    <row r="122" spans="1:18" s="44" customFormat="1" ht="11.25" customHeight="1">
      <c r="A122" s="43"/>
      <c r="B122" s="91" t="s">
        <v>1947</v>
      </c>
      <c r="C122" s="43"/>
      <c r="D122" s="91"/>
      <c r="E122" s="2033"/>
      <c r="F122" s="2033"/>
      <c r="G122" s="2033"/>
      <c r="H122" s="2033"/>
      <c r="I122" s="2033"/>
      <c r="J122" s="2033"/>
      <c r="K122" s="2033"/>
      <c r="L122" s="2033"/>
      <c r="M122" s="2033"/>
      <c r="N122" s="79"/>
      <c r="O122" s="75"/>
      <c r="P122" s="2028"/>
      <c r="Q122" s="474"/>
    </row>
    <row r="123" spans="1:18" s="44" customFormat="1" ht="12.75" customHeight="1">
      <c r="A123" s="2560"/>
      <c r="B123" s="2561"/>
      <c r="C123" s="2561"/>
      <c r="D123" s="2561"/>
      <c r="E123" s="2561"/>
      <c r="F123" s="2561"/>
      <c r="G123" s="2561"/>
      <c r="H123" s="2561"/>
      <c r="I123" s="2561"/>
      <c r="J123" s="2561"/>
      <c r="K123" s="2561"/>
      <c r="L123" s="2561"/>
      <c r="M123" s="2561"/>
      <c r="N123" s="2561"/>
      <c r="O123" s="2561"/>
      <c r="P123" s="2562"/>
      <c r="Q123" s="498" t="s">
        <v>1308</v>
      </c>
    </row>
    <row r="124" spans="1:18" s="44" customFormat="1" ht="3" customHeight="1">
      <c r="A124" s="43"/>
      <c r="D124" s="40"/>
      <c r="E124" s="37"/>
      <c r="F124" s="1308"/>
      <c r="G124" s="1308"/>
      <c r="H124" s="1308"/>
      <c r="I124" s="1308"/>
      <c r="J124" s="1344"/>
      <c r="K124" s="1344"/>
      <c r="L124" s="1344"/>
      <c r="M124" s="63"/>
      <c r="N124" s="1308"/>
      <c r="O124" s="2032"/>
      <c r="P124" s="3"/>
    </row>
    <row r="125" spans="1:18" s="108" customFormat="1" ht="12.6" customHeight="1">
      <c r="A125" s="165" t="s">
        <v>528</v>
      </c>
      <c r="B125" s="112" t="s">
        <v>3718</v>
      </c>
      <c r="C125" s="98"/>
      <c r="D125" s="62"/>
      <c r="E125" s="62"/>
      <c r="H125" s="833"/>
      <c r="J125" s="2685" t="s">
        <v>3729</v>
      </c>
      <c r="K125" s="2686"/>
      <c r="L125" s="2687"/>
      <c r="M125" s="2028">
        <v>10</v>
      </c>
      <c r="N125" s="7"/>
      <c r="O125" s="1405">
        <f>IF(AND(J125="QCT &amp; Local Govt Adptd Revital Plan",O149="Yes",O157=4),7,IF(OR(AND(J125="QCT &amp; Local Govt Adptd Revital Plan",O149="Yes",O157=3),AND(J125="Local Govt Adopted Revitaliztn Plan",O154="Yes",O156=4)),6,IF(AND(J125="Local Govt Adopted Revitaliztn Plan",O154="Yes",O157=3),5,IF(AND(J125="QCT &amp; Local Govt Adptd Revital Plan",O149="Yes"),3,IF(AND(J125="Local Govt Adopted Revitaliztn Plan",O154="Yes"),2,IF(AND(J125="HUD Choice Nbrhd Implement Grant",O156="Yes"),10,0))))))</f>
        <v>0</v>
      </c>
      <c r="P125" s="696"/>
      <c r="Q125" s="115" t="s">
        <v>459</v>
      </c>
      <c r="R125" s="44"/>
    </row>
    <row r="126" spans="1:18" ht="6" customHeight="1">
      <c r="A126" s="647"/>
      <c r="B126" s="539"/>
      <c r="D126" s="832"/>
      <c r="E126" s="539"/>
      <c r="G126" s="843"/>
      <c r="H126" s="844"/>
      <c r="I126" s="483"/>
      <c r="K126" s="1217"/>
      <c r="N126" s="28"/>
      <c r="O126" s="28"/>
      <c r="P126" s="28"/>
    </row>
    <row r="127" spans="1:18" ht="11.45" customHeight="1">
      <c r="B127" s="2046" t="s">
        <v>4337</v>
      </c>
      <c r="E127" s="34"/>
      <c r="G127" s="2553"/>
      <c r="H127" s="2554"/>
      <c r="I127" s="2554"/>
      <c r="J127" s="2554"/>
      <c r="K127" s="2554"/>
      <c r="L127" s="2554"/>
      <c r="M127" s="2554"/>
      <c r="N127" s="2554"/>
      <c r="O127" s="2554"/>
      <c r="P127" s="2555"/>
    </row>
    <row r="128" spans="1:18" ht="6" customHeight="1">
      <c r="A128" s="647"/>
      <c r="B128" s="539"/>
      <c r="D128" s="832"/>
      <c r="E128" s="539"/>
      <c r="G128" s="843"/>
      <c r="H128" s="844"/>
      <c r="N128" s="28"/>
      <c r="O128" s="28"/>
      <c r="P128" s="28"/>
    </row>
    <row r="129" spans="1:18" s="44" customFormat="1" ht="12" customHeight="1">
      <c r="A129" s="149"/>
      <c r="B129" s="57" t="s">
        <v>3194</v>
      </c>
      <c r="D129" s="34"/>
      <c r="N129" s="527"/>
      <c r="O129" s="2082"/>
      <c r="P129" s="698"/>
      <c r="R129" s="414"/>
    </row>
    <row r="130" spans="1:18" ht="4.5" customHeight="1">
      <c r="A130" s="647"/>
      <c r="B130" s="539"/>
      <c r="D130" s="832"/>
      <c r="E130" s="539"/>
      <c r="G130" s="843"/>
      <c r="H130" s="844"/>
      <c r="I130" s="483"/>
      <c r="K130" s="1217"/>
      <c r="N130" s="28"/>
      <c r="O130" s="28"/>
      <c r="P130" s="28"/>
    </row>
    <row r="131" spans="1:18" s="44" customFormat="1" ht="11.45" customHeight="1">
      <c r="A131" s="479"/>
      <c r="B131" s="121" t="s">
        <v>3082</v>
      </c>
      <c r="E131" s="41"/>
      <c r="O131" s="127" t="s">
        <v>2609</v>
      </c>
      <c r="P131" s="127" t="s">
        <v>2609</v>
      </c>
    </row>
    <row r="132" spans="1:18" s="44" customFormat="1" ht="11.45" customHeight="1">
      <c r="A132" s="411"/>
      <c r="B132" s="428" t="s">
        <v>2532</v>
      </c>
      <c r="C132" s="57" t="s">
        <v>3861</v>
      </c>
      <c r="D132" s="108"/>
      <c r="E132" s="41"/>
      <c r="G132" s="57" t="s">
        <v>3862</v>
      </c>
      <c r="L132" s="2550"/>
      <c r="M132" s="2550"/>
      <c r="N132" s="428" t="s">
        <v>2532</v>
      </c>
      <c r="O132" s="2084"/>
      <c r="P132" s="700"/>
    </row>
    <row r="133" spans="1:18" s="44" customFormat="1" ht="11.45" customHeight="1">
      <c r="A133" s="411"/>
      <c r="B133" s="413" t="s">
        <v>2533</v>
      </c>
      <c r="C133" s="2563" t="s">
        <v>4179</v>
      </c>
      <c r="D133" s="2563"/>
      <c r="E133" s="2563"/>
      <c r="F133" s="2563"/>
      <c r="G133" s="57" t="s">
        <v>3724</v>
      </c>
      <c r="L133" s="2549"/>
      <c r="M133" s="2549"/>
      <c r="N133" s="413" t="s">
        <v>2533</v>
      </c>
      <c r="O133" s="2086"/>
      <c r="P133" s="702"/>
    </row>
    <row r="134" spans="1:18" s="44" customFormat="1" ht="11.45" customHeight="1">
      <c r="A134" s="411"/>
      <c r="B134" s="413"/>
      <c r="C134" s="2563"/>
      <c r="D134" s="2563"/>
      <c r="E134" s="2563"/>
      <c r="F134" s="2563"/>
      <c r="G134" s="57" t="s">
        <v>3192</v>
      </c>
      <c r="L134" s="2603"/>
      <c r="M134" s="2605"/>
    </row>
    <row r="135" spans="1:18" s="44" customFormat="1" ht="11.45" customHeight="1">
      <c r="A135" s="411"/>
      <c r="B135" s="413"/>
      <c r="C135" s="2563"/>
      <c r="D135" s="2563"/>
      <c r="E135" s="2563"/>
      <c r="F135" s="2563"/>
      <c r="G135" s="57" t="s">
        <v>3059</v>
      </c>
      <c r="J135" s="2583" t="s">
        <v>3061</v>
      </c>
      <c r="K135" s="2584"/>
      <c r="L135" s="2564" t="s">
        <v>3061</v>
      </c>
      <c r="M135" s="2565"/>
    </row>
    <row r="136" spans="1:18" s="44" customFormat="1" ht="11.45" customHeight="1">
      <c r="A136" s="411"/>
      <c r="B136" s="413"/>
      <c r="C136" s="539"/>
      <c r="D136" s="108"/>
      <c r="E136" s="41"/>
      <c r="G136" s="57" t="s">
        <v>3060</v>
      </c>
      <c r="J136" s="2639"/>
      <c r="K136" s="2640"/>
      <c r="L136" s="2639"/>
      <c r="M136" s="2640"/>
    </row>
    <row r="137" spans="1:18" s="44" customFormat="1" ht="11.45" customHeight="1">
      <c r="A137" s="411"/>
      <c r="B137" s="413"/>
      <c r="C137" s="539"/>
      <c r="D137" s="108"/>
      <c r="E137" s="41"/>
      <c r="G137" s="2520" t="s">
        <v>4341</v>
      </c>
      <c r="H137" s="2520"/>
      <c r="I137" s="57" t="s">
        <v>1788</v>
      </c>
      <c r="J137" s="2693" t="s">
        <v>4339</v>
      </c>
      <c r="K137" s="2694"/>
      <c r="L137" s="2693" t="s">
        <v>4339</v>
      </c>
      <c r="M137" s="2694"/>
    </row>
    <row r="138" spans="1:18" s="44" customFormat="1" ht="11.45" customHeight="1">
      <c r="A138" s="411"/>
      <c r="B138" s="413"/>
      <c r="C138" s="539"/>
      <c r="D138" s="108"/>
      <c r="E138" s="41"/>
      <c r="G138" s="2520"/>
      <c r="H138" s="2520"/>
      <c r="I138" s="57" t="s">
        <v>4340</v>
      </c>
      <c r="J138" s="2603"/>
      <c r="K138" s="2605"/>
      <c r="L138" s="2603"/>
      <c r="M138" s="2605"/>
    </row>
    <row r="139" spans="1:18" ht="11.25" customHeight="1">
      <c r="B139" s="413" t="s">
        <v>2534</v>
      </c>
      <c r="C139" s="2563" t="s">
        <v>4180</v>
      </c>
      <c r="D139" s="2563"/>
      <c r="E139" s="2563"/>
      <c r="F139" s="2563"/>
      <c r="G139" s="481" t="s">
        <v>3193</v>
      </c>
      <c r="L139" s="2679"/>
      <c r="M139" s="2680"/>
      <c r="N139" s="413" t="s">
        <v>2534</v>
      </c>
      <c r="O139" s="2082"/>
      <c r="P139" s="698"/>
    </row>
    <row r="140" spans="1:18" ht="11.25" customHeight="1">
      <c r="B140" s="413"/>
      <c r="C140" s="2563"/>
      <c r="D140" s="2563"/>
      <c r="E140" s="2563"/>
      <c r="F140" s="2563"/>
      <c r="G140" s="57" t="s">
        <v>3873</v>
      </c>
      <c r="L140" s="2639"/>
      <c r="M140" s="2640"/>
      <c r="N140" s="28"/>
      <c r="O140" s="28"/>
      <c r="P140" s="28"/>
    </row>
    <row r="141" spans="1:18" ht="11.25" customHeight="1">
      <c r="B141" s="413" t="s">
        <v>2535</v>
      </c>
      <c r="C141" s="606" t="s">
        <v>4181</v>
      </c>
      <c r="D141" s="106"/>
      <c r="G141" s="312"/>
      <c r="K141" s="41"/>
      <c r="L141" s="2580" t="s">
        <v>4183</v>
      </c>
      <c r="M141" s="2581"/>
      <c r="N141" s="413" t="s">
        <v>2535</v>
      </c>
      <c r="O141" s="2084"/>
      <c r="P141" s="700"/>
    </row>
    <row r="142" spans="1:18" ht="11.25" customHeight="1">
      <c r="B142" s="413" t="s">
        <v>2536</v>
      </c>
      <c r="C142" s="606" t="s">
        <v>3062</v>
      </c>
      <c r="K142" s="41"/>
      <c r="L142" s="2600" t="s">
        <v>4183</v>
      </c>
      <c r="M142" s="2601"/>
      <c r="N142" s="413" t="s">
        <v>2536</v>
      </c>
      <c r="O142" s="2085"/>
      <c r="P142" s="701"/>
    </row>
    <row r="143" spans="1:18" ht="11.25" customHeight="1">
      <c r="B143" s="428" t="s">
        <v>3727</v>
      </c>
      <c r="C143" s="54" t="s">
        <v>3721</v>
      </c>
      <c r="K143" s="41"/>
      <c r="L143" s="2600" t="s">
        <v>4183</v>
      </c>
      <c r="M143" s="2601"/>
      <c r="N143" s="428" t="s">
        <v>3727</v>
      </c>
      <c r="O143" s="2085"/>
      <c r="P143" s="701"/>
    </row>
    <row r="144" spans="1:18" ht="11.25" customHeight="1">
      <c r="B144" s="428" t="s">
        <v>3728</v>
      </c>
      <c r="C144" s="54" t="s">
        <v>3719</v>
      </c>
      <c r="K144" s="41"/>
      <c r="L144" s="2600" t="s">
        <v>4183</v>
      </c>
      <c r="M144" s="2601"/>
      <c r="N144" s="428" t="s">
        <v>3728</v>
      </c>
      <c r="O144" s="2085"/>
      <c r="P144" s="701"/>
    </row>
    <row r="145" spans="1:25" ht="11.25" customHeight="1">
      <c r="B145" s="413" t="s">
        <v>2553</v>
      </c>
      <c r="C145" s="606" t="s">
        <v>3063</v>
      </c>
      <c r="K145" s="41"/>
      <c r="L145" s="2600" t="s">
        <v>4183</v>
      </c>
      <c r="M145" s="2601"/>
      <c r="N145" s="413" t="s">
        <v>2553</v>
      </c>
      <c r="O145" s="2085"/>
      <c r="P145" s="701"/>
    </row>
    <row r="146" spans="1:25" ht="11.25" customHeight="1">
      <c r="B146" s="428" t="s">
        <v>2554</v>
      </c>
      <c r="C146" s="606" t="s">
        <v>3064</v>
      </c>
      <c r="D146" s="106"/>
      <c r="K146" s="41"/>
      <c r="L146" s="2677" t="s">
        <v>4183</v>
      </c>
      <c r="M146" s="2678"/>
      <c r="N146" s="428" t="s">
        <v>2554</v>
      </c>
      <c r="O146" s="2085"/>
      <c r="P146" s="701"/>
    </row>
    <row r="147" spans="1:25" ht="11.25" customHeight="1">
      <c r="B147" s="428" t="s">
        <v>2555</v>
      </c>
      <c r="C147" s="606" t="s">
        <v>4182</v>
      </c>
      <c r="K147" s="41"/>
      <c r="M147" s="411"/>
      <c r="N147" s="428" t="s">
        <v>2555</v>
      </c>
      <c r="O147" s="2086"/>
      <c r="P147" s="702"/>
    </row>
    <row r="148" spans="1:25" ht="10.9" customHeight="1">
      <c r="B148" s="428"/>
      <c r="C148" s="606"/>
      <c r="K148" s="41"/>
      <c r="M148" s="411"/>
      <c r="N148" s="411"/>
      <c r="O148" s="411"/>
      <c r="P148" s="411"/>
    </row>
    <row r="149" spans="1:25" ht="11.25" customHeight="1">
      <c r="A149" s="149" t="s">
        <v>2068</v>
      </c>
      <c r="B149" s="195" t="s">
        <v>3720</v>
      </c>
      <c r="G149" s="539" t="s">
        <v>3848</v>
      </c>
      <c r="H149" s="172"/>
      <c r="I149" s="172"/>
      <c r="K149" s="41"/>
      <c r="L149" s="2091" t="s">
        <v>3849</v>
      </c>
      <c r="M149" s="480">
        <v>3</v>
      </c>
      <c r="N149" s="428" t="s">
        <v>2068</v>
      </c>
      <c r="O149" s="2082"/>
      <c r="P149" s="698"/>
      <c r="X149" s="411"/>
      <c r="Y149" s="413"/>
    </row>
    <row r="150" spans="1:25" ht="11.25" customHeight="1">
      <c r="A150" s="647"/>
      <c r="G150" s="539" t="s">
        <v>4104</v>
      </c>
      <c r="H150" s="172"/>
      <c r="L150" s="2695" t="str">
        <f>'Part I-Project Information'!$O$28</f>
        <v>66.01</v>
      </c>
      <c r="M150" s="2695"/>
      <c r="N150" s="28"/>
      <c r="O150" s="28"/>
      <c r="P150" s="28"/>
    </row>
    <row r="151" spans="1:25" ht="11.25" customHeight="1">
      <c r="A151" s="647"/>
      <c r="B151" s="539"/>
      <c r="D151" s="832"/>
      <c r="G151" s="539" t="s">
        <v>3726</v>
      </c>
      <c r="H151" s="172"/>
      <c r="K151" s="1217"/>
      <c r="L151" s="489" t="str">
        <f>'Part I-Project Information'!$N$29</f>
        <v>Yes</v>
      </c>
      <c r="N151" s="28"/>
      <c r="O151" s="28"/>
      <c r="P151" s="28"/>
    </row>
    <row r="152" spans="1:25" ht="11.25" customHeight="1">
      <c r="A152" s="647"/>
      <c r="B152" s="539"/>
      <c r="D152" s="832"/>
      <c r="E152" s="539"/>
      <c r="G152" s="483" t="s">
        <v>3722</v>
      </c>
      <c r="H152" s="172"/>
      <c r="K152" s="1217"/>
      <c r="L152" s="1217" t="str">
        <f>'Part IV-Uses of Funds'!$H$151</f>
        <v>DDA/QCT</v>
      </c>
      <c r="N152" s="28"/>
      <c r="O152" s="28"/>
      <c r="P152" s="28"/>
    </row>
    <row r="153" spans="1:25" ht="11.45" customHeight="1">
      <c r="A153" s="149" t="s">
        <v>2071</v>
      </c>
      <c r="B153" s="195" t="s">
        <v>3723</v>
      </c>
      <c r="D153" s="34"/>
      <c r="M153" s="85">
        <v>2</v>
      </c>
      <c r="N153" s="28"/>
      <c r="O153" s="28"/>
      <c r="P153" s="28"/>
    </row>
    <row r="154" spans="1:25" ht="11.45" customHeight="1">
      <c r="A154" s="647"/>
      <c r="B154" s="490" t="s">
        <v>3725</v>
      </c>
      <c r="E154" s="125"/>
      <c r="N154" s="69" t="s">
        <v>2071</v>
      </c>
      <c r="O154" s="2082"/>
      <c r="P154" s="698"/>
      <c r="Q154" s="430"/>
    </row>
    <row r="155" spans="1:25" ht="11.45" customHeight="1">
      <c r="A155" s="149" t="s">
        <v>786</v>
      </c>
      <c r="B155" s="195" t="s">
        <v>3027</v>
      </c>
      <c r="C155" s="195"/>
      <c r="D155" s="34"/>
      <c r="M155" s="122"/>
      <c r="O155" s="655"/>
      <c r="P155" s="655"/>
    </row>
    <row r="156" spans="1:25" ht="22.5" customHeight="1">
      <c r="B156" s="492"/>
      <c r="C156" s="2563" t="s">
        <v>4185</v>
      </c>
      <c r="D156" s="2563"/>
      <c r="E156" s="2563"/>
      <c r="F156" s="2563"/>
      <c r="G156" s="2563"/>
      <c r="H156" s="2563"/>
      <c r="I156" s="2563"/>
      <c r="J156" s="2563"/>
      <c r="K156" s="2563"/>
      <c r="L156" s="2563"/>
      <c r="M156" s="895">
        <v>10</v>
      </c>
      <c r="N156" s="236" t="s">
        <v>786</v>
      </c>
      <c r="O156" s="2083"/>
      <c r="P156" s="699"/>
      <c r="R156" s="2717" t="s">
        <v>4192</v>
      </c>
      <c r="S156" s="2717"/>
    </row>
    <row r="157" spans="1:25" ht="11.45" customHeight="1">
      <c r="A157" s="149" t="s">
        <v>2203</v>
      </c>
      <c r="B157" s="195" t="s">
        <v>4184</v>
      </c>
      <c r="C157" s="195"/>
      <c r="D157" s="34"/>
      <c r="J157" s="1316" t="s">
        <v>4191</v>
      </c>
      <c r="M157" s="122">
        <v>4</v>
      </c>
      <c r="N157" s="69" t="s">
        <v>2203</v>
      </c>
      <c r="O157" s="1317">
        <f>IF(O109&gt;=2,0,IF(AND(OR(J125="QCT &amp; Local Govt Adptd Revital Plan",$J$125="Local Govt Adopted Revitaliztn Plan"),SUM(R158:R162)&gt;=4),4,IF(AND(OR($J$125="QCT &amp; Local Govt Adptd Revital Plan",J125="Local Govt Adopted Revitaliztn Plan"),SUM(R158:R162)&gt;=3),3,0)))</f>
        <v>0</v>
      </c>
      <c r="P157" s="1317">
        <f>IF(P109&gt;=2,0,IF(AND(OR(K125="QCT &amp; Local Govt Adptd Revital Plan",$J$125="Local Govt Adopted Revitaliztn Plan"),SUM(S158:S162)&gt;=4),4,IF(AND(OR($J$125="QCT &amp; Local Govt Adptd Revital Plan",K125="Local Govt Adopted Revitaliztn Plan"),SUM(S158:S162)&gt;=3),3,0)))</f>
        <v>0</v>
      </c>
      <c r="R157" s="1326" t="s">
        <v>3565</v>
      </c>
      <c r="S157" s="2045" t="s">
        <v>269</v>
      </c>
      <c r="T157" s="1408"/>
    </row>
    <row r="158" spans="1:25" ht="11.25" customHeight="1">
      <c r="B158" s="412" t="s">
        <v>2072</v>
      </c>
      <c r="C158" s="893" t="s">
        <v>4186</v>
      </c>
      <c r="D158" s="893"/>
      <c r="E158" s="893"/>
      <c r="F158" s="893"/>
      <c r="G158" s="893"/>
      <c r="H158" s="893"/>
      <c r="I158" s="893"/>
      <c r="J158" s="1406">
        <f>$O$43</f>
        <v>0</v>
      </c>
      <c r="K158" s="2719" t="s">
        <v>4338</v>
      </c>
      <c r="L158" s="2719"/>
      <c r="M158" s="895"/>
      <c r="N158" s="486" t="s">
        <v>2072</v>
      </c>
      <c r="O158" s="1319" t="str">
        <f>IF(J158&gt;=12,"Yes","No")</f>
        <v>No</v>
      </c>
      <c r="P158" s="700"/>
      <c r="R158" s="2045">
        <f>IF(O158="Yes",1,0)</f>
        <v>0</v>
      </c>
      <c r="S158" s="2045">
        <f>IF(P158="Yes",1,0)</f>
        <v>0</v>
      </c>
      <c r="T158" s="1340"/>
    </row>
    <row r="159" spans="1:25" ht="11.25" customHeight="1">
      <c r="B159" s="412" t="s">
        <v>2074</v>
      </c>
      <c r="C159" s="893" t="s">
        <v>4187</v>
      </c>
      <c r="D159" s="893"/>
      <c r="E159" s="893"/>
      <c r="F159" s="893"/>
      <c r="G159" s="893"/>
      <c r="H159" s="893"/>
      <c r="I159" s="893"/>
      <c r="J159" s="1407">
        <f>$O$358</f>
        <v>0</v>
      </c>
      <c r="K159" s="2084"/>
      <c r="L159" s="700"/>
      <c r="M159" s="895"/>
      <c r="N159" s="486" t="s">
        <v>2074</v>
      </c>
      <c r="O159" s="1320" t="str">
        <f>IF(J159&gt;=1,"Yes","No")</f>
        <v>No</v>
      </c>
      <c r="P159" s="701"/>
      <c r="R159" s="2045">
        <f t="shared" ref="R159:S162" si="0">IF(O159="Yes",1,0)</f>
        <v>0</v>
      </c>
      <c r="S159" s="2045">
        <f t="shared" si="0"/>
        <v>0</v>
      </c>
    </row>
    <row r="160" spans="1:25" ht="11.25" customHeight="1">
      <c r="B160" s="412" t="s">
        <v>2634</v>
      </c>
      <c r="C160" s="893" t="s">
        <v>4190</v>
      </c>
      <c r="D160" s="893"/>
      <c r="E160" s="893"/>
      <c r="F160" s="893"/>
      <c r="G160" s="893"/>
      <c r="H160" s="893"/>
      <c r="I160" s="893"/>
      <c r="J160" s="1406">
        <f>$O$271</f>
        <v>0</v>
      </c>
      <c r="K160" s="2086"/>
      <c r="L160" s="702"/>
      <c r="M160" s="895"/>
      <c r="N160" s="486" t="s">
        <v>2634</v>
      </c>
      <c r="O160" s="1320" t="str">
        <f>IF(J160&gt;=2,"Yes","No")</f>
        <v>No</v>
      </c>
      <c r="P160" s="701"/>
      <c r="R160" s="2045">
        <f t="shared" si="0"/>
        <v>0</v>
      </c>
      <c r="S160" s="2045">
        <f t="shared" si="0"/>
        <v>0</v>
      </c>
    </row>
    <row r="161" spans="1:19" ht="11.25" customHeight="1">
      <c r="B161" s="412" t="s">
        <v>1277</v>
      </c>
      <c r="C161" s="893" t="s">
        <v>4189</v>
      </c>
      <c r="D161" s="893"/>
      <c r="E161" s="893"/>
      <c r="F161" s="893"/>
      <c r="G161" s="893"/>
      <c r="H161" s="893"/>
      <c r="I161" s="893"/>
      <c r="J161" s="1406">
        <f>$O$374</f>
        <v>0</v>
      </c>
      <c r="M161" s="895"/>
      <c r="N161" s="486" t="s">
        <v>1277</v>
      </c>
      <c r="O161" s="1320" t="str">
        <f>IF(J161&gt;=2,"Yes","No")</f>
        <v>No</v>
      </c>
      <c r="P161" s="701"/>
      <c r="R161" s="2045">
        <f t="shared" si="0"/>
        <v>0</v>
      </c>
      <c r="S161" s="2045">
        <f t="shared" si="0"/>
        <v>0</v>
      </c>
    </row>
    <row r="162" spans="1:19" ht="11.25" customHeight="1">
      <c r="B162" s="412" t="s">
        <v>1278</v>
      </c>
      <c r="C162" s="893" t="s">
        <v>4188</v>
      </c>
      <c r="D162" s="893"/>
      <c r="E162" s="893"/>
      <c r="F162" s="893"/>
      <c r="G162" s="893"/>
      <c r="H162" s="893"/>
      <c r="I162" s="893"/>
      <c r="J162" s="1315" t="s">
        <v>4193</v>
      </c>
      <c r="L162" s="1318">
        <f>$L$121</f>
        <v>0</v>
      </c>
      <c r="M162" s="895"/>
      <c r="N162" s="486" t="s">
        <v>1278</v>
      </c>
      <c r="O162" s="1321" t="str">
        <f>IF(L162&gt;=15%,"Yes","No")</f>
        <v>No</v>
      </c>
      <c r="P162" s="702"/>
      <c r="R162" s="2045">
        <f t="shared" si="0"/>
        <v>0</v>
      </c>
      <c r="S162" s="2045">
        <f t="shared" si="0"/>
        <v>0</v>
      </c>
    </row>
    <row r="163" spans="1:19" s="44" customFormat="1" ht="13.9" customHeight="1">
      <c r="A163" s="43"/>
      <c r="B163" s="50" t="s">
        <v>268</v>
      </c>
      <c r="C163" s="43"/>
      <c r="D163" s="49"/>
      <c r="E163" s="49"/>
      <c r="F163" s="49"/>
      <c r="G163" s="49"/>
      <c r="H163" s="37"/>
      <c r="I163" s="145"/>
      <c r="M163" s="47"/>
      <c r="N163" s="65"/>
      <c r="O163" s="3"/>
      <c r="P163" s="2032"/>
    </row>
    <row r="164" spans="1:19" s="44" customFormat="1" ht="12.75" customHeight="1">
      <c r="A164" s="2641"/>
      <c r="B164" s="2642"/>
      <c r="C164" s="2642"/>
      <c r="D164" s="2642"/>
      <c r="E164" s="2642"/>
      <c r="F164" s="2642"/>
      <c r="G164" s="2642"/>
      <c r="H164" s="2642"/>
      <c r="I164" s="2642"/>
      <c r="J164" s="2642"/>
      <c r="K164" s="2642"/>
      <c r="L164" s="2642"/>
      <c r="M164" s="2642"/>
      <c r="N164" s="2642"/>
      <c r="O164" s="2642"/>
      <c r="P164" s="2643"/>
      <c r="Q164" s="498" t="s">
        <v>1308</v>
      </c>
    </row>
    <row r="165" spans="1:19" s="44" customFormat="1" ht="11.25" customHeight="1">
      <c r="A165" s="43"/>
      <c r="B165" s="91" t="s">
        <v>1947</v>
      </c>
      <c r="C165" s="43"/>
      <c r="D165" s="91"/>
      <c r="E165" s="2033"/>
      <c r="F165" s="2033"/>
      <c r="G165" s="2033"/>
      <c r="H165" s="2033"/>
      <c r="I165" s="2033"/>
      <c r="J165" s="2033"/>
      <c r="K165" s="2033"/>
      <c r="L165" s="2033"/>
      <c r="M165" s="2033"/>
      <c r="N165" s="79"/>
      <c r="O165" s="75"/>
      <c r="P165" s="2028"/>
      <c r="Q165" s="474"/>
    </row>
    <row r="166" spans="1:19" s="44" customFormat="1" ht="12.75" customHeight="1">
      <c r="A166" s="2560"/>
      <c r="B166" s="2561"/>
      <c r="C166" s="2561"/>
      <c r="D166" s="2561"/>
      <c r="E166" s="2561"/>
      <c r="F166" s="2561"/>
      <c r="G166" s="2561"/>
      <c r="H166" s="2561"/>
      <c r="I166" s="2561"/>
      <c r="J166" s="2561"/>
      <c r="K166" s="2561"/>
      <c r="L166" s="2561"/>
      <c r="M166" s="2561"/>
      <c r="N166" s="2561"/>
      <c r="O166" s="2561"/>
      <c r="P166" s="2562"/>
      <c r="Q166" s="498" t="s">
        <v>1308</v>
      </c>
    </row>
    <row r="167" spans="1:19" ht="3.6" customHeight="1">
      <c r="B167" s="125"/>
      <c r="C167" s="125"/>
      <c r="D167" s="125"/>
      <c r="E167" s="125"/>
    </row>
    <row r="168" spans="1:19" s="44" customFormat="1" ht="12" customHeight="1">
      <c r="A168" s="165" t="s">
        <v>226</v>
      </c>
      <c r="B168" s="111" t="s">
        <v>2556</v>
      </c>
      <c r="D168" s="42"/>
      <c r="E168" s="42"/>
      <c r="F168" s="42"/>
      <c r="H168" s="64" t="s">
        <v>3750</v>
      </c>
      <c r="K168" s="49"/>
      <c r="M168" s="2028">
        <v>4</v>
      </c>
      <c r="N168" s="6"/>
      <c r="O168" s="81">
        <f>IF(AND($J$169="Flexible",O170=$M170),$M170,IF(AND($J$169="Flexible",O177&gt;0),O177,IF(AND($J$169="Rural",O181&gt;0),O181,0)))</f>
        <v>0</v>
      </c>
      <c r="P168" s="81">
        <f>IF(AND($J$169="Flexible",P170=$M170),$M170,IF(AND($J$169="Flexible",P177&gt;0),P177,IF(AND($J$169="Rural",P181&gt;0),P181,0)))</f>
        <v>0</v>
      </c>
      <c r="Q168" s="115" t="s">
        <v>459</v>
      </c>
    </row>
    <row r="169" spans="1:19" ht="10.9" customHeight="1">
      <c r="A169" s="647"/>
      <c r="B169" s="539"/>
      <c r="D169" s="832"/>
      <c r="E169" s="539"/>
      <c r="H169" s="92" t="s">
        <v>3023</v>
      </c>
      <c r="I169" s="481"/>
      <c r="J169" s="2718" t="str">
        <f>'Part I-Project Information'!$H$90</f>
        <v>&lt;&lt;Select Pool&gt;&gt;</v>
      </c>
      <c r="K169" s="2718"/>
      <c r="N169" s="28"/>
      <c r="O169" s="28"/>
      <c r="P169" s="28"/>
    </row>
    <row r="170" spans="1:19" ht="12" customHeight="1">
      <c r="A170" s="2029" t="s">
        <v>2068</v>
      </c>
      <c r="B170" s="195" t="s">
        <v>2323</v>
      </c>
      <c r="D170" s="34"/>
      <c r="E170" s="34"/>
      <c r="F170" s="34"/>
      <c r="H170" s="92" t="s">
        <v>4484</v>
      </c>
      <c r="I170" s="481"/>
      <c r="J170" s="2718" t="str">
        <f>'Part I-Project Information'!$O$24</f>
        <v>No</v>
      </c>
      <c r="K170" s="2718"/>
      <c r="L170" s="1482" t="str">
        <f>'Part I-Project Information'!$O$25</f>
        <v>N/A</v>
      </c>
      <c r="M170" s="77">
        <v>3</v>
      </c>
      <c r="N170" s="527" t="s">
        <v>2068</v>
      </c>
      <c r="O170" s="2068"/>
      <c r="P170" s="692"/>
      <c r="Q170" s="430" t="s">
        <v>2834</v>
      </c>
    </row>
    <row r="171" spans="1:19" s="106" customFormat="1" ht="22.5" customHeight="1">
      <c r="B171" s="1270" t="s">
        <v>2072</v>
      </c>
      <c r="C171" s="2563" t="s">
        <v>4194</v>
      </c>
      <c r="D171" s="2459"/>
      <c r="E171" s="2459"/>
      <c r="F171" s="2459"/>
      <c r="G171" s="2459"/>
      <c r="H171" s="2459"/>
      <c r="I171" s="2459"/>
      <c r="J171" s="2459"/>
      <c r="K171" s="2459"/>
      <c r="L171" s="2459"/>
      <c r="M171" s="461"/>
      <c r="N171" s="431" t="s">
        <v>2072</v>
      </c>
      <c r="O171" s="2092"/>
      <c r="P171" s="705"/>
    </row>
    <row r="172" spans="1:19" s="106" customFormat="1" ht="12" customHeight="1">
      <c r="B172" s="829"/>
      <c r="C172" s="126" t="s">
        <v>1004</v>
      </c>
      <c r="H172" s="539" t="s">
        <v>2683</v>
      </c>
      <c r="J172" s="2533"/>
      <c r="K172" s="2534"/>
    </row>
    <row r="173" spans="1:19" s="106" customFormat="1" ht="12" customHeight="1">
      <c r="B173" s="829"/>
      <c r="C173" s="126"/>
      <c r="H173" s="539" t="s">
        <v>2392</v>
      </c>
      <c r="J173" s="2627"/>
      <c r="K173" s="2628"/>
      <c r="L173" s="2629"/>
    </row>
    <row r="174" spans="1:19" s="126" customFormat="1" ht="12" customHeight="1">
      <c r="B174" s="829" t="s">
        <v>2074</v>
      </c>
      <c r="C174" s="126" t="s">
        <v>1005</v>
      </c>
      <c r="M174" s="7"/>
      <c r="N174" s="192" t="s">
        <v>2074</v>
      </c>
      <c r="O174" s="2084"/>
      <c r="P174" s="700"/>
    </row>
    <row r="175" spans="1:19" s="126" customFormat="1" ht="12" customHeight="1">
      <c r="B175" s="829" t="s">
        <v>2634</v>
      </c>
      <c r="C175" s="126" t="s">
        <v>1006</v>
      </c>
      <c r="M175" s="7"/>
      <c r="N175" s="192" t="s">
        <v>2634</v>
      </c>
      <c r="O175" s="2085"/>
      <c r="P175" s="701"/>
    </row>
    <row r="176" spans="1:19" s="126" customFormat="1" ht="12" customHeight="1">
      <c r="A176" s="647"/>
      <c r="B176" s="829" t="s">
        <v>1277</v>
      </c>
      <c r="C176" s="126" t="s">
        <v>1007</v>
      </c>
      <c r="M176" s="7"/>
      <c r="N176" s="192" t="s">
        <v>1277</v>
      </c>
      <c r="O176" s="2086"/>
      <c r="P176" s="702"/>
    </row>
    <row r="177" spans="1:19" s="34" customFormat="1" ht="12" customHeight="1">
      <c r="A177" s="2029" t="s">
        <v>2071</v>
      </c>
      <c r="B177" s="195" t="s">
        <v>4197</v>
      </c>
      <c r="D177" s="838"/>
      <c r="H177" s="64" t="s">
        <v>3751</v>
      </c>
      <c r="M177" s="834">
        <v>3</v>
      </c>
      <c r="N177" s="527" t="s">
        <v>2071</v>
      </c>
      <c r="O177" s="1325">
        <f>IF($J$169="Flexible", MIN($M$177, SUM(O179:O180)), 0)</f>
        <v>0</v>
      </c>
      <c r="P177" s="1325">
        <f>IF($J$169="Flexible", MIN($M$177, SUM(P179:P180)), 0)</f>
        <v>0</v>
      </c>
    </row>
    <row r="178" spans="1:19" s="34" customFormat="1" ht="12" customHeight="1">
      <c r="A178" s="2029"/>
      <c r="B178" s="1322" t="s">
        <v>4199</v>
      </c>
      <c r="D178" s="838"/>
      <c r="H178" s="64"/>
    </row>
    <row r="179" spans="1:19" s="34" customFormat="1" ht="12" customHeight="1">
      <c r="B179" s="412" t="s">
        <v>2072</v>
      </c>
      <c r="C179" s="836" t="s">
        <v>4202</v>
      </c>
      <c r="M179" s="77">
        <v>3</v>
      </c>
      <c r="N179" s="486" t="s">
        <v>2072</v>
      </c>
      <c r="O179" s="2068"/>
      <c r="P179" s="692"/>
      <c r="Q179" s="188" t="s">
        <v>2834</v>
      </c>
    </row>
    <row r="180" spans="1:19" ht="12" customHeight="1">
      <c r="A180" s="837" t="s">
        <v>1410</v>
      </c>
      <c r="B180" s="492" t="s">
        <v>2074</v>
      </c>
      <c r="C180" s="491" t="s">
        <v>4200</v>
      </c>
      <c r="D180" s="34"/>
      <c r="E180" s="34"/>
      <c r="F180" s="34"/>
      <c r="G180" s="41"/>
      <c r="H180" s="64"/>
      <c r="I180" s="41"/>
      <c r="M180" s="85">
        <v>2</v>
      </c>
      <c r="N180" s="1323" t="s">
        <v>2074</v>
      </c>
      <c r="O180" s="2069"/>
      <c r="P180" s="694"/>
      <c r="Q180" s="188" t="s">
        <v>2834</v>
      </c>
    </row>
    <row r="181" spans="1:19" s="34" customFormat="1" ht="12" customHeight="1">
      <c r="A181" s="2029" t="s">
        <v>786</v>
      </c>
      <c r="B181" s="195" t="s">
        <v>4198</v>
      </c>
      <c r="D181" s="838"/>
      <c r="H181" s="64" t="s">
        <v>4206</v>
      </c>
      <c r="M181" s="834">
        <v>4</v>
      </c>
      <c r="N181" s="527" t="s">
        <v>786</v>
      </c>
      <c r="O181" s="1325">
        <f>IF($J$169="Rural", MIN($M$181, SUM(O183:O185)), 0)</f>
        <v>0</v>
      </c>
      <c r="P181" s="1325">
        <f>IF($J$169="Rural", MIN($M$177, SUM(P183:P185)), 0)</f>
        <v>0</v>
      </c>
    </row>
    <row r="182" spans="1:19" s="34" customFormat="1" ht="12" customHeight="1">
      <c r="A182" s="2029"/>
      <c r="B182" s="1322" t="s">
        <v>4203</v>
      </c>
      <c r="D182" s="838"/>
      <c r="H182" s="64"/>
    </row>
    <row r="183" spans="1:19" s="34" customFormat="1" ht="12" customHeight="1">
      <c r="B183" s="412" t="s">
        <v>2072</v>
      </c>
      <c r="C183" s="836" t="s">
        <v>4205</v>
      </c>
      <c r="K183" s="2731" t="str">
        <f>IF(AND(O183&gt;0,O185&gt;0),"Choose either option 1 or option 3!!!","")</f>
        <v/>
      </c>
      <c r="L183" s="2731"/>
      <c r="M183" s="77">
        <v>3</v>
      </c>
      <c r="N183" s="486" t="s">
        <v>2072</v>
      </c>
      <c r="O183" s="2068"/>
      <c r="P183" s="692"/>
      <c r="Q183" s="188" t="s">
        <v>2834</v>
      </c>
    </row>
    <row r="184" spans="1:19" ht="12" customHeight="1">
      <c r="A184" s="837"/>
      <c r="B184" s="492" t="s">
        <v>2074</v>
      </c>
      <c r="C184" s="481" t="s">
        <v>4201</v>
      </c>
      <c r="D184" s="34"/>
      <c r="E184" s="34"/>
      <c r="F184" s="34"/>
      <c r="G184" s="41"/>
      <c r="H184" s="1324" t="s">
        <v>4207</v>
      </c>
      <c r="I184" s="41"/>
      <c r="K184" s="2731"/>
      <c r="L184" s="2731"/>
      <c r="M184" s="85">
        <v>1</v>
      </c>
      <c r="N184" s="1323" t="s">
        <v>2074</v>
      </c>
      <c r="O184" s="2079"/>
      <c r="P184" s="693"/>
      <c r="Q184" s="188" t="s">
        <v>2834</v>
      </c>
    </row>
    <row r="185" spans="1:19" ht="12" customHeight="1">
      <c r="A185" s="837" t="s">
        <v>1410</v>
      </c>
      <c r="B185" s="492" t="s">
        <v>2634</v>
      </c>
      <c r="C185" s="491" t="s">
        <v>4204</v>
      </c>
      <c r="D185" s="34"/>
      <c r="E185" s="34"/>
      <c r="F185" s="34"/>
      <c r="G185" s="41"/>
      <c r="H185" s="64"/>
      <c r="I185" s="41"/>
      <c r="K185" s="2731"/>
      <c r="L185" s="2731"/>
      <c r="M185" s="85">
        <v>2</v>
      </c>
      <c r="N185" s="1323" t="s">
        <v>2634</v>
      </c>
      <c r="O185" s="2069"/>
      <c r="P185" s="694"/>
      <c r="Q185" s="188" t="s">
        <v>2834</v>
      </c>
    </row>
    <row r="186" spans="1:19" s="44" customFormat="1" ht="12" customHeight="1">
      <c r="A186" s="43"/>
      <c r="B186" s="50" t="s">
        <v>268</v>
      </c>
      <c r="C186" s="43"/>
      <c r="D186" s="49"/>
      <c r="E186" s="49"/>
      <c r="F186" s="49"/>
      <c r="G186" s="49"/>
      <c r="H186" s="37"/>
      <c r="I186" s="37"/>
      <c r="J186" s="37"/>
      <c r="K186" s="37"/>
      <c r="M186" s="47"/>
      <c r="N186" s="65"/>
      <c r="O186" s="3"/>
      <c r="P186" s="2032"/>
    </row>
    <row r="187" spans="1:19" s="44" customFormat="1" ht="12" customHeight="1">
      <c r="A187" s="2539"/>
      <c r="B187" s="2540"/>
      <c r="C187" s="2540"/>
      <c r="D187" s="2540"/>
      <c r="E187" s="2540"/>
      <c r="F187" s="2540"/>
      <c r="G187" s="2540"/>
      <c r="H187" s="2540"/>
      <c r="I187" s="2540"/>
      <c r="J187" s="2540"/>
      <c r="K187" s="2540"/>
      <c r="L187" s="2540"/>
      <c r="M187" s="2540"/>
      <c r="N187" s="2540"/>
      <c r="O187" s="2540"/>
      <c r="P187" s="2541"/>
      <c r="Q187" s="498" t="s">
        <v>1308</v>
      </c>
    </row>
    <row r="188" spans="1:19" s="44" customFormat="1" ht="12" customHeight="1">
      <c r="B188" s="91" t="s">
        <v>1947</v>
      </c>
      <c r="C188" s="104"/>
      <c r="D188" s="91"/>
      <c r="E188" s="105"/>
      <c r="F188" s="2033"/>
      <c r="G188" s="2033"/>
      <c r="H188" s="2033"/>
      <c r="I188" s="2033"/>
      <c r="J188" s="2033"/>
      <c r="K188" s="2033"/>
      <c r="L188" s="2033"/>
      <c r="M188" s="2033"/>
      <c r="N188" s="79"/>
      <c r="O188" s="75"/>
      <c r="P188" s="2028"/>
      <c r="Q188" s="474"/>
    </row>
    <row r="189" spans="1:19" s="44" customFormat="1" ht="12" customHeight="1">
      <c r="A189" s="2513"/>
      <c r="B189" s="2514"/>
      <c r="C189" s="2514"/>
      <c r="D189" s="2514"/>
      <c r="E189" s="2514"/>
      <c r="F189" s="2514"/>
      <c r="G189" s="2514"/>
      <c r="H189" s="2514"/>
      <c r="I189" s="2514"/>
      <c r="J189" s="2514"/>
      <c r="K189" s="2514"/>
      <c r="L189" s="2514"/>
      <c r="M189" s="2514"/>
      <c r="N189" s="2514"/>
      <c r="O189" s="2514"/>
      <c r="P189" s="2515"/>
      <c r="Q189" s="498" t="s">
        <v>1308</v>
      </c>
    </row>
    <row r="190" spans="1:19" ht="3" customHeight="1">
      <c r="B190" s="125"/>
      <c r="C190" s="125"/>
      <c r="D190" s="125"/>
      <c r="E190" s="125"/>
    </row>
    <row r="191" spans="1:19" s="44" customFormat="1" ht="12" customHeight="1">
      <c r="A191" s="165" t="s">
        <v>227</v>
      </c>
      <c r="B191" s="111" t="s">
        <v>3743</v>
      </c>
      <c r="E191" s="42"/>
      <c r="F191" s="42"/>
      <c r="H191" s="64"/>
      <c r="K191" s="49"/>
      <c r="L191" s="414"/>
      <c r="M191" s="2028">
        <v>2</v>
      </c>
      <c r="N191" s="438"/>
      <c r="O191" s="905">
        <f>IF(SUM(R193:R196)=0,2,IF(SUM(R193:R196)=1,1,0))</f>
        <v>2</v>
      </c>
      <c r="P191" s="905">
        <f>IF(SUM(S193:S196)=0,2,IF(SUM(S193:S196)=1,1,0))</f>
        <v>2</v>
      </c>
      <c r="Q191" s="115" t="s">
        <v>459</v>
      </c>
      <c r="R191" s="2717" t="s">
        <v>4192</v>
      </c>
      <c r="S191" s="2717"/>
    </row>
    <row r="192" spans="1:19" ht="11.45" customHeight="1">
      <c r="B192" s="178" t="s">
        <v>1739</v>
      </c>
      <c r="E192" s="125"/>
      <c r="M192" s="427"/>
      <c r="N192" s="28"/>
      <c r="O192" s="127" t="s">
        <v>2609</v>
      </c>
      <c r="P192" s="127" t="s">
        <v>2609</v>
      </c>
      <c r="R192" s="1326" t="s">
        <v>3565</v>
      </c>
      <c r="S192" s="2045" t="s">
        <v>269</v>
      </c>
    </row>
    <row r="193" spans="1:20" s="433" customFormat="1" ht="22.5" customHeight="1">
      <c r="A193" s="154" t="s">
        <v>2068</v>
      </c>
      <c r="B193" s="2644" t="s">
        <v>4208</v>
      </c>
      <c r="C193" s="2644"/>
      <c r="D193" s="2644"/>
      <c r="E193" s="2644"/>
      <c r="F193" s="2644"/>
      <c r="G193" s="2644"/>
      <c r="H193" s="2644"/>
      <c r="I193" s="2644"/>
      <c r="J193" s="2644"/>
      <c r="K193" s="2644"/>
      <c r="L193" s="2644"/>
      <c r="M193" s="110"/>
      <c r="N193" s="174" t="s">
        <v>2068</v>
      </c>
      <c r="O193" s="2093"/>
      <c r="P193" s="703"/>
      <c r="R193" s="1327">
        <f t="shared" ref="R193:S196" si="1">IF(O193="Yes",1,0)</f>
        <v>0</v>
      </c>
      <c r="S193" s="1327">
        <f t="shared" si="1"/>
        <v>0</v>
      </c>
    </row>
    <row r="194" spans="1:20" s="433" customFormat="1" ht="22.5" customHeight="1">
      <c r="A194" s="154" t="s">
        <v>2071</v>
      </c>
      <c r="B194" s="2644" t="s">
        <v>2866</v>
      </c>
      <c r="C194" s="2644"/>
      <c r="D194" s="2644"/>
      <c r="E194" s="2644"/>
      <c r="F194" s="2644"/>
      <c r="G194" s="2644"/>
      <c r="H194" s="2644"/>
      <c r="I194" s="2644"/>
      <c r="J194" s="2644"/>
      <c r="K194" s="2644"/>
      <c r="L194" s="2644"/>
      <c r="M194" s="110"/>
      <c r="N194" s="174" t="s">
        <v>2071</v>
      </c>
      <c r="O194" s="2094"/>
      <c r="P194" s="704"/>
      <c r="R194" s="1327">
        <f t="shared" si="1"/>
        <v>0</v>
      </c>
      <c r="S194" s="1327">
        <f t="shared" si="1"/>
        <v>0</v>
      </c>
    </row>
    <row r="195" spans="1:20" s="433" customFormat="1" ht="11.25" customHeight="1">
      <c r="A195" s="154" t="s">
        <v>786</v>
      </c>
      <c r="B195" s="233" t="s">
        <v>1740</v>
      </c>
      <c r="M195" s="488"/>
      <c r="N195" s="69" t="s">
        <v>786</v>
      </c>
      <c r="O195" s="2085"/>
      <c r="P195" s="704"/>
      <c r="R195" s="2045">
        <f t="shared" si="1"/>
        <v>0</v>
      </c>
      <c r="S195" s="2045">
        <f t="shared" si="1"/>
        <v>0</v>
      </c>
    </row>
    <row r="196" spans="1:20" s="433" customFormat="1" ht="11.25" customHeight="1">
      <c r="A196" s="154" t="s">
        <v>2203</v>
      </c>
      <c r="B196" s="150" t="s">
        <v>4209</v>
      </c>
      <c r="M196" s="488"/>
      <c r="N196" s="69" t="s">
        <v>2203</v>
      </c>
      <c r="O196" s="2086"/>
      <c r="P196" s="705"/>
      <c r="R196" s="2045">
        <f t="shared" si="1"/>
        <v>0</v>
      </c>
      <c r="S196" s="2045">
        <f t="shared" si="1"/>
        <v>0</v>
      </c>
    </row>
    <row r="197" spans="1:20" s="44" customFormat="1" ht="12.75" customHeight="1">
      <c r="A197" s="429"/>
      <c r="B197" s="50" t="s">
        <v>268</v>
      </c>
      <c r="C197" s="43"/>
      <c r="D197" s="49"/>
      <c r="E197" s="49"/>
      <c r="F197" s="49"/>
      <c r="G197" s="49"/>
      <c r="H197" s="37"/>
      <c r="I197" s="37"/>
      <c r="J197" s="37"/>
      <c r="K197" s="37"/>
      <c r="M197" s="47"/>
      <c r="N197" s="65"/>
      <c r="O197" s="3"/>
      <c r="P197" s="2032"/>
    </row>
    <row r="198" spans="1:20" s="44" customFormat="1" ht="22.5" customHeight="1">
      <c r="A198" s="2539"/>
      <c r="B198" s="2540"/>
      <c r="C198" s="2540"/>
      <c r="D198" s="2540"/>
      <c r="E198" s="2540"/>
      <c r="F198" s="2540"/>
      <c r="G198" s="2540"/>
      <c r="H198" s="2540"/>
      <c r="I198" s="2540"/>
      <c r="J198" s="2540"/>
      <c r="K198" s="2540"/>
      <c r="L198" s="2540"/>
      <c r="M198" s="2540"/>
      <c r="N198" s="2540"/>
      <c r="O198" s="2540"/>
      <c r="P198" s="2541"/>
      <c r="Q198" s="498" t="s">
        <v>1308</v>
      </c>
    </row>
    <row r="199" spans="1:20" s="44" customFormat="1" ht="11.25" customHeight="1">
      <c r="A199" s="43"/>
      <c r="B199" s="91" t="s">
        <v>1947</v>
      </c>
      <c r="C199" s="43"/>
      <c r="D199" s="91"/>
      <c r="E199" s="2033"/>
      <c r="F199" s="2033"/>
      <c r="G199" s="2033"/>
      <c r="H199" s="2033"/>
      <c r="I199" s="2033"/>
      <c r="J199" s="2033"/>
      <c r="K199" s="2033"/>
      <c r="L199" s="2033"/>
      <c r="M199" s="2033"/>
      <c r="N199" s="79"/>
      <c r="O199" s="75"/>
      <c r="P199" s="2028"/>
      <c r="Q199" s="474"/>
    </row>
    <row r="200" spans="1:20" s="44" customFormat="1" ht="34.5" customHeight="1">
      <c r="A200" s="2513"/>
      <c r="B200" s="2514"/>
      <c r="C200" s="2514"/>
      <c r="D200" s="2514"/>
      <c r="E200" s="2514"/>
      <c r="F200" s="2514"/>
      <c r="G200" s="2514"/>
      <c r="H200" s="2514"/>
      <c r="I200" s="2514"/>
      <c r="J200" s="2514"/>
      <c r="K200" s="2514"/>
      <c r="L200" s="2514"/>
      <c r="M200" s="2514"/>
      <c r="N200" s="2514"/>
      <c r="O200" s="2514"/>
      <c r="P200" s="2515"/>
      <c r="Q200" s="498" t="s">
        <v>1308</v>
      </c>
    </row>
    <row r="201" spans="1:20" ht="3" customHeight="1">
      <c r="B201" s="125"/>
      <c r="C201" s="125"/>
      <c r="D201" s="125"/>
      <c r="E201" s="125"/>
    </row>
    <row r="202" spans="1:20" s="44" customFormat="1" ht="12" customHeight="1">
      <c r="A202" s="166" t="s">
        <v>228</v>
      </c>
      <c r="B202" s="112" t="s">
        <v>3065</v>
      </c>
      <c r="C202" s="56"/>
      <c r="D202" s="124"/>
      <c r="E202" s="124"/>
      <c r="F202" s="42"/>
      <c r="H202" s="40"/>
      <c r="I202" s="64" t="s">
        <v>415</v>
      </c>
      <c r="K202" s="49"/>
      <c r="M202" s="2028">
        <v>1</v>
      </c>
      <c r="N202" s="6"/>
      <c r="O202" s="684">
        <f>MIN($M202,SUM(O203:O205))</f>
        <v>0</v>
      </c>
      <c r="P202" s="684">
        <f>MIN($M202,SUM(P203:P205))</f>
        <v>0</v>
      </c>
      <c r="Q202" s="115" t="s">
        <v>459</v>
      </c>
    </row>
    <row r="203" spans="1:20" s="108" customFormat="1" ht="12" customHeight="1">
      <c r="A203" s="149" t="s">
        <v>2068</v>
      </c>
      <c r="B203" s="180" t="s">
        <v>2324</v>
      </c>
      <c r="D203" s="64"/>
      <c r="E203" s="64"/>
      <c r="F203" s="45"/>
      <c r="G203" s="28"/>
      <c r="M203" s="7">
        <v>1</v>
      </c>
      <c r="N203" s="527" t="s">
        <v>2068</v>
      </c>
      <c r="O203" s="2068"/>
      <c r="P203" s="692"/>
      <c r="Q203" s="430" t="s">
        <v>2834</v>
      </c>
      <c r="T203" s="414" t="str">
        <f>IF(OR($O203=$M203,$O203=0,$O203=""),"","* * Check Score! * *")</f>
        <v/>
      </c>
    </row>
    <row r="204" spans="1:20" s="108" customFormat="1" ht="12" customHeight="1">
      <c r="A204" s="149"/>
      <c r="B204" s="41" t="s">
        <v>2809</v>
      </c>
      <c r="D204" s="64"/>
      <c r="E204" s="64"/>
      <c r="F204" s="45"/>
      <c r="G204" s="28"/>
      <c r="K204" s="527"/>
      <c r="M204" s="7"/>
      <c r="N204" s="527"/>
      <c r="O204" s="2086"/>
      <c r="P204" s="702"/>
      <c r="Q204" s="430"/>
      <c r="R204" s="414"/>
    </row>
    <row r="205" spans="1:20" s="44" customFormat="1" ht="12" customHeight="1">
      <c r="A205" s="149" t="s">
        <v>2071</v>
      </c>
      <c r="B205" s="180" t="s">
        <v>2325</v>
      </c>
      <c r="D205" s="60"/>
      <c r="K205" s="54"/>
      <c r="L205" s="108"/>
      <c r="M205" s="7">
        <v>1</v>
      </c>
      <c r="N205" s="527" t="s">
        <v>2071</v>
      </c>
      <c r="O205" s="2068"/>
      <c r="P205" s="692"/>
      <c r="Q205" s="430" t="s">
        <v>2834</v>
      </c>
      <c r="T205" s="414" t="str">
        <f>IF(OR($O205=$M205,$O205=0,$O205=""),"","* * Check Score! * *")</f>
        <v/>
      </c>
    </row>
    <row r="206" spans="1:20" s="44" customFormat="1" ht="12" customHeight="1">
      <c r="A206" s="149"/>
      <c r="B206" s="1344" t="s">
        <v>4210</v>
      </c>
      <c r="D206" s="60"/>
      <c r="H206" s="2051"/>
      <c r="K206" s="54"/>
      <c r="L206" s="108"/>
      <c r="M206" s="7"/>
      <c r="N206" s="527"/>
      <c r="O206" s="2086"/>
      <c r="P206" s="702"/>
      <c r="Q206" s="430"/>
      <c r="R206" s="414"/>
    </row>
    <row r="207" spans="1:20" s="44" customFormat="1" ht="12" customHeight="1">
      <c r="A207" s="43"/>
      <c r="B207" s="91" t="s">
        <v>1947</v>
      </c>
      <c r="C207" s="104"/>
      <c r="D207" s="91"/>
      <c r="E207" s="105"/>
      <c r="F207" s="2033"/>
      <c r="G207" s="2033"/>
      <c r="H207" s="2033"/>
      <c r="I207" s="2033"/>
      <c r="J207" s="2033"/>
      <c r="K207" s="2033"/>
      <c r="L207" s="2033"/>
      <c r="M207" s="2033"/>
      <c r="N207" s="79"/>
      <c r="O207" s="75"/>
      <c r="P207" s="2028"/>
      <c r="Q207" s="474"/>
    </row>
    <row r="208" spans="1:20" s="44" customFormat="1" ht="12" customHeight="1">
      <c r="A208" s="2513"/>
      <c r="B208" s="2514"/>
      <c r="C208" s="2514"/>
      <c r="D208" s="2514"/>
      <c r="E208" s="2514"/>
      <c r="F208" s="2514"/>
      <c r="G208" s="2514"/>
      <c r="H208" s="2514"/>
      <c r="I208" s="2514"/>
      <c r="J208" s="2514"/>
      <c r="K208" s="2514"/>
      <c r="L208" s="2514"/>
      <c r="M208" s="2514"/>
      <c r="N208" s="2514"/>
      <c r="O208" s="2514"/>
      <c r="P208" s="2515"/>
      <c r="Q208" s="498" t="s">
        <v>1308</v>
      </c>
    </row>
    <row r="209" spans="1:18" s="44" customFormat="1" ht="2.25" customHeight="1">
      <c r="A209" s="43"/>
      <c r="B209" s="43"/>
      <c r="C209" s="2033"/>
      <c r="D209" s="2033"/>
      <c r="E209" s="2033"/>
      <c r="F209" s="2033"/>
      <c r="G209" s="2033"/>
      <c r="H209" s="2033"/>
      <c r="I209" s="2033"/>
      <c r="J209" s="2033"/>
      <c r="K209" s="2033"/>
      <c r="L209" s="2033"/>
      <c r="M209" s="2033"/>
      <c r="N209" s="79"/>
      <c r="O209" s="75"/>
      <c r="P209" s="1308"/>
    </row>
    <row r="210" spans="1:18" s="44" customFormat="1" ht="15">
      <c r="A210" s="166" t="s">
        <v>246</v>
      </c>
      <c r="B210" s="119" t="s">
        <v>3744</v>
      </c>
      <c r="C210" s="93"/>
      <c r="D210" s="61"/>
      <c r="E210" s="54"/>
      <c r="M210" s="2028">
        <v>3</v>
      </c>
      <c r="N210" s="6"/>
      <c r="O210" s="6"/>
      <c r="P210" s="696"/>
      <c r="Q210" s="115" t="s">
        <v>459</v>
      </c>
    </row>
    <row r="211" spans="1:18" s="44" customFormat="1" ht="12" customHeight="1">
      <c r="A211" s="166"/>
      <c r="B211" s="41" t="s">
        <v>2800</v>
      </c>
      <c r="C211" s="93"/>
      <c r="D211" s="61"/>
      <c r="E211" s="54"/>
      <c r="I211" s="526" t="str">
        <f>'Part I-Project Information'!$H$86</f>
        <v>No</v>
      </c>
      <c r="M211" s="2028"/>
      <c r="N211" s="2028"/>
      <c r="O211" s="127" t="s">
        <v>2609</v>
      </c>
      <c r="P211" s="127" t="s">
        <v>2609</v>
      </c>
      <c r="Q211" s="115"/>
    </row>
    <row r="212" spans="1:18" s="44" customFormat="1" ht="12" customHeight="1">
      <c r="A212" s="149"/>
      <c r="B212" s="57" t="s">
        <v>3863</v>
      </c>
      <c r="D212" s="34"/>
      <c r="N212" s="527"/>
      <c r="O212" s="2084"/>
      <c r="P212" s="700"/>
      <c r="R212" s="414"/>
    </row>
    <row r="213" spans="1:18" s="44" customFormat="1" ht="12" customHeight="1">
      <c r="A213" s="149"/>
      <c r="B213" s="57" t="s">
        <v>3864</v>
      </c>
      <c r="D213" s="34"/>
      <c r="N213" s="527"/>
      <c r="O213" s="2085"/>
      <c r="P213" s="701"/>
      <c r="R213" s="414"/>
    </row>
    <row r="214" spans="1:18" s="44" customFormat="1" ht="12" customHeight="1">
      <c r="A214" s="149"/>
      <c r="B214" s="57" t="s">
        <v>4211</v>
      </c>
      <c r="D214" s="34"/>
      <c r="N214" s="527"/>
      <c r="O214" s="2086"/>
      <c r="P214" s="702"/>
      <c r="R214" s="414"/>
    </row>
    <row r="215" spans="1:18" s="44" customFormat="1" ht="12" customHeight="1">
      <c r="B215" s="91" t="s">
        <v>1947</v>
      </c>
      <c r="C215" s="104"/>
      <c r="D215" s="91"/>
      <c r="E215" s="105"/>
      <c r="F215" s="2033"/>
      <c r="G215" s="2033"/>
      <c r="H215" s="2033"/>
      <c r="I215" s="2033"/>
      <c r="J215" s="2033"/>
      <c r="K215" s="2033"/>
      <c r="L215" s="2033"/>
      <c r="M215" s="2033"/>
      <c r="N215" s="79"/>
      <c r="O215" s="75"/>
      <c r="P215" s="2028"/>
      <c r="Q215" s="474"/>
    </row>
    <row r="216" spans="1:18" s="44" customFormat="1" ht="12" customHeight="1">
      <c r="A216" s="2513"/>
      <c r="B216" s="2514"/>
      <c r="C216" s="2514"/>
      <c r="D216" s="2514"/>
      <c r="E216" s="2514"/>
      <c r="F216" s="2514"/>
      <c r="G216" s="2514"/>
      <c r="H216" s="2514"/>
      <c r="I216" s="2514"/>
      <c r="J216" s="2514"/>
      <c r="K216" s="2514"/>
      <c r="L216" s="2514"/>
      <c r="M216" s="2514"/>
      <c r="N216" s="2514"/>
      <c r="O216" s="2514"/>
      <c r="P216" s="2515"/>
      <c r="Q216" s="498" t="s">
        <v>1308</v>
      </c>
    </row>
    <row r="217" spans="1:18" ht="2.25" customHeight="1"/>
    <row r="218" spans="1:18" s="66" customFormat="1" ht="12.6" customHeight="1">
      <c r="A218" s="165" t="s">
        <v>247</v>
      </c>
      <c r="B218" s="111" t="s">
        <v>3066</v>
      </c>
      <c r="E218" s="37" t="s">
        <v>4106</v>
      </c>
      <c r="G218" s="894" t="str">
        <f>'Part I-Project Information'!$H$90</f>
        <v>&lt;&lt;Select Pool&gt;&gt;</v>
      </c>
      <c r="H218" s="656" t="str">
        <f>IF(G218="Flexible","(NOTE: Only Rural pool applicants are eligible for this section.)","")</f>
        <v/>
      </c>
      <c r="K218" s="478" t="s">
        <v>4107</v>
      </c>
      <c r="L218" s="656" t="str">
        <f>'Part I-Project Information'!$K$30</f>
        <v>Urban</v>
      </c>
      <c r="M218" s="2028">
        <v>2</v>
      </c>
      <c r="N218" s="438"/>
      <c r="O218" s="81">
        <f>IF($K$221=0,0,IF($O$223&lt;100%,0,MIN($M$218,O220)))</f>
        <v>2</v>
      </c>
      <c r="P218" s="81">
        <f>IF($K$221=0,0,IF($O$223&lt;100%,0,MIN($M$218,P220)))</f>
        <v>2</v>
      </c>
      <c r="Q218" s="115" t="s">
        <v>459</v>
      </c>
      <c r="R218" s="28"/>
    </row>
    <row r="219" spans="1:18" s="66" customFormat="1" ht="3" customHeight="1">
      <c r="A219" s="165"/>
      <c r="M219" s="2028"/>
      <c r="N219" s="438"/>
      <c r="O219" s="438"/>
      <c r="P219" s="438"/>
    </row>
    <row r="220" spans="1:18" s="66" customFormat="1" ht="24.75" customHeight="1">
      <c r="A220" s="2436" t="s">
        <v>4212</v>
      </c>
      <c r="B220" s="2436"/>
      <c r="C220" s="2436"/>
      <c r="D220" s="2436"/>
      <c r="E220" s="2436"/>
      <c r="F220" s="2436"/>
      <c r="G220" s="2436"/>
      <c r="H220" s="2436"/>
      <c r="I220" s="2436"/>
      <c r="J220" s="2436"/>
      <c r="K220" s="2436"/>
      <c r="L220" s="2436"/>
      <c r="M220" s="2436"/>
      <c r="N220" s="174"/>
      <c r="O220" s="2095"/>
      <c r="P220" s="1338"/>
      <c r="Q220" s="841" t="s">
        <v>2834</v>
      </c>
      <c r="R220" s="414"/>
    </row>
    <row r="221" spans="1:18" s="66" customFormat="1" ht="10.5" customHeight="1">
      <c r="A221" s="1283" t="s">
        <v>4105</v>
      </c>
      <c r="C221" s="2532" t="str">
        <f>'Part II-Development Team'!$H$14</f>
        <v>Capital View Gateway Senior GP, LLC</v>
      </c>
      <c r="D221" s="2532"/>
      <c r="F221" s="1409">
        <f>'Part II-Development Team'!$L$139</f>
        <v>1E-4</v>
      </c>
      <c r="G221" s="2535" t="str">
        <f>'Part II-Development Team'!$Q$14</f>
        <v>Ken Blankenship</v>
      </c>
      <c r="H221" s="2535"/>
      <c r="I221" s="1332" t="s">
        <v>4227</v>
      </c>
      <c r="J221" s="1333"/>
      <c r="K221" s="1477">
        <f>'Part VI-Revenues &amp; Expenses'!$O$62</f>
        <v>162</v>
      </c>
      <c r="L221" s="2542" t="s">
        <v>3850</v>
      </c>
      <c r="M221" s="1277"/>
      <c r="N221" s="438"/>
      <c r="O221" s="1339"/>
      <c r="P221" s="1339"/>
      <c r="Q221" s="115"/>
      <c r="R221" s="28"/>
    </row>
    <row r="222" spans="1:18" s="66" customFormat="1" ht="10.5" customHeight="1">
      <c r="A222" s="1283" t="s">
        <v>4108</v>
      </c>
      <c r="C222" s="2532">
        <f>'Part II-Development Team'!$H$20</f>
        <v>0</v>
      </c>
      <c r="D222" s="2532"/>
      <c r="F222" s="1409">
        <f>'Part II-Development Team'!$L$140</f>
        <v>0</v>
      </c>
      <c r="G222" s="2535">
        <f>'Part II-Development Team'!$Q$20</f>
        <v>0</v>
      </c>
      <c r="H222" s="2535"/>
      <c r="I222" s="1334" t="s">
        <v>4228</v>
      </c>
      <c r="J222" s="1285"/>
      <c r="K222" s="1286">
        <f>'Part VI-Revenues &amp; Expenses'!$O$81+'Part VI-Revenues &amp; Expenses'!$O$82</f>
        <v>0</v>
      </c>
      <c r="L222" s="2543"/>
      <c r="O222" s="2720" t="s">
        <v>2988</v>
      </c>
      <c r="P222" s="2720"/>
      <c r="Q222" s="115"/>
      <c r="R222" s="28"/>
    </row>
    <row r="223" spans="1:18" s="66" customFormat="1" ht="10.5" customHeight="1">
      <c r="A223" s="1283" t="s">
        <v>4213</v>
      </c>
      <c r="C223" s="2532">
        <f>'Part II-Development Team'!$H$26</f>
        <v>0</v>
      </c>
      <c r="D223" s="2532"/>
      <c r="F223" s="1409">
        <f>'Part II-Development Team'!$L$141</f>
        <v>0</v>
      </c>
      <c r="G223" s="2535">
        <f>'Part II-Development Team'!$Q$26</f>
        <v>0</v>
      </c>
      <c r="H223" s="2535"/>
      <c r="I223" s="1335" t="s">
        <v>4229</v>
      </c>
      <c r="J223" s="1336"/>
      <c r="K223" s="1337">
        <f>'Part VI-Revenues &amp; Expenses'!$O$74</f>
        <v>162</v>
      </c>
      <c r="L223" s="2544"/>
      <c r="M223" s="1329"/>
      <c r="N223" s="438"/>
      <c r="O223" s="2721">
        <f>IF('Part VI-Revenues &amp; Expenses'!$O$62=0,0,'Part VI-Revenues &amp; Expenses'!$O$74/'Part VI-Revenues &amp; Expenses'!$O$62)</f>
        <v>1</v>
      </c>
      <c r="P223" s="2721"/>
      <c r="Q223" s="115"/>
      <c r="R223" s="28"/>
    </row>
    <row r="224" spans="1:18" s="66" customFormat="1" ht="10.5" customHeight="1">
      <c r="A224" s="1328" t="s">
        <v>4214</v>
      </c>
      <c r="C224" s="2532">
        <f>'Part II-Development Team'!$H$80</f>
        <v>0</v>
      </c>
      <c r="D224" s="2532"/>
      <c r="F224" s="1409">
        <f>'Part II-Development Team'!$L$148</f>
        <v>0</v>
      </c>
      <c r="G224" s="2535">
        <f>'Part II-Development Team'!$Q$80</f>
        <v>0</v>
      </c>
      <c r="H224" s="2535"/>
      <c r="I224" s="1284" t="s">
        <v>685</v>
      </c>
      <c r="J224" s="2532" t="str">
        <f>'Part II-Development Team'!$H$54</f>
        <v>Prestwick Development Company, LLC</v>
      </c>
      <c r="K224" s="2532"/>
      <c r="L224" s="1409">
        <f>'Part II-Development Team'!$L$145</f>
        <v>0</v>
      </c>
      <c r="M224" s="2535" t="str">
        <f>'Part II-Development Team'!$Q$54</f>
        <v>Ken Blankenship</v>
      </c>
      <c r="N224" s="2535"/>
      <c r="Q224" s="115"/>
      <c r="R224" s="28"/>
    </row>
    <row r="225" spans="1:18" s="66" customFormat="1" ht="10.5" customHeight="1">
      <c r="A225" s="1284" t="s">
        <v>4217</v>
      </c>
      <c r="C225" s="2532" t="str">
        <f>'Part II-Development Team'!$H$33</f>
        <v>Direct Tax Credits</v>
      </c>
      <c r="D225" s="2532"/>
      <c r="F225" s="1409">
        <f>'Part II-Development Team'!$L$142</f>
        <v>0.99980000000000002</v>
      </c>
      <c r="G225" s="2535" t="str">
        <f>'Part II-Development Team'!$Q$33</f>
        <v>Paul Smith</v>
      </c>
      <c r="H225" s="2535"/>
      <c r="I225" s="1284" t="s">
        <v>3178</v>
      </c>
      <c r="J225" s="2532">
        <f>'Part II-Development Team'!$H$60</f>
        <v>0</v>
      </c>
      <c r="K225" s="2532"/>
      <c r="L225" s="1409">
        <f>'Part II-Development Team'!$L$146</f>
        <v>0</v>
      </c>
      <c r="M225" s="2535">
        <f>'Part II-Development Team'!$Q$60</f>
        <v>0</v>
      </c>
      <c r="N225" s="2535"/>
      <c r="O225" s="438"/>
      <c r="P225" s="438"/>
      <c r="Q225" s="115"/>
      <c r="R225" s="28"/>
    </row>
    <row r="226" spans="1:18" s="66" customFormat="1" ht="10.5" customHeight="1">
      <c r="A226" s="1284" t="s">
        <v>4218</v>
      </c>
      <c r="C226" s="2532" t="str">
        <f>'Part II-Development Team'!$H$39</f>
        <v>Direct Tax Credits</v>
      </c>
      <c r="D226" s="2532"/>
      <c r="F226" s="1409">
        <f>'Part II-Development Team'!$L$143</f>
        <v>1E-4</v>
      </c>
      <c r="G226" s="2535" t="str">
        <f>'Part II-Development Team'!$Q$39</f>
        <v>Paul Smith</v>
      </c>
      <c r="H226" s="2535"/>
      <c r="I226" s="1284" t="s">
        <v>3179</v>
      </c>
      <c r="J226" s="2532">
        <f>'Part II-Development Team'!$H$66</f>
        <v>0</v>
      </c>
      <c r="K226" s="2532"/>
      <c r="L226" s="1409">
        <f>'Part II-Development Team'!$L$147</f>
        <v>0</v>
      </c>
      <c r="M226" s="2535">
        <f>'Part II-Development Team'!$Q$66</f>
        <v>0</v>
      </c>
      <c r="N226" s="2535"/>
      <c r="O226" s="438"/>
      <c r="P226" s="438"/>
      <c r="Q226" s="115"/>
      <c r="R226" s="28"/>
    </row>
    <row r="227" spans="1:18" s="66" customFormat="1" ht="10.5" customHeight="1">
      <c r="A227" s="1328" t="s">
        <v>4216</v>
      </c>
      <c r="C227" s="2532">
        <f>'Part II-Development Team'!$H$46</f>
        <v>0</v>
      </c>
      <c r="D227" s="2532"/>
      <c r="F227" s="1409">
        <f>'Part II-Development Team'!$L$144</f>
        <v>0</v>
      </c>
      <c r="G227" s="2535">
        <f>'Part II-Development Team'!$Q$46</f>
        <v>0</v>
      </c>
      <c r="H227" s="2535"/>
      <c r="I227" s="1284" t="s">
        <v>4215</v>
      </c>
      <c r="J227" s="2532">
        <f>'Part II-Development Team'!$H$72</f>
        <v>0</v>
      </c>
      <c r="K227" s="2532"/>
      <c r="L227" s="1409">
        <f>'Part II-Development Team'!$L$149</f>
        <v>0</v>
      </c>
      <c r="M227" s="2535">
        <f>'Part II-Development Team'!$Q$72</f>
        <v>0</v>
      </c>
      <c r="N227" s="2535"/>
      <c r="O227" s="438"/>
      <c r="P227" s="438"/>
      <c r="Q227" s="115"/>
      <c r="R227" s="28"/>
    </row>
    <row r="228" spans="1:18" s="44" customFormat="1" ht="12" customHeight="1">
      <c r="A228" s="43"/>
      <c r="B228" s="50" t="s">
        <v>268</v>
      </c>
      <c r="C228" s="43"/>
      <c r="D228" s="49"/>
      <c r="E228" s="49"/>
      <c r="F228" s="49"/>
      <c r="G228" s="49"/>
      <c r="H228" s="37"/>
      <c r="I228" s="37"/>
      <c r="J228" s="91" t="s">
        <v>1947</v>
      </c>
      <c r="M228" s="47"/>
      <c r="N228" s="65"/>
      <c r="O228" s="3"/>
      <c r="P228" s="2032"/>
    </row>
    <row r="229" spans="1:18" s="44" customFormat="1" ht="12" customHeight="1">
      <c r="A229" s="2539"/>
      <c r="B229" s="2540"/>
      <c r="C229" s="2540"/>
      <c r="D229" s="2540"/>
      <c r="E229" s="2540"/>
      <c r="F229" s="2540"/>
      <c r="G229" s="2540"/>
      <c r="H229" s="2540"/>
      <c r="I229" s="2541"/>
      <c r="J229" s="2513"/>
      <c r="K229" s="2514"/>
      <c r="L229" s="2514"/>
      <c r="M229" s="2514"/>
      <c r="N229" s="2514"/>
      <c r="O229" s="2514"/>
      <c r="P229" s="2515"/>
      <c r="Q229" s="498" t="s">
        <v>1308</v>
      </c>
    </row>
    <row r="230" spans="1:18" s="44" customFormat="1" ht="2.25" customHeight="1">
      <c r="A230" s="43"/>
      <c r="C230" s="2033"/>
      <c r="D230" s="2033"/>
      <c r="E230" s="2033"/>
      <c r="F230" s="2033"/>
      <c r="G230" s="2033"/>
      <c r="H230" s="2033"/>
      <c r="I230" s="2033"/>
      <c r="J230" s="2033"/>
      <c r="K230" s="2033"/>
      <c r="L230" s="2033"/>
      <c r="M230" s="2033"/>
      <c r="N230" s="79"/>
      <c r="O230" s="75"/>
      <c r="P230" s="1308"/>
    </row>
    <row r="231" spans="1:18" s="44" customFormat="1" ht="13.5" customHeight="1">
      <c r="A231" s="165" t="s">
        <v>1463</v>
      </c>
      <c r="B231" s="120" t="s">
        <v>1742</v>
      </c>
      <c r="D231" s="94"/>
      <c r="E231" s="94"/>
      <c r="G231" s="54"/>
      <c r="H231" s="54"/>
      <c r="I231" s="54"/>
      <c r="J231" s="56"/>
      <c r="K231" s="2051"/>
      <c r="L231" s="414"/>
      <c r="M231" s="1308">
        <v>2</v>
      </c>
      <c r="N231" s="438"/>
      <c r="O231" s="1330">
        <f>MIN($M$231,O232+O239)</f>
        <v>0</v>
      </c>
      <c r="P231" s="1330">
        <f>MIN($M$231,P232+P239)</f>
        <v>0</v>
      </c>
      <c r="Q231" s="115" t="s">
        <v>459</v>
      </c>
    </row>
    <row r="232" spans="1:18" s="44" customFormat="1" ht="13.5" customHeight="1">
      <c r="A232" s="149" t="s">
        <v>2068</v>
      </c>
      <c r="B232" s="121" t="s">
        <v>4221</v>
      </c>
      <c r="D232" s="94"/>
      <c r="E232" s="94"/>
      <c r="G232" s="54"/>
      <c r="H232" s="54"/>
      <c r="I232" s="54"/>
      <c r="J232" s="56"/>
      <c r="K232" s="2051"/>
      <c r="L232" s="414" t="str">
        <f>IF(OR($O232=$M232,$O232=0,$O232=""),"","* * Check Score! * *")</f>
        <v/>
      </c>
      <c r="M232" s="480">
        <v>1</v>
      </c>
      <c r="N232" s="438" t="str">
        <f>IF(OR($O232=$M232,$O232=0,$O232=""),"","***")</f>
        <v/>
      </c>
      <c r="O232" s="2073"/>
      <c r="P232" s="1220"/>
      <c r="Q232" s="115"/>
      <c r="R232" s="430" t="s">
        <v>2834</v>
      </c>
    </row>
    <row r="233" spans="1:18" s="44" customFormat="1" ht="12" customHeight="1">
      <c r="B233" s="41" t="s">
        <v>4219</v>
      </c>
      <c r="D233" s="108"/>
      <c r="E233" s="94"/>
      <c r="F233" s="54"/>
      <c r="G233" s="54"/>
      <c r="H233" s="54"/>
      <c r="I233" s="53"/>
      <c r="N233" s="527" t="s">
        <v>2068</v>
      </c>
      <c r="O233" s="127" t="s">
        <v>2609</v>
      </c>
      <c r="P233" s="127" t="s">
        <v>2609</v>
      </c>
    </row>
    <row r="234" spans="1:18" s="106" customFormat="1" ht="12" customHeight="1">
      <c r="B234" s="486" t="s">
        <v>2072</v>
      </c>
      <c r="C234" s="145" t="s">
        <v>4220</v>
      </c>
      <c r="D234" s="126"/>
      <c r="E234" s="126"/>
      <c r="F234" s="126"/>
      <c r="I234" s="2536" t="s">
        <v>2621</v>
      </c>
      <c r="J234" s="2537"/>
      <c r="K234" s="2538"/>
      <c r="N234" s="486" t="s">
        <v>2072</v>
      </c>
      <c r="O234" s="2084"/>
      <c r="P234" s="700"/>
    </row>
    <row r="235" spans="1:18" s="106" customFormat="1" ht="12" customHeight="1">
      <c r="B235" s="486" t="s">
        <v>2074</v>
      </c>
      <c r="C235" s="145" t="s">
        <v>3160</v>
      </c>
      <c r="D235" s="126"/>
      <c r="E235" s="126"/>
      <c r="F235" s="126"/>
      <c r="G235" s="126"/>
      <c r="M235" s="126"/>
      <c r="N235" s="486" t="s">
        <v>2074</v>
      </c>
      <c r="O235" s="2085"/>
      <c r="P235" s="701"/>
    </row>
    <row r="236" spans="1:18" s="106" customFormat="1" ht="12" customHeight="1">
      <c r="A236" s="149"/>
      <c r="B236" s="486" t="s">
        <v>2634</v>
      </c>
      <c r="C236" s="145" t="s">
        <v>4222</v>
      </c>
      <c r="D236" s="126"/>
      <c r="E236" s="126"/>
      <c r="F236" s="126"/>
      <c r="G236" s="126"/>
      <c r="H236" s="126"/>
      <c r="L236" s="126"/>
      <c r="M236" s="126"/>
      <c r="N236" s="486" t="s">
        <v>2634</v>
      </c>
      <c r="O236" s="2085"/>
      <c r="P236" s="701"/>
    </row>
    <row r="237" spans="1:18" s="106" customFormat="1" ht="12" customHeight="1">
      <c r="A237" s="149"/>
      <c r="B237" s="486" t="s">
        <v>1277</v>
      </c>
      <c r="C237" s="145" t="s">
        <v>4223</v>
      </c>
      <c r="D237" s="126"/>
      <c r="E237" s="126"/>
      <c r="F237" s="126"/>
      <c r="G237" s="126"/>
      <c r="H237" s="126"/>
      <c r="I237" s="126"/>
      <c r="J237" s="126"/>
      <c r="K237" s="126"/>
      <c r="L237" s="126"/>
      <c r="M237" s="126"/>
      <c r="N237" s="486" t="s">
        <v>1277</v>
      </c>
      <c r="O237" s="2086"/>
      <c r="P237" s="702"/>
    </row>
    <row r="238" spans="1:18" s="106" customFormat="1" ht="12" customHeight="1">
      <c r="B238" s="197" t="s">
        <v>4224</v>
      </c>
      <c r="D238" s="126"/>
      <c r="E238" s="126"/>
      <c r="F238" s="126"/>
      <c r="G238" s="126"/>
      <c r="H238" s="126"/>
      <c r="I238" s="126"/>
      <c r="J238" s="126"/>
      <c r="K238" s="126"/>
      <c r="L238" s="126"/>
      <c r="M238" s="126"/>
      <c r="N238" s="527"/>
      <c r="O238" s="527"/>
      <c r="P238" s="527"/>
    </row>
    <row r="239" spans="1:18" ht="11.45" customHeight="1">
      <c r="A239" s="149" t="s">
        <v>2071</v>
      </c>
      <c r="B239" s="195" t="s">
        <v>3026</v>
      </c>
      <c r="D239" s="34"/>
      <c r="G239" s="2621" t="s">
        <v>3981</v>
      </c>
      <c r="H239" s="2621"/>
      <c r="I239" s="2621"/>
      <c r="J239" s="2621"/>
      <c r="K239" s="2621"/>
      <c r="L239" s="414" t="str">
        <f>IF(OR($O239=$M239,$O239=0,$O239=""),"","* * Check Score! * *")</f>
        <v/>
      </c>
      <c r="M239" s="85">
        <v>1</v>
      </c>
      <c r="N239" s="438" t="str">
        <f>IF(OR($O239=$M239,$O239=0,$O239=""),"","***")</f>
        <v/>
      </c>
      <c r="O239" s="2073"/>
      <c r="P239" s="1220"/>
      <c r="Q239" s="115"/>
      <c r="R239" s="430" t="s">
        <v>2834</v>
      </c>
    </row>
    <row r="240" spans="1:18" ht="11.45" customHeight="1">
      <c r="B240" s="490" t="s">
        <v>3028</v>
      </c>
      <c r="E240" s="125"/>
      <c r="N240" s="69" t="s">
        <v>2071</v>
      </c>
      <c r="O240" s="2082"/>
      <c r="P240" s="698"/>
      <c r="Q240" s="430"/>
    </row>
    <row r="241" spans="1:18" ht="11.25" customHeight="1">
      <c r="A241" s="647"/>
      <c r="C241" s="145" t="s">
        <v>4226</v>
      </c>
      <c r="D241" s="1331" t="str">
        <f>'Part I-Project Information'!$F$28</f>
        <v>Atlanta</v>
      </c>
      <c r="F241" s="145" t="s">
        <v>3975</v>
      </c>
      <c r="G241" s="1331" t="str">
        <f>'Part I-Project Information'!$J$29</f>
        <v>Fulton</v>
      </c>
      <c r="H241" s="477" t="s">
        <v>471</v>
      </c>
      <c r="I241" s="489" t="str">
        <f>'Part I-Project Information'!$N$29</f>
        <v>Yes</v>
      </c>
      <c r="K241" s="539" t="s">
        <v>4225</v>
      </c>
      <c r="L241" s="2695" t="str">
        <f>'Part I-Project Information'!$O$28</f>
        <v>66.01</v>
      </c>
      <c r="M241" s="2695"/>
      <c r="N241" s="2695"/>
      <c r="O241" s="2695"/>
      <c r="P241" s="2695"/>
    </row>
    <row r="242" spans="1:18" s="44" customFormat="1" ht="12" customHeight="1">
      <c r="A242" s="43"/>
      <c r="B242" s="50" t="s">
        <v>268</v>
      </c>
      <c r="C242" s="43"/>
      <c r="D242" s="49"/>
      <c r="E242" s="49"/>
      <c r="F242" s="49"/>
      <c r="G242" s="49"/>
      <c r="H242" s="37"/>
      <c r="I242" s="37"/>
      <c r="J242" s="91" t="s">
        <v>1947</v>
      </c>
      <c r="M242" s="47"/>
      <c r="N242" s="65"/>
      <c r="O242" s="3"/>
      <c r="P242" s="2032"/>
    </row>
    <row r="243" spans="1:18" s="44" customFormat="1" ht="12" customHeight="1">
      <c r="A243" s="2539"/>
      <c r="B243" s="2540"/>
      <c r="C243" s="2540"/>
      <c r="D243" s="2540"/>
      <c r="E243" s="2540"/>
      <c r="F243" s="2540"/>
      <c r="G243" s="2540"/>
      <c r="H243" s="2540"/>
      <c r="I243" s="2541"/>
      <c r="J243" s="2513"/>
      <c r="K243" s="2514"/>
      <c r="L243" s="2514"/>
      <c r="M243" s="2514"/>
      <c r="N243" s="2514"/>
      <c r="O243" s="2514"/>
      <c r="P243" s="2515"/>
      <c r="Q243" s="498" t="s">
        <v>1308</v>
      </c>
    </row>
    <row r="244" spans="1:18" ht="4.5" customHeight="1"/>
    <row r="245" spans="1:18" s="44" customFormat="1" ht="15">
      <c r="A245" s="165" t="s">
        <v>1741</v>
      </c>
      <c r="B245" s="120" t="s">
        <v>3068</v>
      </c>
      <c r="D245" s="94"/>
      <c r="E245" s="94"/>
      <c r="F245" s="54"/>
      <c r="G245" s="54"/>
      <c r="H245" s="54"/>
      <c r="I245" s="180" t="s">
        <v>3023</v>
      </c>
      <c r="J245" s="651"/>
      <c r="K245" s="66"/>
      <c r="L245" s="652" t="str">
        <f>'Part I-Project Information'!$H$90</f>
        <v>&lt;&lt;Select Pool&gt;&gt;</v>
      </c>
      <c r="M245" s="3">
        <v>8</v>
      </c>
      <c r="N245" s="6"/>
      <c r="O245" s="68">
        <f>O253+O269+O271</f>
        <v>0</v>
      </c>
      <c r="P245" s="68">
        <f>P253+P269+P271</f>
        <v>0</v>
      </c>
      <c r="Q245" s="115" t="s">
        <v>459</v>
      </c>
    </row>
    <row r="246" spans="1:18" s="44" customFormat="1" ht="11.25" customHeight="1">
      <c r="A246" s="43"/>
      <c r="B246" s="121" t="s">
        <v>3163</v>
      </c>
      <c r="E246" s="94"/>
      <c r="F246" s="54"/>
      <c r="G246" s="54"/>
      <c r="H246" s="54"/>
      <c r="I246" s="54"/>
      <c r="J246" s="56"/>
      <c r="K246" s="63"/>
      <c r="L246" s="59"/>
      <c r="O246" s="127" t="s">
        <v>2609</v>
      </c>
      <c r="P246" s="127" t="s">
        <v>2609</v>
      </c>
    </row>
    <row r="247" spans="1:18" s="106" customFormat="1" ht="11.25" customHeight="1">
      <c r="B247" s="486" t="s">
        <v>2072</v>
      </c>
      <c r="C247" s="481" t="s">
        <v>3067</v>
      </c>
      <c r="E247" s="94"/>
      <c r="F247" s="54"/>
      <c r="G247" s="54"/>
      <c r="H247" s="54"/>
      <c r="I247" s="54"/>
      <c r="J247" s="56"/>
      <c r="K247" s="63"/>
      <c r="L247" s="2626" t="str">
        <f>IF(OR(O247="No",O248="No",O249="No",O250="No",O252="No"),"Unmet criterion results in no points!","")</f>
        <v/>
      </c>
      <c r="N247" s="192" t="s">
        <v>2072</v>
      </c>
      <c r="O247" s="2084"/>
      <c r="P247" s="700"/>
    </row>
    <row r="248" spans="1:18" s="106" customFormat="1" ht="11.25" customHeight="1">
      <c r="B248" s="486" t="s">
        <v>2074</v>
      </c>
      <c r="C248" s="106" t="s">
        <v>594</v>
      </c>
      <c r="L248" s="2626"/>
      <c r="N248" s="192" t="s">
        <v>2074</v>
      </c>
      <c r="O248" s="2085"/>
      <c r="P248" s="701"/>
    </row>
    <row r="249" spans="1:18" s="106" customFormat="1" ht="11.25" customHeight="1">
      <c r="B249" s="486" t="s">
        <v>2634</v>
      </c>
      <c r="C249" s="106" t="s">
        <v>595</v>
      </c>
      <c r="L249" s="2625" t="str">
        <f>IF(OR(P247="No",P248="No",P249="No",P250="No",P252="No"),"Unmet criterion results in no points!","")</f>
        <v/>
      </c>
      <c r="N249" s="192" t="s">
        <v>2634</v>
      </c>
      <c r="O249" s="2086"/>
      <c r="P249" s="702"/>
    </row>
    <row r="250" spans="1:18" s="106" customFormat="1" ht="11.25" customHeight="1">
      <c r="B250" s="486" t="s">
        <v>1277</v>
      </c>
      <c r="C250" s="481" t="s">
        <v>4232</v>
      </c>
      <c r="L250" s="2625"/>
      <c r="N250" s="192" t="s">
        <v>1277</v>
      </c>
      <c r="O250" s="2084"/>
      <c r="P250" s="700"/>
    </row>
    <row r="251" spans="1:18" s="106" customFormat="1" ht="11.25" customHeight="1">
      <c r="B251" s="413" t="s">
        <v>2532</v>
      </c>
      <c r="C251" s="481" t="s">
        <v>4234</v>
      </c>
      <c r="N251" s="192" t="s">
        <v>2532</v>
      </c>
      <c r="O251" s="2085"/>
      <c r="P251" s="701"/>
    </row>
    <row r="252" spans="1:18" s="487" customFormat="1" ht="22.5" customHeight="1">
      <c r="A252" s="1497" t="s">
        <v>3673</v>
      </c>
      <c r="B252" s="429" t="s">
        <v>2533</v>
      </c>
      <c r="C252" s="2563" t="s">
        <v>4233</v>
      </c>
      <c r="D252" s="2563"/>
      <c r="E252" s="2563"/>
      <c r="F252" s="2563"/>
      <c r="G252" s="2563"/>
      <c r="H252" s="2563"/>
      <c r="I252" s="2563"/>
      <c r="J252" s="2563"/>
      <c r="K252" s="2563"/>
      <c r="L252" s="2563"/>
      <c r="M252" s="2563"/>
      <c r="N252" s="431" t="s">
        <v>2533</v>
      </c>
      <c r="O252" s="2092"/>
      <c r="P252" s="705"/>
    </row>
    <row r="253" spans="1:18" s="44" customFormat="1" ht="12" customHeight="1">
      <c r="A253" s="149" t="s">
        <v>2068</v>
      </c>
      <c r="B253" s="197" t="s">
        <v>1924</v>
      </c>
      <c r="D253" s="41"/>
      <c r="E253" s="41"/>
      <c r="F253" s="34"/>
      <c r="G253" s="108"/>
      <c r="H253" s="108"/>
      <c r="I253" s="108"/>
      <c r="J253" s="41"/>
      <c r="K253" s="108"/>
      <c r="L253" s="34"/>
      <c r="M253" s="480">
        <v>4</v>
      </c>
      <c r="N253" s="527" t="s">
        <v>2068</v>
      </c>
      <c r="O253" s="162">
        <f>IF(NOT(OR(O247="No",O248="No",O249="No",O250="No")),IF(AND($L245="Flexible",$I268&gt;=0.15), 4,IF(AND($L245="Flexible",$I268&gt;=0.1), 3,IF(AND($L245="Flexible",$I268&gt;=0.05), 2,IF(AND($L245="Flexible",$I268&gt;=0.02), 1,IF(AND($L245="Rural",$I268&gt;=0.1), 4,IF(AND($L245="Rural",$I268&gt;=0.05), 2,IF(AND($L245="Rural",$I268&gt;=0.02), 1,0))))))),0)</f>
        <v>0</v>
      </c>
      <c r="P253" s="162">
        <f>IF(NOT(OR(P247="No",P248="No",P249="No",P250="No")),IF(AND($L245="Flexible",$L268&gt;=0.15), 4,IF(AND($L245="Flexible",$L268&gt;=0.1), 3,IF(AND($L245="Flexible",$L268&gt;=0.05), 2,IF(AND($L245="Flexible",$L268&gt;=0.02), 1,IF(AND($L245="Rural",$L268&gt;=0.1), 4,IF(AND($L245="Rural",$L268&gt;=0.05), 2,IF(AND($L245="Rural",$L268&gt;=0.02), 1,0))))))),0)</f>
        <v>0</v>
      </c>
    </row>
    <row r="254" spans="1:18" ht="11.25" customHeight="1">
      <c r="B254" s="412" t="s">
        <v>2072</v>
      </c>
      <c r="C254" s="491" t="s">
        <v>4235</v>
      </c>
      <c r="I254" s="2631" t="s">
        <v>2076</v>
      </c>
      <c r="J254" s="2631"/>
      <c r="L254" s="2631" t="s">
        <v>2076</v>
      </c>
      <c r="M254" s="2631"/>
      <c r="N254" s="192"/>
    </row>
    <row r="255" spans="1:18" s="44" customFormat="1" ht="11.25" customHeight="1">
      <c r="A255" s="193"/>
      <c r="B255" s="413" t="s">
        <v>2532</v>
      </c>
      <c r="C255" s="37" t="s">
        <v>1548</v>
      </c>
      <c r="H255" s="413" t="s">
        <v>2532</v>
      </c>
      <c r="I255" s="2608"/>
      <c r="J255" s="2609"/>
      <c r="K255" s="413" t="s">
        <v>2532</v>
      </c>
      <c r="L255" s="2632"/>
      <c r="M255" s="2633"/>
      <c r="N255" s="192"/>
      <c r="O255" s="2024"/>
      <c r="P255" s="2024"/>
      <c r="R255" s="414"/>
    </row>
    <row r="256" spans="1:18" ht="11.25" customHeight="1">
      <c r="A256" s="194"/>
      <c r="B256" s="429" t="s">
        <v>2533</v>
      </c>
      <c r="C256" s="37" t="s">
        <v>4238</v>
      </c>
      <c r="H256" s="429" t="s">
        <v>2533</v>
      </c>
      <c r="I256" s="2606"/>
      <c r="J256" s="2607"/>
      <c r="K256" s="429" t="s">
        <v>2533</v>
      </c>
      <c r="L256" s="2530"/>
      <c r="M256" s="2531"/>
      <c r="N256" s="192"/>
      <c r="R256" s="414"/>
    </row>
    <row r="257" spans="1:18" ht="11.25" customHeight="1">
      <c r="B257" s="413" t="s">
        <v>2534</v>
      </c>
      <c r="C257" s="37" t="s">
        <v>2729</v>
      </c>
      <c r="H257" s="413" t="s">
        <v>2534</v>
      </c>
      <c r="I257" s="2606"/>
      <c r="J257" s="2607"/>
      <c r="K257" s="413" t="s">
        <v>2534</v>
      </c>
      <c r="L257" s="2530"/>
      <c r="M257" s="2531"/>
      <c r="N257" s="192"/>
      <c r="R257" s="414"/>
    </row>
    <row r="258" spans="1:18" ht="11.25" customHeight="1">
      <c r="A258" s="194"/>
      <c r="B258" s="413" t="s">
        <v>2535</v>
      </c>
      <c r="C258" s="37" t="s">
        <v>3865</v>
      </c>
      <c r="H258" s="413" t="s">
        <v>2535</v>
      </c>
      <c r="I258" s="2606"/>
      <c r="J258" s="2607"/>
      <c r="K258" s="413" t="s">
        <v>2535</v>
      </c>
      <c r="L258" s="2530"/>
      <c r="M258" s="2531"/>
      <c r="N258" s="192"/>
      <c r="R258" s="414"/>
    </row>
    <row r="259" spans="1:18" s="44" customFormat="1" ht="11.25" customHeight="1">
      <c r="A259" s="193"/>
      <c r="B259" s="429" t="s">
        <v>2536</v>
      </c>
      <c r="C259" s="37" t="s">
        <v>2867</v>
      </c>
      <c r="H259" s="429" t="s">
        <v>2536</v>
      </c>
      <c r="I259" s="2606"/>
      <c r="J259" s="2607"/>
      <c r="K259" s="429" t="s">
        <v>2536</v>
      </c>
      <c r="L259" s="2530"/>
      <c r="M259" s="2531"/>
      <c r="N259" s="192"/>
      <c r="O259" s="2024"/>
      <c r="P259" s="2024"/>
      <c r="R259" s="414"/>
    </row>
    <row r="260" spans="1:18" ht="11.25" customHeight="1">
      <c r="B260" s="413" t="s">
        <v>2552</v>
      </c>
      <c r="C260" s="37" t="s">
        <v>1547</v>
      </c>
      <c r="H260" s="413" t="s">
        <v>2552</v>
      </c>
      <c r="I260" s="2606"/>
      <c r="J260" s="2607"/>
      <c r="K260" s="413" t="s">
        <v>2552</v>
      </c>
      <c r="L260" s="2530"/>
      <c r="M260" s="2531"/>
      <c r="N260" s="192"/>
      <c r="R260" s="414"/>
    </row>
    <row r="261" spans="1:18" ht="11.25" customHeight="1">
      <c r="A261" s="194"/>
      <c r="B261" s="413" t="s">
        <v>2553</v>
      </c>
      <c r="C261" s="37" t="s">
        <v>4236</v>
      </c>
      <c r="H261" s="413" t="s">
        <v>2553</v>
      </c>
      <c r="I261" s="2606"/>
      <c r="J261" s="2607"/>
      <c r="K261" s="413" t="s">
        <v>2553</v>
      </c>
      <c r="L261" s="2530"/>
      <c r="M261" s="2531"/>
      <c r="N261" s="192"/>
      <c r="R261" s="414"/>
    </row>
    <row r="262" spans="1:18" ht="11.25" customHeight="1">
      <c r="B262" s="428" t="s">
        <v>2554</v>
      </c>
      <c r="C262" s="37" t="s">
        <v>4237</v>
      </c>
      <c r="H262" s="428" t="s">
        <v>2554</v>
      </c>
      <c r="I262" s="2606"/>
      <c r="J262" s="2607"/>
      <c r="K262" s="428" t="s">
        <v>2554</v>
      </c>
      <c r="L262" s="2530"/>
      <c r="M262" s="2531"/>
      <c r="N262" s="192"/>
      <c r="R262" s="414"/>
    </row>
    <row r="263" spans="1:18" ht="11.25" customHeight="1">
      <c r="B263" s="428" t="s">
        <v>2555</v>
      </c>
      <c r="C263" s="37" t="s">
        <v>4239</v>
      </c>
      <c r="H263" s="428" t="s">
        <v>2555</v>
      </c>
      <c r="I263" s="2606"/>
      <c r="J263" s="2607"/>
      <c r="K263" s="428" t="s">
        <v>2555</v>
      </c>
      <c r="L263" s="2530"/>
      <c r="M263" s="2531"/>
      <c r="N263" s="192"/>
      <c r="R263" s="414"/>
    </row>
    <row r="264" spans="1:18" ht="11.25" customHeight="1" thickBot="1">
      <c r="A264" s="194"/>
      <c r="B264" s="428" t="s">
        <v>4240</v>
      </c>
      <c r="C264" s="37" t="s">
        <v>4241</v>
      </c>
      <c r="H264" s="428" t="s">
        <v>4240</v>
      </c>
      <c r="I264" s="2606"/>
      <c r="J264" s="2607"/>
      <c r="K264" s="428" t="s">
        <v>4240</v>
      </c>
      <c r="L264" s="2530"/>
      <c r="M264" s="2531"/>
      <c r="N264" s="1341" t="s">
        <v>4242</v>
      </c>
      <c r="R264" s="414"/>
    </row>
    <row r="265" spans="1:18" ht="12" customHeight="1" thickBot="1">
      <c r="A265" s="194"/>
      <c r="B265" s="486"/>
      <c r="C265" s="483" t="s">
        <v>2731</v>
      </c>
      <c r="H265" s="57"/>
      <c r="I265" s="2505">
        <f>SUM(I255:J264)</f>
        <v>0</v>
      </c>
      <c r="J265" s="2506"/>
      <c r="L265" s="2505">
        <f>SUM($L255:$L264)</f>
        <v>0</v>
      </c>
      <c r="M265" s="2506"/>
      <c r="N265" s="192"/>
      <c r="R265" s="414"/>
    </row>
    <row r="266" spans="1:18" s="44" customFormat="1" ht="3" customHeight="1">
      <c r="A266" s="43"/>
      <c r="B266" s="117"/>
      <c r="D266" s="40"/>
      <c r="E266" s="37"/>
      <c r="F266" s="1308"/>
      <c r="G266" s="2630" t="str">
        <f>IF(OR(I264=0,I264="",$I$267=0),"",IF(I264/$I$267&lt;10%,"Check amount of conventional loan in (j) - must be at least 10% of TDC!",""))</f>
        <v/>
      </c>
      <c r="H266" s="2630"/>
      <c r="I266" s="2630"/>
      <c r="J266" s="2630"/>
      <c r="K266" s="2630"/>
      <c r="L266" s="2518" t="str">
        <f>IF(OR(L264=0,L264="",$I$267=0),"",IF(L264/$I$267&lt;10%,"Check amount of conventional loan in (j) - must be at least 10% of TDC!",""))</f>
        <v/>
      </c>
      <c r="M266" s="2518"/>
      <c r="N266" s="2518"/>
      <c r="O266" s="2518"/>
      <c r="P266" s="2518"/>
    </row>
    <row r="267" spans="1:18" ht="12" customHeight="1">
      <c r="B267" s="412" t="s">
        <v>2074</v>
      </c>
      <c r="C267" s="491" t="s">
        <v>2730</v>
      </c>
      <c r="D267" s="483" t="s">
        <v>2732</v>
      </c>
      <c r="I267" s="2619">
        <f>'Part IV-Uses of Funds'!$G$131</f>
        <v>23748176.5</v>
      </c>
      <c r="J267" s="2620"/>
      <c r="L267" s="2518"/>
      <c r="M267" s="2518"/>
      <c r="N267" s="2518"/>
      <c r="O267" s="2518"/>
      <c r="P267" s="2518"/>
    </row>
    <row r="268" spans="1:18" ht="12" customHeight="1">
      <c r="B268" s="192"/>
      <c r="C268" s="482"/>
      <c r="D268" s="489" t="s">
        <v>2733</v>
      </c>
      <c r="G268" s="1287"/>
      <c r="H268" s="1287"/>
      <c r="I268" s="2732">
        <f>IF($I267=0,0,$I265/$I267)</f>
        <v>0</v>
      </c>
      <c r="J268" s="2733"/>
      <c r="L268" s="2610">
        <f>IF($I267=0,0,$L265/$I267)</f>
        <v>0</v>
      </c>
      <c r="M268" s="2611"/>
      <c r="N268" s="28"/>
      <c r="O268" s="28"/>
      <c r="P268" s="28"/>
    </row>
    <row r="269" spans="1:18" s="44" customFormat="1" ht="12.75" customHeight="1">
      <c r="A269" s="149" t="s">
        <v>2071</v>
      </c>
      <c r="B269" s="197" t="s">
        <v>4243</v>
      </c>
      <c r="D269" s="40"/>
      <c r="E269" s="37"/>
      <c r="F269" s="1308"/>
      <c r="H269" s="37"/>
      <c r="I269" s="1308"/>
      <c r="J269" s="1344"/>
      <c r="K269" s="1344"/>
      <c r="L269" s="1344"/>
      <c r="M269" s="77">
        <v>2</v>
      </c>
      <c r="N269" s="527" t="s">
        <v>2071</v>
      </c>
      <c r="O269" s="2096"/>
      <c r="P269" s="692"/>
      <c r="Q269" s="430" t="s">
        <v>2834</v>
      </c>
    </row>
    <row r="270" spans="1:18" s="44" customFormat="1" ht="11.25" customHeight="1">
      <c r="A270" s="149"/>
      <c r="B270" s="54" t="s">
        <v>4244</v>
      </c>
      <c r="C270" s="54"/>
      <c r="D270" s="54"/>
      <c r="E270" s="54"/>
      <c r="F270" s="54"/>
      <c r="G270" s="54"/>
      <c r="H270" s="54"/>
      <c r="I270" s="54"/>
      <c r="J270" s="54"/>
      <c r="K270" s="54"/>
      <c r="L270" s="54"/>
      <c r="M270" s="54"/>
      <c r="N270" s="54"/>
      <c r="O270" s="2086"/>
      <c r="P270" s="702"/>
    </row>
    <row r="271" spans="1:18" s="44" customFormat="1" ht="12.75" customHeight="1">
      <c r="A271" s="149" t="s">
        <v>786</v>
      </c>
      <c r="B271" s="197" t="s">
        <v>673</v>
      </c>
      <c r="D271" s="40"/>
      <c r="E271" s="37"/>
      <c r="F271" s="1308"/>
      <c r="G271" s="1308"/>
      <c r="H271" s="1308"/>
      <c r="I271" s="1308"/>
      <c r="J271" s="1344"/>
      <c r="K271" s="1344"/>
      <c r="L271" s="1344"/>
      <c r="M271" s="480">
        <v>2</v>
      </c>
      <c r="N271" s="527" t="s">
        <v>786</v>
      </c>
      <c r="O271" s="162">
        <f>IF(NOT(OR(O247="No",O248="No",O249="No",O250="No")),IF(AND($L245="Flexible",$I278&gt;=0.1), 2,IF(AND($L245="Flexible",$I278&gt;=0.05,$I$274="No"), 1,IF(AND($L245="Rural",$I278&gt;=0.05,$I$274="No"), 2,0))),0)</f>
        <v>0</v>
      </c>
      <c r="P271" s="162">
        <f>IF(NOT(OR(P247="No",P248="No",P249="No",P250="No")),IF(AND($L245="Flexible",$L278&gt;=0.1), 2,IF(AND($L245="Flexible",$L278&gt;=0.05), 1,IF(AND($L245="Rural",$L278&gt;=0.05), 2,0))),0)</f>
        <v>0</v>
      </c>
      <c r="R271" s="414" t="str">
        <f>IF(OR($O271=$M271,$O271=0,$O271=""),"","* * Check Score! * *")</f>
        <v/>
      </c>
    </row>
    <row r="272" spans="1:18" s="44" customFormat="1" ht="11.25" customHeight="1">
      <c r="A272" s="193"/>
      <c r="B272" s="37" t="s">
        <v>3083</v>
      </c>
      <c r="I272" s="2622"/>
      <c r="J272" s="2623"/>
      <c r="K272" s="2623"/>
      <c r="L272" s="2623"/>
      <c r="M272" s="2623"/>
      <c r="N272" s="2624"/>
    </row>
    <row r="273" spans="1:18" s="44" customFormat="1" ht="11.25" customHeight="1">
      <c r="A273" s="193"/>
      <c r="B273" s="539" t="s">
        <v>4246</v>
      </c>
      <c r="I273" s="2627" t="s">
        <v>3069</v>
      </c>
      <c r="J273" s="2628"/>
      <c r="K273" s="2629"/>
    </row>
    <row r="274" spans="1:18" ht="11.25" customHeight="1">
      <c r="A274" s="194"/>
      <c r="B274" s="539" t="s">
        <v>4342</v>
      </c>
      <c r="F274" s="2097"/>
      <c r="G274" s="2097"/>
      <c r="H274" s="2097"/>
      <c r="I274" s="2098"/>
      <c r="K274" s="2097"/>
      <c r="L274" s="2097"/>
      <c r="M274" s="2097"/>
      <c r="N274" s="2097"/>
      <c r="O274" s="2097"/>
      <c r="P274" s="2097"/>
    </row>
    <row r="275" spans="1:18" ht="11.25" customHeight="1">
      <c r="A275" s="194"/>
      <c r="B275" s="432" t="s">
        <v>4245</v>
      </c>
      <c r="G275" s="432"/>
      <c r="I275" s="2099"/>
      <c r="J275" s="2100"/>
      <c r="K275" s="2097"/>
      <c r="L275" s="2097"/>
      <c r="M275" s="2097"/>
      <c r="N275" s="2097"/>
      <c r="O275" s="2097"/>
      <c r="P275" s="2097"/>
    </row>
    <row r="276" spans="1:18" ht="22.5" customHeight="1">
      <c r="A276" s="194"/>
      <c r="B276" s="2462" t="s">
        <v>2449</v>
      </c>
      <c r="C276" s="2462"/>
      <c r="D276" s="2734"/>
      <c r="E276" s="2735"/>
      <c r="F276" s="2735"/>
      <c r="G276" s="2735"/>
      <c r="H276" s="2735"/>
      <c r="I276" s="2735"/>
      <c r="J276" s="2735"/>
      <c r="K276" s="2735"/>
      <c r="L276" s="2735"/>
      <c r="M276" s="2735"/>
      <c r="N276" s="2735"/>
      <c r="O276" s="2735"/>
      <c r="P276" s="2736"/>
    </row>
    <row r="277" spans="1:18" ht="11.25" customHeight="1">
      <c r="B277" s="37" t="s">
        <v>3851</v>
      </c>
      <c r="E277" s="484"/>
      <c r="I277" s="2616"/>
      <c r="J277" s="2617"/>
      <c r="L277" s="2503"/>
      <c r="M277" s="2504"/>
      <c r="N277" s="28"/>
      <c r="O277" s="28"/>
    </row>
    <row r="278" spans="1:18" s="44" customFormat="1" ht="11.25" customHeight="1">
      <c r="A278" s="43"/>
      <c r="C278" s="37" t="s">
        <v>3852</v>
      </c>
      <c r="D278" s="2033"/>
      <c r="E278" s="2033"/>
      <c r="F278" s="2033"/>
      <c r="G278" s="2033"/>
      <c r="H278" s="2033"/>
      <c r="I278" s="2610">
        <f>IF($I277=0,0,$I277/$I267)</f>
        <v>0</v>
      </c>
      <c r="J278" s="2611"/>
      <c r="K278" s="2033"/>
      <c r="L278" s="2610">
        <f>IF($L277=0,0,$L277/$I267)</f>
        <v>0</v>
      </c>
      <c r="M278" s="2611"/>
      <c r="N278" s="79"/>
      <c r="O278" s="75"/>
      <c r="P278" s="1308"/>
    </row>
    <row r="279" spans="1:18" s="44" customFormat="1" ht="12" customHeight="1">
      <c r="A279" s="43"/>
      <c r="B279" s="50" t="s">
        <v>268</v>
      </c>
      <c r="C279" s="43"/>
      <c r="D279" s="49"/>
      <c r="E279" s="49"/>
      <c r="F279" s="49"/>
      <c r="G279" s="49"/>
      <c r="H279" s="37"/>
      <c r="I279" s="37"/>
      <c r="J279" s="37"/>
      <c r="K279" s="37"/>
      <c r="M279" s="47"/>
      <c r="N279" s="65"/>
      <c r="O279" s="3"/>
      <c r="P279" s="2032"/>
    </row>
    <row r="280" spans="1:18" s="44" customFormat="1" ht="12" customHeight="1">
      <c r="A280" s="2539"/>
      <c r="B280" s="2540"/>
      <c r="C280" s="2540"/>
      <c r="D280" s="2540"/>
      <c r="E280" s="2540"/>
      <c r="F280" s="2540"/>
      <c r="G280" s="2540"/>
      <c r="H280" s="2540"/>
      <c r="I280" s="2540"/>
      <c r="J280" s="2540"/>
      <c r="K280" s="2540"/>
      <c r="L280" s="2540"/>
      <c r="M280" s="2540"/>
      <c r="N280" s="2540"/>
      <c r="O280" s="2540"/>
      <c r="P280" s="2541"/>
      <c r="Q280" s="498" t="s">
        <v>1308</v>
      </c>
    </row>
    <row r="281" spans="1:18" s="108" customFormat="1" ht="12" customHeight="1">
      <c r="A281" s="43"/>
      <c r="B281" s="103" t="s">
        <v>1947</v>
      </c>
      <c r="C281" s="104"/>
      <c r="D281" s="103"/>
      <c r="E281" s="198"/>
      <c r="F281" s="2034"/>
      <c r="G281" s="2034"/>
      <c r="H281" s="2034"/>
      <c r="I281" s="2034"/>
      <c r="J281" s="2034"/>
      <c r="K281" s="2034"/>
      <c r="L281" s="2034"/>
      <c r="M281" s="2034"/>
      <c r="N281" s="99"/>
      <c r="O281" s="1279"/>
      <c r="P281" s="2028"/>
      <c r="Q281" s="474"/>
    </row>
    <row r="282" spans="1:18" s="44" customFormat="1" ht="12" customHeight="1">
      <c r="A282" s="2513"/>
      <c r="B282" s="2514"/>
      <c r="C282" s="2514"/>
      <c r="D282" s="2514"/>
      <c r="E282" s="2514"/>
      <c r="F282" s="2514"/>
      <c r="G282" s="2514"/>
      <c r="H282" s="2514"/>
      <c r="I282" s="2514"/>
      <c r="J282" s="2514"/>
      <c r="K282" s="2514"/>
      <c r="L282" s="2514"/>
      <c r="M282" s="2514"/>
      <c r="N282" s="2514"/>
      <c r="O282" s="2514"/>
      <c r="P282" s="2515"/>
      <c r="Q282" s="498" t="s">
        <v>1308</v>
      </c>
    </row>
    <row r="283" spans="1:18" ht="3" customHeight="1"/>
    <row r="284" spans="1:18" s="44" customFormat="1" ht="15">
      <c r="A284" s="165" t="s">
        <v>1743</v>
      </c>
      <c r="B284" s="111" t="s">
        <v>3753</v>
      </c>
      <c r="C284" s="70"/>
      <c r="E284" s="42"/>
      <c r="G284" s="180" t="s">
        <v>3023</v>
      </c>
      <c r="I284" s="709" t="str">
        <f>'Part I-Project Information'!$H$90</f>
        <v>&lt;&lt;Select Pool&gt;&gt;</v>
      </c>
      <c r="J284" s="49"/>
      <c r="K284" s="49"/>
      <c r="L284" s="414" t="str">
        <f>IF(OR($O284=$M284,$O284=0,$O284=""),"","* * Check Score! * *")</f>
        <v/>
      </c>
      <c r="M284" s="2028">
        <v>3</v>
      </c>
      <c r="N284" s="108"/>
      <c r="O284" s="47"/>
      <c r="P284" s="696"/>
      <c r="Q284" s="115" t="s">
        <v>459</v>
      </c>
      <c r="R284" s="414"/>
    </row>
    <row r="285" spans="1:18" s="44" customFormat="1" ht="12" customHeight="1">
      <c r="A285" s="149" t="s">
        <v>2068</v>
      </c>
      <c r="B285" s="180" t="s">
        <v>2868</v>
      </c>
      <c r="D285" s="34"/>
      <c r="G285" s="57" t="s">
        <v>2444</v>
      </c>
      <c r="M285" s="77">
        <v>3</v>
      </c>
      <c r="N285" s="527" t="s">
        <v>2068</v>
      </c>
      <c r="O285" s="2082"/>
      <c r="P285" s="698"/>
      <c r="R285" s="414"/>
    </row>
    <row r="286" spans="1:18" s="44" customFormat="1" ht="12" customHeight="1">
      <c r="A286" s="149" t="s">
        <v>2071</v>
      </c>
      <c r="B286" s="180" t="s">
        <v>3754</v>
      </c>
      <c r="D286" s="34"/>
      <c r="F286" s="428"/>
      <c r="G286" s="57" t="s">
        <v>4467</v>
      </c>
      <c r="I286" s="2521" t="s">
        <v>4258</v>
      </c>
      <c r="J286" s="2522"/>
      <c r="K286" s="2522"/>
      <c r="L286" s="2523"/>
      <c r="O286" s="2738" t="s">
        <v>4259</v>
      </c>
      <c r="P286" s="2738"/>
      <c r="R286" s="414"/>
    </row>
    <row r="287" spans="1:18" s="44" customFormat="1" ht="13.5" customHeight="1">
      <c r="A287" s="473" t="s">
        <v>786</v>
      </c>
      <c r="B287" s="922" t="s">
        <v>4247</v>
      </c>
      <c r="C287" s="474"/>
      <c r="D287" s="476"/>
      <c r="E287" s="476"/>
      <c r="F287" s="34"/>
      <c r="L287" s="1346" t="s">
        <v>4254</v>
      </c>
      <c r="O287" s="2739"/>
      <c r="P287" s="2739"/>
      <c r="R287" s="414"/>
    </row>
    <row r="288" spans="1:18" s="108" customFormat="1" ht="10.5" customHeight="1">
      <c r="A288" s="149"/>
      <c r="B288" s="412" t="s">
        <v>2072</v>
      </c>
      <c r="C288" s="37" t="s">
        <v>4248</v>
      </c>
      <c r="D288" s="34"/>
      <c r="F288" s="34"/>
      <c r="H288" s="37"/>
      <c r="L288" s="486" t="s">
        <v>4255</v>
      </c>
      <c r="N288" s="527" t="s">
        <v>786</v>
      </c>
      <c r="O288" s="192" t="s">
        <v>2072</v>
      </c>
      <c r="P288" s="700"/>
      <c r="R288" s="414"/>
    </row>
    <row r="289" spans="1:18" s="108" customFormat="1" ht="10.5" customHeight="1">
      <c r="A289" s="149"/>
      <c r="B289" s="412" t="s">
        <v>2074</v>
      </c>
      <c r="C289" s="37" t="s">
        <v>4249</v>
      </c>
      <c r="D289" s="34"/>
      <c r="F289" s="34"/>
      <c r="H289" s="37"/>
      <c r="L289" s="486" t="s">
        <v>4255</v>
      </c>
      <c r="O289" s="192" t="s">
        <v>2074</v>
      </c>
      <c r="P289" s="701"/>
      <c r="R289" s="414"/>
    </row>
    <row r="290" spans="1:18" s="108" customFormat="1" ht="10.5" customHeight="1">
      <c r="A290" s="149"/>
      <c r="B290" s="412" t="s">
        <v>2634</v>
      </c>
      <c r="C290" s="37" t="s">
        <v>4250</v>
      </c>
      <c r="D290" s="34"/>
      <c r="F290" s="34"/>
      <c r="H290" s="37"/>
      <c r="L290" s="486" t="s">
        <v>4256</v>
      </c>
      <c r="O290" s="192" t="s">
        <v>2634</v>
      </c>
      <c r="P290" s="701"/>
      <c r="R290" s="414"/>
    </row>
    <row r="291" spans="1:18" s="108" customFormat="1" ht="10.5" customHeight="1">
      <c r="A291" s="149"/>
      <c r="B291" s="412" t="s">
        <v>1277</v>
      </c>
      <c r="C291" s="37" t="s">
        <v>4251</v>
      </c>
      <c r="D291" s="34"/>
      <c r="F291" s="34"/>
      <c r="H291" s="37"/>
      <c r="L291" s="486" t="s">
        <v>4256</v>
      </c>
      <c r="O291" s="192" t="s">
        <v>1277</v>
      </c>
      <c r="P291" s="701"/>
      <c r="R291" s="414"/>
    </row>
    <row r="292" spans="1:18" s="108" customFormat="1" ht="10.5" customHeight="1">
      <c r="A292" s="149"/>
      <c r="B292" s="412" t="s">
        <v>1278</v>
      </c>
      <c r="C292" s="37" t="s">
        <v>4252</v>
      </c>
      <c r="D292" s="34"/>
      <c r="F292" s="34"/>
      <c r="H292" s="37"/>
      <c r="L292" s="486" t="s">
        <v>4256</v>
      </c>
      <c r="O292" s="192" t="s">
        <v>1278</v>
      </c>
      <c r="P292" s="701"/>
      <c r="R292" s="414"/>
    </row>
    <row r="293" spans="1:18" s="459" customFormat="1" ht="10.5" customHeight="1" thickBot="1">
      <c r="A293" s="154"/>
      <c r="B293" s="492" t="s">
        <v>1965</v>
      </c>
      <c r="C293" s="432" t="s">
        <v>4253</v>
      </c>
      <c r="D293" s="432"/>
      <c r="E293" s="432"/>
      <c r="F293" s="432"/>
      <c r="G293" s="432"/>
      <c r="H293" s="432"/>
      <c r="I293" s="432"/>
      <c r="J293" s="432"/>
      <c r="K293" s="432"/>
      <c r="L293" s="1347" t="s">
        <v>4256</v>
      </c>
      <c r="O293" s="431" t="s">
        <v>1965</v>
      </c>
      <c r="P293" s="704"/>
      <c r="R293" s="650"/>
    </row>
    <row r="294" spans="1:18" s="44" customFormat="1" ht="12" customHeight="1" thickBot="1">
      <c r="B294" s="103" t="s">
        <v>1947</v>
      </c>
      <c r="C294" s="57"/>
      <c r="D294" s="34"/>
      <c r="F294" s="34"/>
      <c r="H294" s="57"/>
      <c r="L294" s="486" t="s">
        <v>4257</v>
      </c>
      <c r="O294" s="839" t="s">
        <v>3755</v>
      </c>
      <c r="P294" s="1264">
        <f>SUM(P288:P293)</f>
        <v>0</v>
      </c>
      <c r="R294" s="414"/>
    </row>
    <row r="295" spans="1:18" s="44" customFormat="1" ht="24" customHeight="1">
      <c r="A295" s="2513"/>
      <c r="B295" s="2514"/>
      <c r="C295" s="2514"/>
      <c r="D295" s="2514"/>
      <c r="E295" s="2514"/>
      <c r="F295" s="2514"/>
      <c r="G295" s="2514"/>
      <c r="H295" s="2514"/>
      <c r="I295" s="2514"/>
      <c r="J295" s="2514"/>
      <c r="K295" s="2514"/>
      <c r="L295" s="2514"/>
      <c r="M295" s="2514"/>
      <c r="N295" s="2514"/>
      <c r="O295" s="2514"/>
      <c r="P295" s="2515"/>
      <c r="Q295" s="498" t="s">
        <v>1308</v>
      </c>
    </row>
    <row r="296" spans="1:18" s="44" customFormat="1" ht="3" customHeight="1">
      <c r="A296" s="43"/>
      <c r="B296" s="43"/>
      <c r="C296" s="2033"/>
      <c r="D296" s="2033"/>
      <c r="E296" s="2033"/>
      <c r="F296" s="2033"/>
      <c r="G296" s="2033"/>
      <c r="H296" s="2033"/>
      <c r="I296" s="2033"/>
      <c r="J296" s="2033"/>
      <c r="K296" s="2033"/>
      <c r="L296" s="2033"/>
      <c r="M296" s="2033"/>
      <c r="N296" s="79"/>
      <c r="O296" s="75"/>
      <c r="P296" s="1308"/>
    </row>
    <row r="297" spans="1:18" s="44" customFormat="1" ht="15">
      <c r="A297" s="166" t="s">
        <v>1744</v>
      </c>
      <c r="B297" s="119" t="s">
        <v>2849</v>
      </c>
      <c r="C297" s="93"/>
      <c r="D297" s="61"/>
      <c r="E297" s="54"/>
      <c r="J297" s="64"/>
      <c r="M297" s="2028">
        <v>3</v>
      </c>
      <c r="N297" s="6"/>
      <c r="O297" s="68">
        <f>MIN($M297,O298+O303)</f>
        <v>0</v>
      </c>
      <c r="P297" s="81">
        <f>MIN($M297,P298+P303)</f>
        <v>0</v>
      </c>
      <c r="Q297" s="115" t="s">
        <v>459</v>
      </c>
    </row>
    <row r="298" spans="1:18" s="44" customFormat="1" ht="12" customHeight="1">
      <c r="A298" s="149" t="s">
        <v>2068</v>
      </c>
      <c r="B298" s="180" t="s">
        <v>4324</v>
      </c>
      <c r="D298" s="34"/>
      <c r="E298" s="34"/>
      <c r="F298" s="34"/>
      <c r="H298" s="1207" t="s">
        <v>4325</v>
      </c>
      <c r="I298" s="938">
        <f>IF('Part VI-Revenues &amp; Expenses'!$O$62=0,0,'Part VI-Revenues &amp; Expenses'!$O$66/'Part VI-Revenues &amp; Expenses'!$O$62)</f>
        <v>1</v>
      </c>
      <c r="K298" s="527" t="s">
        <v>4322</v>
      </c>
      <c r="L298" s="938">
        <f>IF('Part VI-Revenues &amp; Expenses'!$O$58=0,0,'Part VI-Revenues &amp; Expenses'!$K$58/'Part VI-Revenues &amp; Expenses'!$O$58)</f>
        <v>0.85802469135802473</v>
      </c>
      <c r="M298" s="6">
        <v>2</v>
      </c>
      <c r="N298" s="527" t="s">
        <v>2068</v>
      </c>
      <c r="O298" s="1348">
        <f>IF(AND(I298&lt;=10%,L298&gt;=10%,O299="Agree",O300="Yes",O301="Yes"),$M$298,0)</f>
        <v>0</v>
      </c>
      <c r="P298" s="1348">
        <f>IF(AND(P299="Agree",P300="Yes",P301="Yes"),$M$298,0)</f>
        <v>0</v>
      </c>
      <c r="Q298" s="430"/>
      <c r="R298" s="115"/>
    </row>
    <row r="299" spans="1:18" s="459" customFormat="1" ht="22.5" customHeight="1">
      <c r="A299" s="154"/>
      <c r="B299" s="492" t="s">
        <v>2072</v>
      </c>
      <c r="C299" s="2462" t="s">
        <v>4323</v>
      </c>
      <c r="D299" s="2462"/>
      <c r="E299" s="2462"/>
      <c r="F299" s="2462"/>
      <c r="G299" s="2462"/>
      <c r="H299" s="2462"/>
      <c r="I299" s="2462"/>
      <c r="J299" s="2462"/>
      <c r="K299" s="2462"/>
      <c r="L299" s="2462"/>
      <c r="M299" s="840"/>
      <c r="N299" s="431" t="s">
        <v>2072</v>
      </c>
      <c r="O299" s="2093"/>
      <c r="P299" s="703"/>
      <c r="Q299" s="657"/>
      <c r="R299" s="650"/>
    </row>
    <row r="300" spans="1:18" s="487" customFormat="1" ht="11.25" customHeight="1">
      <c r="A300" s="689"/>
      <c r="B300" s="492" t="s">
        <v>2074</v>
      </c>
      <c r="C300" s="2453" t="s">
        <v>3756</v>
      </c>
      <c r="D300" s="2453"/>
      <c r="E300" s="2453"/>
      <c r="F300" s="2453"/>
      <c r="G300" s="2453"/>
      <c r="H300" s="2453"/>
      <c r="I300" s="2453"/>
      <c r="J300" s="2453"/>
      <c r="K300" s="2453"/>
      <c r="L300" s="2453"/>
      <c r="M300" s="2453"/>
      <c r="N300" s="431" t="s">
        <v>2074</v>
      </c>
      <c r="O300" s="2085"/>
      <c r="P300" s="701"/>
    </row>
    <row r="301" spans="1:18" s="487" customFormat="1" ht="11.25" customHeight="1">
      <c r="A301" s="689"/>
      <c r="B301" s="492" t="s">
        <v>2634</v>
      </c>
      <c r="C301" s="2453" t="s">
        <v>4260</v>
      </c>
      <c r="D301" s="2453"/>
      <c r="E301" s="2453"/>
      <c r="F301" s="2453"/>
      <c r="G301" s="2453"/>
      <c r="H301" s="2453"/>
      <c r="I301" s="2453"/>
      <c r="J301" s="2453"/>
      <c r="K301" s="2453"/>
      <c r="L301" s="2453"/>
      <c r="M301" s="2453"/>
      <c r="N301" s="431" t="s">
        <v>2634</v>
      </c>
      <c r="O301" s="2086"/>
      <c r="P301" s="702"/>
    </row>
    <row r="302" spans="1:18" s="487" customFormat="1" ht="3" customHeight="1">
      <c r="B302" s="543"/>
      <c r="C302" s="2038"/>
      <c r="D302" s="2038"/>
      <c r="E302" s="2038"/>
      <c r="F302" s="2038"/>
      <c r="G302" s="2038"/>
      <c r="H302" s="2038"/>
      <c r="M302" s="2038"/>
      <c r="N302" s="2038"/>
      <c r="O302" s="2038"/>
      <c r="P302" s="2038"/>
    </row>
    <row r="303" spans="1:18" s="44" customFormat="1" ht="12" customHeight="1">
      <c r="A303" s="149" t="s">
        <v>2071</v>
      </c>
      <c r="B303" s="180" t="s">
        <v>2850</v>
      </c>
      <c r="D303" s="41"/>
      <c r="G303" s="37"/>
      <c r="M303" s="6">
        <v>3</v>
      </c>
      <c r="N303" s="527" t="s">
        <v>2071</v>
      </c>
      <c r="O303" s="1411">
        <f>IF(AND(O304="Agree",O306="Agree",$M$306&gt;=15%),$M$303,0)</f>
        <v>0</v>
      </c>
      <c r="P303" s="1411">
        <f>IF(AND(P304="Agree",P306="Agree",$M$306&gt;=15%),$M$303,0)</f>
        <v>0</v>
      </c>
      <c r="Q303" s="430"/>
      <c r="R303" s="414"/>
    </row>
    <row r="304" spans="1:18" s="459" customFormat="1" ht="33" customHeight="1">
      <c r="A304" s="154"/>
      <c r="B304" s="492" t="s">
        <v>2072</v>
      </c>
      <c r="C304" s="2462" t="s">
        <v>3866</v>
      </c>
      <c r="D304" s="2462"/>
      <c r="E304" s="2462"/>
      <c r="F304" s="2462"/>
      <c r="G304" s="2462"/>
      <c r="H304" s="2462"/>
      <c r="I304" s="2462"/>
      <c r="J304" s="2462"/>
      <c r="K304" s="2462"/>
      <c r="L304" s="2462"/>
      <c r="M304" s="840"/>
      <c r="N304" s="431" t="s">
        <v>2072</v>
      </c>
      <c r="O304" s="2083"/>
      <c r="P304" s="699"/>
      <c r="Q304" s="657"/>
      <c r="R304" s="650"/>
    </row>
    <row r="305" spans="1:19" s="459" customFormat="1" ht="11.25" customHeight="1">
      <c r="A305" s="154"/>
      <c r="B305" s="492"/>
      <c r="C305" s="542" t="s">
        <v>4344</v>
      </c>
      <c r="D305" s="2040"/>
      <c r="E305" s="2040"/>
      <c r="F305" s="2040"/>
      <c r="G305" s="2524"/>
      <c r="H305" s="2525"/>
      <c r="I305" s="2525"/>
      <c r="J305" s="2526"/>
      <c r="K305" s="2040" t="s">
        <v>4345</v>
      </c>
      <c r="L305" s="2101"/>
      <c r="M305" s="840"/>
      <c r="N305" s="431"/>
      <c r="O305" s="431"/>
      <c r="P305" s="431"/>
      <c r="Q305" s="657"/>
      <c r="R305" s="650"/>
    </row>
    <row r="306" spans="1:19" s="487" customFormat="1" ht="11.25" customHeight="1">
      <c r="A306" s="689"/>
      <c r="B306" s="492" t="s">
        <v>2074</v>
      </c>
      <c r="C306" s="432" t="s">
        <v>3757</v>
      </c>
      <c r="D306" s="432"/>
      <c r="E306" s="432"/>
      <c r="F306" s="432"/>
      <c r="G306" s="432"/>
      <c r="H306" s="432"/>
      <c r="I306" s="432"/>
      <c r="J306" s="432" t="s">
        <v>4343</v>
      </c>
      <c r="K306" s="432"/>
      <c r="L306" s="2102">
        <v>0</v>
      </c>
      <c r="M306" s="1410">
        <f>IF('Part VI-Revenues &amp; Expenses'!$O$62=0,0,L306/'Part VI-Revenues &amp; Expenses'!$O$62)</f>
        <v>0</v>
      </c>
      <c r="N306" s="431" t="s">
        <v>2074</v>
      </c>
      <c r="O306" s="2083"/>
      <c r="P306" s="699"/>
    </row>
    <row r="307" spans="1:19" s="44" customFormat="1" ht="10.5" customHeight="1">
      <c r="B307" s="91" t="s">
        <v>1947</v>
      </c>
      <c r="C307" s="104"/>
      <c r="D307" s="91"/>
      <c r="E307" s="105"/>
      <c r="F307" s="2033"/>
      <c r="G307" s="2033"/>
      <c r="H307" s="2033"/>
      <c r="I307" s="2033"/>
      <c r="J307" s="2033"/>
      <c r="K307" s="2033"/>
      <c r="L307" s="2033"/>
      <c r="M307" s="2033"/>
      <c r="N307" s="79"/>
      <c r="O307" s="75"/>
      <c r="P307" s="2028"/>
      <c r="Q307" s="474"/>
    </row>
    <row r="308" spans="1:19" s="44" customFormat="1" ht="12" customHeight="1">
      <c r="A308" s="2513"/>
      <c r="B308" s="2514"/>
      <c r="C308" s="2514"/>
      <c r="D308" s="2514"/>
      <c r="E308" s="2514"/>
      <c r="F308" s="2514"/>
      <c r="G308" s="2514"/>
      <c r="H308" s="2514"/>
      <c r="I308" s="2514"/>
      <c r="J308" s="2514"/>
      <c r="K308" s="2514"/>
      <c r="L308" s="2514"/>
      <c r="M308" s="2514"/>
      <c r="N308" s="2514"/>
      <c r="O308" s="2514"/>
      <c r="P308" s="2515"/>
      <c r="Q308" s="498" t="s">
        <v>1308</v>
      </c>
    </row>
    <row r="309" spans="1:19" s="44" customFormat="1" ht="3" customHeight="1">
      <c r="A309" s="43"/>
      <c r="B309" s="43"/>
      <c r="C309" s="2033"/>
      <c r="D309" s="2033"/>
      <c r="E309" s="2033"/>
      <c r="F309" s="2033"/>
      <c r="G309" s="2033"/>
      <c r="H309" s="2033"/>
      <c r="I309" s="2033"/>
      <c r="J309" s="2033"/>
      <c r="K309" s="2033"/>
      <c r="L309" s="2033"/>
      <c r="M309" s="2033"/>
      <c r="N309" s="79"/>
      <c r="O309" s="75"/>
      <c r="P309" s="1308"/>
    </row>
    <row r="310" spans="1:19" s="44" customFormat="1" ht="12" customHeight="1">
      <c r="A310" s="165" t="s">
        <v>1745</v>
      </c>
      <c r="B310" s="111" t="s">
        <v>2851</v>
      </c>
      <c r="D310" s="41"/>
      <c r="G310" s="64" t="s">
        <v>3750</v>
      </c>
      <c r="M310" s="2028">
        <v>2</v>
      </c>
      <c r="N310" s="527"/>
      <c r="O310" s="81">
        <f>MIN($M310,O314+O320)</f>
        <v>0</v>
      </c>
      <c r="P310" s="81">
        <f>MIN($M310,P314+P320)</f>
        <v>0</v>
      </c>
      <c r="Q310" s="115" t="s">
        <v>459</v>
      </c>
      <c r="R310" s="414" t="str">
        <f>IF(OR($O314=$M310,$O314=0,$O314=""),"","* * Check Score! * *")</f>
        <v/>
      </c>
    </row>
    <row r="311" spans="1:19" s="459" customFormat="1" ht="3" customHeight="1">
      <c r="B311" s="492"/>
      <c r="F311" s="485"/>
      <c r="G311" s="1343"/>
      <c r="M311" s="460"/>
      <c r="N311" s="460"/>
      <c r="O311" s="460"/>
      <c r="P311" s="460"/>
      <c r="Q311" s="188"/>
    </row>
    <row r="312" spans="1:19" s="459" customFormat="1" ht="11.25" customHeight="1">
      <c r="B312" s="1341" t="s">
        <v>3867</v>
      </c>
      <c r="D312" s="2645" t="s">
        <v>3189</v>
      </c>
      <c r="E312" s="2646"/>
      <c r="F312" s="2646"/>
      <c r="G312" s="2646"/>
      <c r="H312" s="2646"/>
      <c r="I312" s="2647"/>
      <c r="J312" s="432" t="s">
        <v>3072</v>
      </c>
      <c r="L312" s="688">
        <f>'Part III-Sources of Funds'!$I$47</f>
        <v>0</v>
      </c>
      <c r="M312" s="460"/>
      <c r="N312" s="460"/>
      <c r="O312" s="460"/>
      <c r="P312" s="460"/>
      <c r="Q312" s="188"/>
    </row>
    <row r="313" spans="1:19" s="459" customFormat="1" ht="3" customHeight="1">
      <c r="B313" s="492"/>
      <c r="M313" s="460"/>
      <c r="N313" s="460"/>
      <c r="O313" s="460"/>
      <c r="P313" s="460"/>
      <c r="Q313" s="188"/>
    </row>
    <row r="314" spans="1:19" s="459" customFormat="1" ht="11.25" customHeight="1">
      <c r="A314" s="690" t="s">
        <v>2068</v>
      </c>
      <c r="B314" s="141" t="s">
        <v>4468</v>
      </c>
      <c r="C314" s="432"/>
      <c r="D314" s="432"/>
      <c r="E314" s="432"/>
      <c r="F314" s="432"/>
      <c r="G314" s="432"/>
      <c r="H314" s="432"/>
      <c r="I314" s="432"/>
      <c r="J314" s="432" t="s">
        <v>4261</v>
      </c>
      <c r="L314" s="856">
        <f>'Part VI-Revenues &amp; Expenses'!$O$82</f>
        <v>0</v>
      </c>
      <c r="M314" s="460">
        <v>2</v>
      </c>
      <c r="N314" s="174" t="s">
        <v>2068</v>
      </c>
      <c r="O314" s="2073"/>
      <c r="P314" s="1220"/>
      <c r="Q314" s="188" t="s">
        <v>2834</v>
      </c>
    </row>
    <row r="315" spans="1:19" s="459" customFormat="1" ht="11.25" customHeight="1">
      <c r="A315" s="458"/>
      <c r="B315" s="2462" t="s">
        <v>4262</v>
      </c>
      <c r="C315" s="2462"/>
      <c r="D315" s="2462"/>
      <c r="E315" s="2462"/>
      <c r="F315" s="2462"/>
      <c r="G315" s="2462"/>
      <c r="H315" s="2462"/>
      <c r="I315" s="432"/>
      <c r="J315" s="542" t="s">
        <v>3070</v>
      </c>
      <c r="L315" s="857">
        <f>'Part VI-Revenues &amp; Expenses'!$O$62</f>
        <v>162</v>
      </c>
      <c r="M315" s="460"/>
      <c r="N315" s="460"/>
      <c r="O315" s="460"/>
      <c r="P315" s="460"/>
      <c r="Q315" s="188"/>
    </row>
    <row r="316" spans="1:19" s="459" customFormat="1" ht="11.25" customHeight="1">
      <c r="B316" s="2462"/>
      <c r="C316" s="2462"/>
      <c r="D316" s="2462"/>
      <c r="E316" s="2462"/>
      <c r="F316" s="2462"/>
      <c r="G316" s="2462"/>
      <c r="H316" s="2462"/>
      <c r="J316" s="687" t="s">
        <v>3071</v>
      </c>
      <c r="L316" s="896">
        <f>IF(L315=0,0,L314/L315)</f>
        <v>0</v>
      </c>
      <c r="M316" s="460"/>
      <c r="N316" s="460"/>
      <c r="O316" s="460"/>
      <c r="P316" s="460"/>
      <c r="Q316" s="188"/>
    </row>
    <row r="317" spans="1:19" s="459" customFormat="1" ht="3" customHeight="1">
      <c r="B317" s="492"/>
      <c r="F317" s="485"/>
      <c r="G317" s="1343"/>
      <c r="M317" s="460"/>
      <c r="N317" s="460"/>
      <c r="O317" s="460"/>
      <c r="P317" s="460"/>
      <c r="Q317" s="188"/>
    </row>
    <row r="318" spans="1:19" s="44" customFormat="1" ht="36" customHeight="1">
      <c r="A318" s="689" t="s">
        <v>1410</v>
      </c>
      <c r="B318" s="2648" t="s">
        <v>4263</v>
      </c>
      <c r="C318" s="2649"/>
      <c r="D318" s="2649"/>
      <c r="E318" s="2649"/>
      <c r="F318" s="2649"/>
      <c r="G318" s="2649"/>
      <c r="H318" s="2649"/>
      <c r="I318" s="2649"/>
      <c r="J318" s="2649"/>
      <c r="K318" s="2649"/>
      <c r="L318" s="2649"/>
      <c r="M318" s="2649"/>
      <c r="N318" s="2649"/>
      <c r="O318" s="2649"/>
      <c r="P318" s="2650"/>
      <c r="Q318" s="2700" t="s">
        <v>1308</v>
      </c>
      <c r="R318" s="2701"/>
      <c r="S318" s="2701"/>
    </row>
    <row r="319" spans="1:19" s="459" customFormat="1" ht="3" customHeight="1">
      <c r="B319" s="492"/>
      <c r="F319" s="485"/>
      <c r="G319" s="1343"/>
      <c r="M319" s="460"/>
      <c r="N319" s="460"/>
      <c r="O319" s="460"/>
      <c r="P319" s="460"/>
      <c r="Q319" s="188"/>
    </row>
    <row r="320" spans="1:19" s="459" customFormat="1" ht="11.25" customHeight="1">
      <c r="A320" s="690" t="s">
        <v>2071</v>
      </c>
      <c r="B320" s="1478" t="s">
        <v>3688</v>
      </c>
      <c r="C320" s="150"/>
      <c r="D320" s="1278"/>
      <c r="H320" s="432"/>
      <c r="J320" s="432" t="s">
        <v>3759</v>
      </c>
      <c r="L320" s="856">
        <f>'Part VI-Revenues &amp; Expenses'!$O$84</f>
        <v>0</v>
      </c>
      <c r="M320" s="460">
        <v>1</v>
      </c>
      <c r="N320" s="174" t="s">
        <v>2071</v>
      </c>
      <c r="O320" s="2073"/>
      <c r="P320" s="1220"/>
      <c r="Q320" s="188" t="s">
        <v>2834</v>
      </c>
    </row>
    <row r="321" spans="1:18" s="459" customFormat="1" ht="11.25" customHeight="1">
      <c r="A321" s="690"/>
      <c r="B321" s="2436" t="s">
        <v>4469</v>
      </c>
      <c r="C321" s="2436"/>
      <c r="D321" s="2436"/>
      <c r="E321" s="2436"/>
      <c r="F321" s="2436"/>
      <c r="G321" s="2436"/>
      <c r="H321" s="2436"/>
      <c r="I321" s="2436"/>
      <c r="J321" s="542" t="s">
        <v>3070</v>
      </c>
      <c r="L321" s="857">
        <f>'Part VI-Revenues &amp; Expenses'!$O$62</f>
        <v>162</v>
      </c>
      <c r="M321" s="460"/>
      <c r="N321" s="460"/>
      <c r="O321" s="460"/>
      <c r="P321" s="460"/>
      <c r="Q321" s="188"/>
    </row>
    <row r="322" spans="1:18" s="459" customFormat="1" ht="11.25" customHeight="1">
      <c r="A322" s="690"/>
      <c r="B322" s="2436"/>
      <c r="C322" s="2436"/>
      <c r="D322" s="2436"/>
      <c r="E322" s="2436"/>
      <c r="F322" s="2436"/>
      <c r="G322" s="2436"/>
      <c r="H322" s="2436"/>
      <c r="I322" s="2436"/>
      <c r="J322" s="687" t="s">
        <v>3071</v>
      </c>
      <c r="L322" s="896">
        <f>IF(L321=0,0,L320/L321)</f>
        <v>0</v>
      </c>
      <c r="M322" s="460"/>
      <c r="N322" s="460"/>
      <c r="O322" s="460"/>
      <c r="P322" s="460"/>
      <c r="Q322" s="188"/>
    </row>
    <row r="323" spans="1:18" s="44" customFormat="1" ht="10.5" customHeight="1">
      <c r="B323" s="91" t="s">
        <v>1947</v>
      </c>
      <c r="C323" s="104"/>
      <c r="D323" s="91"/>
      <c r="E323" s="105"/>
      <c r="F323" s="2033"/>
      <c r="G323" s="2033"/>
      <c r="H323" s="2033"/>
      <c r="I323" s="2033"/>
      <c r="J323" s="2033"/>
      <c r="K323" s="2033"/>
      <c r="L323" s="2033"/>
      <c r="M323" s="2033"/>
      <c r="N323" s="79"/>
      <c r="O323" s="75"/>
      <c r="P323" s="2028"/>
      <c r="Q323" s="474"/>
    </row>
    <row r="324" spans="1:18" s="44" customFormat="1" ht="12" customHeight="1">
      <c r="A324" s="2513"/>
      <c r="B324" s="2514"/>
      <c r="C324" s="2514"/>
      <c r="D324" s="2514"/>
      <c r="E324" s="2514"/>
      <c r="F324" s="2514"/>
      <c r="G324" s="2514"/>
      <c r="H324" s="2514"/>
      <c r="I324" s="2514"/>
      <c r="J324" s="2514"/>
      <c r="K324" s="2514"/>
      <c r="L324" s="2514"/>
      <c r="M324" s="2514"/>
      <c r="N324" s="2514"/>
      <c r="O324" s="2514"/>
      <c r="P324" s="2515"/>
      <c r="Q324" s="498" t="s">
        <v>1308</v>
      </c>
    </row>
    <row r="325" spans="1:18" s="44" customFormat="1" ht="3" customHeight="1">
      <c r="A325" s="43"/>
      <c r="B325" s="43"/>
      <c r="C325" s="2033"/>
      <c r="D325" s="2033"/>
      <c r="E325" s="2033"/>
      <c r="F325" s="2033"/>
      <c r="G325" s="2033"/>
      <c r="H325" s="2033"/>
      <c r="I325" s="2033"/>
      <c r="J325" s="2033"/>
      <c r="K325" s="2033"/>
      <c r="L325" s="2033"/>
      <c r="M325" s="2033"/>
      <c r="N325" s="79"/>
      <c r="O325" s="75"/>
      <c r="P325" s="1308"/>
    </row>
    <row r="326" spans="1:18" s="44" customFormat="1" ht="12.75" customHeight="1">
      <c r="A326" s="166" t="s">
        <v>1746</v>
      </c>
      <c r="B326" s="112" t="s">
        <v>2734</v>
      </c>
      <c r="C326" s="56"/>
      <c r="D326" s="124"/>
      <c r="E326" s="124"/>
      <c r="I326" s="2025" t="s">
        <v>3161</v>
      </c>
      <c r="J326" s="42"/>
      <c r="K326" s="42"/>
      <c r="M326" s="2032">
        <v>5</v>
      </c>
      <c r="P326" s="706"/>
      <c r="Q326" s="115" t="s">
        <v>459</v>
      </c>
    </row>
    <row r="327" spans="1:18" s="44" customFormat="1" ht="1.5" customHeight="1">
      <c r="A327" s="166"/>
      <c r="M327" s="674"/>
      <c r="Q327" s="115"/>
    </row>
    <row r="328" spans="1:18" s="44" customFormat="1" ht="12" customHeight="1">
      <c r="A328" s="166"/>
      <c r="B328" s="2509" t="s">
        <v>4470</v>
      </c>
      <c r="C328" s="2509"/>
      <c r="D328" s="2708">
        <f>IF('Part VI-Revenues &amp; Expenses'!$O$62=0,0,'Part IV-Uses of Funds'!$J$172/'Part VI-Revenues &amp; Expenses'!$O$62)</f>
        <v>5268.7222222222226</v>
      </c>
      <c r="E328" s="2708"/>
      <c r="F328" s="116" t="s">
        <v>4471</v>
      </c>
      <c r="G328" s="1479"/>
      <c r="H328" s="1480">
        <f>IF('Part VI-Revenues &amp; Expenses'!$O$62=0,0,('Part VI-Revenues &amp; Expenses'!$O$77+'Part VI-Revenues &amp; Expenses'!$O$80+'Part VI-Revenues &amp; Expenses'!$O$84)/'Part VI-Revenues &amp; Expenses'!$O$62)</f>
        <v>0</v>
      </c>
      <c r="I328" s="1481" t="s">
        <v>4472</v>
      </c>
      <c r="J328" s="42"/>
      <c r="K328" s="1350"/>
      <c r="L328" s="1351"/>
      <c r="M328" s="77">
        <v>20</v>
      </c>
      <c r="N328" s="6"/>
      <c r="O328" s="684">
        <f>MIN($M328,(O329+O335+O339+O340+O344+O346+O348+O349+O350))</f>
        <v>0</v>
      </c>
      <c r="P328" s="684">
        <f>MIN($M328,(P329+P335+P339+P340+P344+P346+P348+P349+P350))</f>
        <v>0</v>
      </c>
      <c r="Q328" s="115"/>
    </row>
    <row r="329" spans="1:18" s="44" customFormat="1" ht="10.5" customHeight="1">
      <c r="A329" s="662" t="s">
        <v>2068</v>
      </c>
      <c r="B329" s="1353" t="s">
        <v>2072</v>
      </c>
      <c r="C329" s="1290" t="s">
        <v>4264</v>
      </c>
      <c r="E329" s="54"/>
      <c r="F329" s="1290"/>
      <c r="G329" s="1290"/>
      <c r="H329" s="56"/>
      <c r="I329" s="1291"/>
      <c r="J329" s="1291"/>
      <c r="M329" s="661">
        <v>6</v>
      </c>
      <c r="N329" s="686"/>
      <c r="O329" s="2614"/>
      <c r="P329" s="2612"/>
      <c r="Q329" s="717" t="s">
        <v>2834</v>
      </c>
    </row>
    <row r="330" spans="1:18" s="44" customFormat="1" ht="10.5" customHeight="1">
      <c r="A330" s="842"/>
      <c r="B330" s="1342"/>
      <c r="C330" s="1349" t="s">
        <v>4122</v>
      </c>
      <c r="D330" s="2103"/>
      <c r="E330" s="54"/>
      <c r="F330" s="1349" t="s">
        <v>4123</v>
      </c>
      <c r="G330" s="2104"/>
      <c r="H330" s="56"/>
      <c r="I330" s="463" t="s">
        <v>4265</v>
      </c>
      <c r="J330" s="463"/>
      <c r="K330" s="2702"/>
      <c r="L330" s="2703"/>
      <c r="M330" s="681"/>
      <c r="N330" s="1354"/>
      <c r="O330" s="2714"/>
      <c r="P330" s="2737"/>
      <c r="Q330" s="717"/>
    </row>
    <row r="331" spans="1:18" s="44" customFormat="1" ht="10.5" customHeight="1">
      <c r="A331" s="842" t="s">
        <v>1410</v>
      </c>
      <c r="B331" s="1342" t="s">
        <v>2074</v>
      </c>
      <c r="C331" s="54" t="s">
        <v>4266</v>
      </c>
      <c r="E331" s="54"/>
      <c r="F331" s="54"/>
      <c r="G331" s="1290"/>
      <c r="H331" s="56"/>
      <c r="I331" s="56"/>
      <c r="J331" s="56"/>
      <c r="M331" s="681">
        <v>2</v>
      </c>
      <c r="N331" s="1354"/>
      <c r="O331" s="2714"/>
      <c r="P331" s="2737"/>
      <c r="Q331" s="717"/>
    </row>
    <row r="332" spans="1:18" s="44" customFormat="1" ht="10.5" customHeight="1">
      <c r="A332" s="842"/>
      <c r="C332" s="1349" t="s">
        <v>4122</v>
      </c>
      <c r="D332" s="2103"/>
      <c r="E332" s="54"/>
      <c r="F332" s="1349" t="s">
        <v>4123</v>
      </c>
      <c r="G332" s="2104"/>
      <c r="H332" s="56"/>
      <c r="I332" s="463" t="s">
        <v>4265</v>
      </c>
      <c r="J332" s="463"/>
      <c r="K332" s="2702"/>
      <c r="L332" s="2703"/>
      <c r="M332" s="681"/>
      <c r="N332" s="124"/>
      <c r="O332" s="2714"/>
      <c r="P332" s="2737"/>
      <c r="Q332" s="717"/>
    </row>
    <row r="333" spans="1:18" s="459" customFormat="1" ht="34.5" customHeight="1">
      <c r="A333" s="842" t="s">
        <v>1410</v>
      </c>
      <c r="B333" s="1352" t="s">
        <v>2634</v>
      </c>
      <c r="C333" s="2461" t="s">
        <v>3760</v>
      </c>
      <c r="D333" s="2461"/>
      <c r="E333" s="2461"/>
      <c r="F333" s="2461"/>
      <c r="G333" s="2461"/>
      <c r="H333" s="2461"/>
      <c r="I333" s="2461"/>
      <c r="J333" s="2461"/>
      <c r="K333" s="2461"/>
      <c r="L333" s="2461"/>
      <c r="M333" s="649">
        <v>5</v>
      </c>
      <c r="N333" s="659"/>
      <c r="O333" s="2615"/>
      <c r="P333" s="2613"/>
      <c r="Q333" s="717"/>
    </row>
    <row r="334" spans="1:18" s="459" customFormat="1" ht="12.75" customHeight="1">
      <c r="A334" s="842"/>
      <c r="B334" s="154"/>
      <c r="C334" s="1294" t="s">
        <v>4110</v>
      </c>
      <c r="D334" s="2036"/>
      <c r="G334" s="2105"/>
      <c r="H334" s="2036"/>
      <c r="I334" s="1294" t="s">
        <v>4109</v>
      </c>
      <c r="K334" s="2105"/>
      <c r="M334" s="2036"/>
      <c r="N334" s="2036"/>
      <c r="O334" s="2036"/>
      <c r="P334" s="2036"/>
      <c r="Q334" s="2036"/>
      <c r="R334" s="2036"/>
    </row>
    <row r="335" spans="1:18" s="459" customFormat="1" ht="45" customHeight="1">
      <c r="A335" s="660" t="s">
        <v>2071</v>
      </c>
      <c r="B335" s="1412"/>
      <c r="C335" s="2618" t="s">
        <v>4267</v>
      </c>
      <c r="D335" s="2618"/>
      <c r="E335" s="2618"/>
      <c r="F335" s="2618"/>
      <c r="G335" s="2618"/>
      <c r="H335" s="2618"/>
      <c r="I335" s="2618"/>
      <c r="J335" s="2618"/>
      <c r="K335" s="2618"/>
      <c r="L335" s="2618"/>
      <c r="M335" s="661">
        <v>2</v>
      </c>
      <c r="N335" s="685"/>
      <c r="O335" s="2106"/>
      <c r="P335" s="1338"/>
      <c r="Q335" s="841" t="s">
        <v>2834</v>
      </c>
    </row>
    <row r="336" spans="1:18" s="459" customFormat="1" ht="11.25" customHeight="1">
      <c r="A336" s="1369"/>
      <c r="B336" s="1413"/>
      <c r="C336" s="1414" t="s">
        <v>4346</v>
      </c>
      <c r="D336" s="2048"/>
      <c r="E336" s="2048"/>
      <c r="F336" s="2527"/>
      <c r="G336" s="2528"/>
      <c r="H336" s="2528"/>
      <c r="I336" s="2529"/>
      <c r="J336" s="1509"/>
      <c r="K336" s="2048" t="s">
        <v>4345</v>
      </c>
      <c r="L336" s="2107"/>
      <c r="M336" s="1371"/>
      <c r="N336" s="1415"/>
      <c r="O336" s="431"/>
      <c r="P336" s="431"/>
      <c r="Q336" s="657"/>
      <c r="R336" s="650"/>
    </row>
    <row r="337" spans="1:17" s="459" customFormat="1" ht="12" customHeight="1">
      <c r="A337" s="845" t="s">
        <v>786</v>
      </c>
      <c r="C337" s="2436" t="s">
        <v>4268</v>
      </c>
      <c r="D337" s="2436"/>
      <c r="E337" s="2436"/>
      <c r="F337" s="2436"/>
      <c r="G337" s="2436"/>
      <c r="H337" s="2436"/>
      <c r="I337" s="2436"/>
      <c r="J337" s="2436" t="s">
        <v>4270</v>
      </c>
      <c r="K337" s="2436"/>
      <c r="L337" s="1360" t="str">
        <f>'Part I-Project Information'!$H$90</f>
        <v>&lt;&lt;Select Pool&gt;&gt;</v>
      </c>
      <c r="M337" s="681">
        <v>3</v>
      </c>
      <c r="N337" s="854"/>
      <c r="O337" s="2706"/>
      <c r="P337" s="2704"/>
      <c r="Q337" s="188" t="s">
        <v>2834</v>
      </c>
    </row>
    <row r="338" spans="1:17" s="459" customFormat="1" ht="12" customHeight="1">
      <c r="A338" s="845"/>
      <c r="C338" s="2436"/>
      <c r="D338" s="2436"/>
      <c r="E338" s="2436"/>
      <c r="F338" s="2436"/>
      <c r="G338" s="2436"/>
      <c r="H338" s="2436"/>
      <c r="I338" s="2436"/>
      <c r="J338" s="2436" t="s">
        <v>4271</v>
      </c>
      <c r="K338" s="2436"/>
      <c r="L338" s="1359">
        <f>$O$109</f>
        <v>0</v>
      </c>
      <c r="M338" s="681"/>
      <c r="N338" s="854"/>
      <c r="O338" s="2707"/>
      <c r="P338" s="2705"/>
      <c r="Q338" s="188"/>
    </row>
    <row r="339" spans="1:17" s="459" customFormat="1" ht="24" customHeight="1">
      <c r="A339" s="1355" t="s">
        <v>2203</v>
      </c>
      <c r="B339" s="1356"/>
      <c r="C339" s="2519" t="s">
        <v>4269</v>
      </c>
      <c r="D339" s="2519"/>
      <c r="E339" s="2519"/>
      <c r="F339" s="2519"/>
      <c r="G339" s="2519"/>
      <c r="H339" s="2519"/>
      <c r="I339" s="1361"/>
      <c r="J339" s="2519" t="s">
        <v>4272</v>
      </c>
      <c r="K339" s="2519"/>
      <c r="L339" s="1362">
        <f>$O$125</f>
        <v>0</v>
      </c>
      <c r="M339" s="1357">
        <v>3</v>
      </c>
      <c r="N339" s="1358"/>
      <c r="O339" s="2108"/>
      <c r="P339" s="2044"/>
      <c r="Q339" s="188" t="s">
        <v>2834</v>
      </c>
    </row>
    <row r="340" spans="1:17" s="44" customFormat="1" ht="11.25" customHeight="1">
      <c r="A340" s="845" t="s">
        <v>1811</v>
      </c>
      <c r="B340" s="1353" t="s">
        <v>2072</v>
      </c>
      <c r="C340" s="2461" t="s">
        <v>3854</v>
      </c>
      <c r="D340" s="2461"/>
      <c r="E340" s="2461"/>
      <c r="F340" s="2461"/>
      <c r="G340" s="2461"/>
      <c r="H340" s="2461"/>
      <c r="I340" s="2461"/>
      <c r="J340" s="2461"/>
      <c r="K340" s="2461"/>
      <c r="L340" s="2461"/>
      <c r="M340" s="681">
        <v>2</v>
      </c>
      <c r="N340" s="124"/>
      <c r="O340" s="2614"/>
      <c r="P340" s="2612"/>
      <c r="Q340" s="188" t="s">
        <v>2834</v>
      </c>
    </row>
    <row r="341" spans="1:17" s="44" customFormat="1" ht="11.25" customHeight="1">
      <c r="A341" s="842" t="s">
        <v>1410</v>
      </c>
      <c r="B341" s="1342" t="s">
        <v>2074</v>
      </c>
      <c r="C341" s="2716" t="s">
        <v>3853</v>
      </c>
      <c r="D341" s="2716"/>
      <c r="E341" s="2716"/>
      <c r="F341" s="2716"/>
      <c r="G341" s="2716"/>
      <c r="H341" s="2716"/>
      <c r="I341" s="2716"/>
      <c r="J341" s="2716"/>
      <c r="K341" s="2716"/>
      <c r="L341" s="2716"/>
      <c r="M341" s="683">
        <v>1</v>
      </c>
      <c r="N341" s="124"/>
      <c r="O341" s="2615"/>
      <c r="P341" s="2613"/>
      <c r="Q341" s="106"/>
    </row>
    <row r="342" spans="1:17" s="44" customFormat="1" ht="11.25" customHeight="1">
      <c r="B342" s="842"/>
      <c r="C342" s="1289" t="s">
        <v>4120</v>
      </c>
      <c r="D342" s="1289"/>
      <c r="E342" s="1289"/>
      <c r="F342" s="2052" t="s">
        <v>4113</v>
      </c>
      <c r="G342" s="2052" t="s">
        <v>4114</v>
      </c>
      <c r="H342" s="2052" t="s">
        <v>4115</v>
      </c>
      <c r="I342" s="2052" t="s">
        <v>4116</v>
      </c>
      <c r="J342" s="2052" t="s">
        <v>4117</v>
      </c>
      <c r="K342" s="2052" t="s">
        <v>4118</v>
      </c>
      <c r="L342" s="2052" t="s">
        <v>4119</v>
      </c>
      <c r="M342" s="2049"/>
      <c r="N342" s="2049"/>
      <c r="O342" s="2049"/>
      <c r="P342" s="2049"/>
      <c r="Q342" s="106"/>
    </row>
    <row r="343" spans="1:17" s="44" customFormat="1" ht="11.25" customHeight="1">
      <c r="A343" s="1351"/>
      <c r="B343" s="842"/>
      <c r="C343" s="2715" t="s">
        <v>4121</v>
      </c>
      <c r="D343" s="2715"/>
      <c r="E343" s="2715"/>
      <c r="F343" s="2109"/>
      <c r="G343" s="2109"/>
      <c r="H343" s="2109"/>
      <c r="I343" s="2109"/>
      <c r="J343" s="2109"/>
      <c r="K343" s="2109"/>
      <c r="L343" s="1500" t="str">
        <f>IF(OR(F343=0,G343=0,H343=0,I343=0,J343=0,K343=0),"Missing Rent Roll",AVERAGE(F343,G343,H343,I343,J343,K343))</f>
        <v>Missing Rent Roll</v>
      </c>
      <c r="M343" s="2049"/>
      <c r="N343" s="2049"/>
      <c r="O343" s="2049"/>
      <c r="P343" s="2049"/>
      <c r="Q343" s="106"/>
    </row>
    <row r="344" spans="1:17" s="459" customFormat="1" ht="22.5" customHeight="1">
      <c r="A344" s="660" t="s">
        <v>1812</v>
      </c>
      <c r="B344" s="1363" t="s">
        <v>2072</v>
      </c>
      <c r="C344" s="2652" t="s">
        <v>3761</v>
      </c>
      <c r="D344" s="2652"/>
      <c r="E344" s="2652"/>
      <c r="F344" s="2652"/>
      <c r="G344" s="2652"/>
      <c r="H344" s="2652"/>
      <c r="I344" s="2652"/>
      <c r="K344" s="2711" t="s">
        <v>4473</v>
      </c>
      <c r="L344" s="2711"/>
      <c r="M344" s="661">
        <v>2</v>
      </c>
      <c r="N344" s="685"/>
      <c r="O344" s="2614"/>
      <c r="P344" s="2612"/>
      <c r="Q344" s="188" t="s">
        <v>2834</v>
      </c>
    </row>
    <row r="345" spans="1:17" s="459" customFormat="1" ht="21.75" customHeight="1">
      <c r="A345" s="842" t="s">
        <v>1410</v>
      </c>
      <c r="B345" s="1364" t="s">
        <v>2074</v>
      </c>
      <c r="C345" s="2653" t="s">
        <v>3762</v>
      </c>
      <c r="D345" s="2653"/>
      <c r="E345" s="2653"/>
      <c r="F345" s="2653"/>
      <c r="G345" s="2653"/>
      <c r="H345" s="2653"/>
      <c r="I345" s="2653"/>
      <c r="J345" s="1345"/>
      <c r="K345" s="2709"/>
      <c r="L345" s="2710"/>
      <c r="M345" s="681">
        <v>1</v>
      </c>
      <c r="N345" s="682"/>
      <c r="O345" s="2615"/>
      <c r="P345" s="2613"/>
      <c r="Q345" s="188"/>
    </row>
    <row r="346" spans="1:17" s="108" customFormat="1" ht="11.25" customHeight="1">
      <c r="A346" s="662" t="s">
        <v>2031</v>
      </c>
      <c r="C346" s="2508" t="s">
        <v>3763</v>
      </c>
      <c r="D346" s="2508"/>
      <c r="E346" s="2508"/>
      <c r="F346" s="2508"/>
      <c r="G346" s="2508"/>
      <c r="H346" s="2508"/>
      <c r="I346" s="2508"/>
      <c r="J346" s="2508"/>
      <c r="K346" s="2508"/>
      <c r="L346" s="2508"/>
      <c r="M346" s="1366">
        <v>2</v>
      </c>
      <c r="N346" s="1367"/>
      <c r="O346" s="2110"/>
      <c r="P346" s="1220"/>
      <c r="Q346" s="188" t="s">
        <v>2834</v>
      </c>
    </row>
    <row r="347" spans="1:17" s="44" customFormat="1" ht="11.25" customHeight="1">
      <c r="A347" s="196"/>
      <c r="C347" s="1344" t="s">
        <v>4273</v>
      </c>
      <c r="D347" s="2049"/>
      <c r="E347" s="2516">
        <f>'Part IV-Uses of Funds'!$B$44</f>
        <v>15104404.5</v>
      </c>
      <c r="F347" s="2516"/>
      <c r="G347" s="2517" t="s">
        <v>4274</v>
      </c>
      <c r="H347" s="2517"/>
      <c r="I347" s="2055">
        <f>'Part IV-Uses of Funds'!$G$131</f>
        <v>23748176.5</v>
      </c>
      <c r="J347" s="2651" t="s">
        <v>4275</v>
      </c>
      <c r="K347" s="2651"/>
      <c r="L347" s="1499">
        <f>IF(I347=0, 0,E347/I347)</f>
        <v>0.63602375955054902</v>
      </c>
      <c r="M347" s="916"/>
      <c r="N347" s="916"/>
      <c r="O347" s="916"/>
      <c r="P347" s="916"/>
      <c r="Q347" s="188"/>
    </row>
    <row r="348" spans="1:17" s="459" customFormat="1" ht="22.5" customHeight="1">
      <c r="A348" s="1355" t="s">
        <v>3708</v>
      </c>
      <c r="B348" s="1356"/>
      <c r="C348" s="2507" t="s">
        <v>3764</v>
      </c>
      <c r="D348" s="2507"/>
      <c r="E348" s="2507"/>
      <c r="F348" s="2507"/>
      <c r="G348" s="2507"/>
      <c r="H348" s="2507"/>
      <c r="I348" s="2507"/>
      <c r="J348" s="2507"/>
      <c r="K348" s="2507"/>
      <c r="L348" s="2507"/>
      <c r="M348" s="1365">
        <v>2</v>
      </c>
      <c r="N348" s="1358"/>
      <c r="O348" s="2106"/>
      <c r="P348" s="1338"/>
      <c r="Q348" s="841" t="s">
        <v>2834</v>
      </c>
    </row>
    <row r="349" spans="1:17" s="459" customFormat="1" ht="11.25" customHeight="1">
      <c r="A349" s="845" t="s">
        <v>646</v>
      </c>
      <c r="C349" s="2461" t="s">
        <v>3855</v>
      </c>
      <c r="D349" s="2461"/>
      <c r="E349" s="2461"/>
      <c r="F349" s="2461"/>
      <c r="G349" s="2461"/>
      <c r="H349" s="2461"/>
      <c r="I349" s="2461"/>
      <c r="J349" s="2461"/>
      <c r="K349" s="2461"/>
      <c r="L349" s="2461"/>
      <c r="M349" s="855">
        <v>2</v>
      </c>
      <c r="N349" s="854"/>
      <c r="O349" s="2111"/>
      <c r="P349" s="2043"/>
      <c r="Q349" s="841" t="s">
        <v>2834</v>
      </c>
    </row>
    <row r="350" spans="1:17" s="459" customFormat="1" ht="11.25" customHeight="1">
      <c r="A350" s="1355" t="s">
        <v>3709</v>
      </c>
      <c r="B350" s="1356"/>
      <c r="C350" s="2519" t="s">
        <v>3765</v>
      </c>
      <c r="D350" s="2519"/>
      <c r="E350" s="2519"/>
      <c r="F350" s="2519"/>
      <c r="G350" s="2519"/>
      <c r="H350" s="2519"/>
      <c r="I350" s="2519"/>
      <c r="J350" s="2519"/>
      <c r="K350" s="1368"/>
      <c r="L350" s="1368"/>
      <c r="M350" s="1365">
        <v>1</v>
      </c>
      <c r="N350" s="1358"/>
      <c r="O350" s="2106"/>
      <c r="P350" s="1338"/>
      <c r="Q350" s="841" t="s">
        <v>2834</v>
      </c>
    </row>
    <row r="351" spans="1:17" s="459" customFormat="1" ht="11.25" customHeight="1">
      <c r="A351" s="660" t="s">
        <v>4276</v>
      </c>
      <c r="B351" s="1278"/>
      <c r="C351" s="2652" t="s">
        <v>4277</v>
      </c>
      <c r="D351" s="2652"/>
      <c r="E351" s="2652"/>
      <c r="F351" s="2652"/>
      <c r="G351" s="2652"/>
      <c r="H351" s="2652"/>
      <c r="I351" s="2652"/>
      <c r="J351" s="2652"/>
      <c r="K351" s="1345" t="s">
        <v>4278</v>
      </c>
      <c r="L351" s="1498">
        <f>'Part IV-Uses of Funds'!$G$127</f>
        <v>0</v>
      </c>
      <c r="M351" s="855">
        <v>1</v>
      </c>
      <c r="N351" s="855"/>
      <c r="O351" s="2106"/>
      <c r="P351" s="1338"/>
      <c r="Q351" s="841" t="s">
        <v>2834</v>
      </c>
    </row>
    <row r="352" spans="1:17" s="459" customFormat="1" ht="11.25" customHeight="1">
      <c r="A352" s="1369"/>
      <c r="B352" s="1370"/>
      <c r="C352" s="2653"/>
      <c r="D352" s="2653"/>
      <c r="E352" s="2653"/>
      <c r="F352" s="2653"/>
      <c r="G352" s="2653"/>
      <c r="H352" s="2653"/>
      <c r="I352" s="2653"/>
      <c r="J352" s="2653"/>
      <c r="K352" s="1371" t="s">
        <v>4279</v>
      </c>
      <c r="L352" s="2055">
        <f>'Part IV-Uses of Funds'!$G$20</f>
        <v>0</v>
      </c>
      <c r="M352" s="1372"/>
      <c r="N352" s="1372"/>
      <c r="O352" s="1372"/>
      <c r="P352" s="1372"/>
      <c r="Q352" s="841"/>
    </row>
    <row r="353" spans="1:18" s="44" customFormat="1" ht="10.5" customHeight="1">
      <c r="A353" s="43"/>
      <c r="B353" s="50" t="s">
        <v>268</v>
      </c>
      <c r="C353" s="43"/>
      <c r="D353" s="49"/>
      <c r="E353" s="49"/>
      <c r="F353" s="49"/>
      <c r="G353" s="49"/>
      <c r="H353" s="37"/>
      <c r="I353" s="37"/>
      <c r="J353" s="37"/>
      <c r="K353" s="37"/>
      <c r="M353" s="47"/>
      <c r="N353" s="65"/>
      <c r="O353" s="3"/>
      <c r="P353" s="2032"/>
    </row>
    <row r="354" spans="1:18" s="44" customFormat="1" ht="24.75" customHeight="1">
      <c r="A354" s="2539"/>
      <c r="B354" s="2540"/>
      <c r="C354" s="2540"/>
      <c r="D354" s="2540"/>
      <c r="E354" s="2540"/>
      <c r="F354" s="2540"/>
      <c r="G354" s="2540"/>
      <c r="H354" s="2540"/>
      <c r="I354" s="2540"/>
      <c r="J354" s="2540"/>
      <c r="K354" s="2540"/>
      <c r="L354" s="2540"/>
      <c r="M354" s="2540"/>
      <c r="N354" s="2540"/>
      <c r="O354" s="2540"/>
      <c r="P354" s="2541"/>
      <c r="Q354" s="498" t="s">
        <v>1308</v>
      </c>
    </row>
    <row r="355" spans="1:18" s="44" customFormat="1" ht="10.5" customHeight="1">
      <c r="A355" s="43"/>
      <c r="B355" s="91" t="s">
        <v>1947</v>
      </c>
      <c r="C355" s="104"/>
      <c r="D355" s="91"/>
      <c r="E355" s="105"/>
      <c r="F355" s="2033"/>
      <c r="G355" s="2033"/>
      <c r="H355" s="2033"/>
      <c r="I355" s="2033"/>
      <c r="J355" s="2033"/>
      <c r="K355" s="2033"/>
      <c r="L355" s="2033"/>
      <c r="M355" s="2033"/>
      <c r="N355" s="79"/>
      <c r="O355" s="75"/>
      <c r="P355" s="2028"/>
      <c r="Q355" s="474"/>
    </row>
    <row r="356" spans="1:18" s="44" customFormat="1" ht="24.75" customHeight="1">
      <c r="A356" s="2513"/>
      <c r="B356" s="2514"/>
      <c r="C356" s="2514"/>
      <c r="D356" s="2514"/>
      <c r="E356" s="2514"/>
      <c r="F356" s="2514"/>
      <c r="G356" s="2514"/>
      <c r="H356" s="2514"/>
      <c r="I356" s="2514"/>
      <c r="J356" s="2514"/>
      <c r="K356" s="2514"/>
      <c r="L356" s="2514"/>
      <c r="M356" s="2514"/>
      <c r="N356" s="2514"/>
      <c r="O356" s="2514"/>
      <c r="P356" s="2515"/>
      <c r="Q356" s="498" t="s">
        <v>1308</v>
      </c>
    </row>
    <row r="357" spans="1:18" s="44" customFormat="1" ht="3" customHeight="1">
      <c r="A357" s="43"/>
      <c r="C357" s="2033"/>
      <c r="D357" s="2033"/>
      <c r="E357" s="2033"/>
      <c r="F357" s="2033"/>
      <c r="G357" s="2033"/>
      <c r="H357" s="2033"/>
      <c r="I357" s="2033"/>
      <c r="J357" s="2033"/>
      <c r="K357" s="2033"/>
      <c r="L357" s="2033"/>
      <c r="M357" s="2033"/>
      <c r="N357" s="79"/>
      <c r="O357" s="75"/>
      <c r="P357" s="1308"/>
    </row>
    <row r="358" spans="1:18" s="44" customFormat="1" ht="12" customHeight="1">
      <c r="A358" s="166" t="s">
        <v>3073</v>
      </c>
      <c r="B358" s="112" t="s">
        <v>3776</v>
      </c>
      <c r="C358" s="56"/>
      <c r="D358" s="124"/>
      <c r="E358" s="124"/>
      <c r="F358" s="42"/>
      <c r="G358" s="42"/>
      <c r="H358" s="42"/>
      <c r="I358" s="42"/>
      <c r="J358" s="42"/>
      <c r="K358" s="42"/>
      <c r="L358" s="42"/>
      <c r="M358" s="1308">
        <v>2</v>
      </c>
      <c r="N358" s="192"/>
      <c r="O358" s="81">
        <f>IF(AND(M366="Yes",M367="Yes",M368="Yes"),2,IF(OR(M366="Yes",M367="Yes",M368="Yes"),1,0))</f>
        <v>0</v>
      </c>
      <c r="P358" s="81">
        <f>IF(AND(O366="Yes",O367="Yes",O368="Yes"),2,IF(OR(O366="Yes",O367="Yes",O368="Yes"),1,0))</f>
        <v>0</v>
      </c>
      <c r="Q358" s="115" t="s">
        <v>459</v>
      </c>
      <c r="R358" s="188"/>
    </row>
    <row r="359" spans="1:18" s="44" customFormat="1" ht="12" customHeight="1">
      <c r="B359" s="2520" t="s">
        <v>3778</v>
      </c>
      <c r="C359" s="2520"/>
      <c r="D359" s="2520"/>
      <c r="E359" s="2520"/>
      <c r="F359" s="2520"/>
      <c r="G359" s="2520"/>
      <c r="H359" s="2520"/>
      <c r="I359" s="2520"/>
      <c r="J359" s="2520"/>
      <c r="K359" s="2520"/>
      <c r="L359" s="2520"/>
      <c r="M359" s="2520"/>
      <c r="N359" s="2520"/>
      <c r="O359" s="2074"/>
      <c r="P359" s="697"/>
      <c r="R359" s="414"/>
    </row>
    <row r="360" spans="1:18" s="44" customFormat="1" ht="1.5" customHeight="1">
      <c r="A360" s="149"/>
      <c r="B360" s="691"/>
      <c r="C360" s="691"/>
      <c r="D360" s="691"/>
      <c r="E360" s="691"/>
      <c r="F360" s="691"/>
      <c r="G360" s="691"/>
      <c r="H360" s="691"/>
      <c r="I360" s="691"/>
      <c r="J360" s="691"/>
      <c r="K360" s="691"/>
      <c r="L360" s="691"/>
      <c r="M360" s="691"/>
      <c r="R360" s="414"/>
    </row>
    <row r="361" spans="1:18" s="44" customFormat="1" ht="12" customHeight="1">
      <c r="A361" s="149"/>
      <c r="B361" s="483" t="s">
        <v>4280</v>
      </c>
      <c r="F361" s="54" t="s">
        <v>3773</v>
      </c>
      <c r="G361" s="54"/>
      <c r="J361" s="2696"/>
      <c r="K361" s="2697"/>
      <c r="L361" s="2697"/>
      <c r="M361" s="2697"/>
      <c r="N361" s="2698"/>
      <c r="O361" s="2699" t="s">
        <v>3874</v>
      </c>
    </row>
    <row r="362" spans="1:18" s="44" customFormat="1" ht="3" customHeight="1">
      <c r="A362" s="149"/>
      <c r="C362" s="2050"/>
      <c r="D362" s="2050"/>
      <c r="E362" s="2050"/>
      <c r="F362" s="414"/>
      <c r="H362" s="2050"/>
      <c r="I362" s="2050"/>
      <c r="J362" s="2050"/>
      <c r="K362" s="2050"/>
      <c r="L362" s="2050"/>
      <c r="N362" s="691"/>
      <c r="O362" s="2699"/>
      <c r="P362" s="691"/>
    </row>
    <row r="363" spans="1:18" s="44" customFormat="1" ht="11.25" customHeight="1">
      <c r="A363" s="149"/>
      <c r="C363" s="2050"/>
      <c r="D363" s="2050"/>
      <c r="E363" s="2050"/>
      <c r="F363" s="57" t="s">
        <v>3190</v>
      </c>
      <c r="G363" s="57"/>
      <c r="J363" s="2712" t="str">
        <f>'Part I-Project Information'!$H$67</f>
        <v>HFOP</v>
      </c>
      <c r="K363" s="2713"/>
      <c r="L363" s="2050"/>
      <c r="M363" s="2656" t="s">
        <v>4142</v>
      </c>
      <c r="N363" s="691"/>
      <c r="O363" s="2699"/>
      <c r="P363" s="691"/>
    </row>
    <row r="364" spans="1:18" s="44" customFormat="1" ht="11.25" customHeight="1">
      <c r="A364" s="149"/>
      <c r="B364" s="719" t="s">
        <v>3774</v>
      </c>
      <c r="C364" s="718"/>
      <c r="D364" s="718"/>
      <c r="E364" s="2050"/>
      <c r="F364" s="414"/>
      <c r="H364" s="2050"/>
      <c r="I364" s="2050"/>
      <c r="J364" s="2050"/>
      <c r="K364" s="2050"/>
      <c r="L364" s="2050"/>
      <c r="M364" s="2656"/>
      <c r="N364" s="691"/>
      <c r="O364" s="2699"/>
      <c r="P364" s="2654" t="s">
        <v>3770</v>
      </c>
    </row>
    <row r="365" spans="1:18" s="44" customFormat="1" ht="12.75" customHeight="1">
      <c r="A365" s="149"/>
      <c r="C365" s="2026"/>
      <c r="F365" s="483" t="s">
        <v>3775</v>
      </c>
      <c r="H365" s="2050"/>
      <c r="I365" s="847" t="s">
        <v>3769</v>
      </c>
      <c r="J365" s="677" t="s">
        <v>3771</v>
      </c>
      <c r="K365" s="2041" t="s">
        <v>3770</v>
      </c>
      <c r="L365" s="849" t="s">
        <v>3772</v>
      </c>
      <c r="M365" s="2656"/>
      <c r="N365" s="848"/>
      <c r="O365" s="2699"/>
      <c r="P365" s="2655"/>
    </row>
    <row r="366" spans="1:18" s="44" customFormat="1" ht="12" customHeight="1">
      <c r="A366" s="149"/>
      <c r="B366" s="413" t="s">
        <v>2532</v>
      </c>
      <c r="C366" s="846" t="s">
        <v>3768</v>
      </c>
      <c r="D366" s="718"/>
      <c r="E366" s="2050"/>
      <c r="F366" s="2657"/>
      <c r="G366" s="2658"/>
      <c r="H366" s="2659"/>
      <c r="I366" s="2112"/>
      <c r="J366" s="2112"/>
      <c r="K366" s="2113"/>
      <c r="L366" s="848">
        <v>78</v>
      </c>
      <c r="M366" s="906" t="str">
        <f>IF(K366="","",IF(K366&gt;=L366,"Yes",IF(K366&lt;L366,"No","")))</f>
        <v/>
      </c>
      <c r="N366" s="848"/>
      <c r="O366" s="909" t="str">
        <f>IF(P366="","",IF(P366&gt;=L366,"Yes",IF(P366&lt;L366,"No","")))</f>
        <v/>
      </c>
      <c r="P366" s="850"/>
      <c r="Q366" s="37" t="s">
        <v>4474</v>
      </c>
    </row>
    <row r="367" spans="1:18" s="44" customFormat="1" ht="12" customHeight="1">
      <c r="A367" s="149"/>
      <c r="B367" s="429" t="s">
        <v>2533</v>
      </c>
      <c r="C367" s="846" t="s">
        <v>3766</v>
      </c>
      <c r="D367" s="718"/>
      <c r="E367" s="2050"/>
      <c r="F367" s="2660"/>
      <c r="G367" s="2661"/>
      <c r="H367" s="2662"/>
      <c r="I367" s="2114"/>
      <c r="J367" s="2114"/>
      <c r="K367" s="2115"/>
      <c r="L367" s="848">
        <v>75</v>
      </c>
      <c r="M367" s="907" t="str">
        <f>IF(K367="","",IF(K367&gt;=L367,"Yes",IF(K367&lt;L367,"No","")))</f>
        <v/>
      </c>
      <c r="N367" s="848"/>
      <c r="O367" s="910" t="str">
        <f>IF(P367="","",IF(P367&gt;=L367,"Yes",IF(P367&lt;L367,"No","")))</f>
        <v/>
      </c>
      <c r="P367" s="851"/>
      <c r="Q367" s="37" t="s">
        <v>4474</v>
      </c>
    </row>
    <row r="368" spans="1:18" s="44" customFormat="1" ht="12" customHeight="1">
      <c r="A368" s="149"/>
      <c r="B368" s="413" t="s">
        <v>2534</v>
      </c>
      <c r="C368" s="846" t="s">
        <v>3767</v>
      </c>
      <c r="D368" s="718"/>
      <c r="E368" s="2050"/>
      <c r="F368" s="2740"/>
      <c r="G368" s="2741"/>
      <c r="H368" s="2742"/>
      <c r="I368" s="2116"/>
      <c r="J368" s="2116"/>
      <c r="K368" s="2117"/>
      <c r="L368" s="848">
        <v>72</v>
      </c>
      <c r="M368" s="908" t="str">
        <f>IF(K368="","",IF(K368&gt;=L368,"Yes",IF(K368&lt;L368,"No","")))</f>
        <v/>
      </c>
      <c r="N368" s="848"/>
      <c r="O368" s="911" t="str">
        <f>IF(P368="","",IF(P368&gt;=L368,"Yes",IF(P368&lt;L368,"No","")))</f>
        <v/>
      </c>
      <c r="P368" s="852"/>
      <c r="Q368" s="37" t="s">
        <v>4474</v>
      </c>
    </row>
    <row r="369" spans="1:18" s="44" customFormat="1" ht="10.5" customHeight="1">
      <c r="A369" s="43"/>
      <c r="B369" s="50" t="s">
        <v>268</v>
      </c>
      <c r="C369" s="43"/>
      <c r="D369" s="49"/>
      <c r="E369" s="49"/>
      <c r="F369" s="49"/>
      <c r="G369" s="49"/>
      <c r="H369" s="37"/>
      <c r="I369" s="37"/>
      <c r="J369" s="37"/>
      <c r="K369" s="37"/>
      <c r="M369" s="47"/>
      <c r="N369" s="65"/>
      <c r="O369" s="3"/>
      <c r="P369" s="2032"/>
    </row>
    <row r="370" spans="1:18" s="44" customFormat="1" ht="11.25" customHeight="1">
      <c r="A370" s="2539"/>
      <c r="B370" s="2540"/>
      <c r="C370" s="2540"/>
      <c r="D370" s="2540"/>
      <c r="E370" s="2540"/>
      <c r="F370" s="2540"/>
      <c r="G370" s="2540"/>
      <c r="H370" s="2540"/>
      <c r="I370" s="2540"/>
      <c r="J370" s="2540"/>
      <c r="K370" s="2540"/>
      <c r="L370" s="2540"/>
      <c r="M370" s="2540"/>
      <c r="N370" s="2540"/>
      <c r="O370" s="2540"/>
      <c r="P370" s="2541"/>
      <c r="Q370" s="498" t="s">
        <v>1308</v>
      </c>
    </row>
    <row r="371" spans="1:18" s="44" customFormat="1" ht="10.5" customHeight="1">
      <c r="A371" s="43"/>
      <c r="B371" s="91" t="s">
        <v>1947</v>
      </c>
      <c r="C371" s="104"/>
      <c r="D371" s="91"/>
      <c r="E371" s="105"/>
      <c r="F371" s="2033"/>
      <c r="G371" s="2033"/>
      <c r="H371" s="2033"/>
      <c r="I371" s="2033"/>
      <c r="J371" s="2033"/>
      <c r="K371" s="2033"/>
      <c r="L371" s="2033"/>
      <c r="M371" s="2033"/>
      <c r="N371" s="79"/>
      <c r="O371" s="75"/>
      <c r="P371" s="2028"/>
      <c r="Q371" s="474"/>
    </row>
    <row r="372" spans="1:18" s="44" customFormat="1" ht="11.25" customHeight="1">
      <c r="A372" s="2513"/>
      <c r="B372" s="2514"/>
      <c r="C372" s="2514"/>
      <c r="D372" s="2514"/>
      <c r="E372" s="2514"/>
      <c r="F372" s="2514"/>
      <c r="G372" s="2514"/>
      <c r="H372" s="2514"/>
      <c r="I372" s="2514"/>
      <c r="J372" s="2514"/>
      <c r="K372" s="2514"/>
      <c r="L372" s="2514"/>
      <c r="M372" s="2514"/>
      <c r="N372" s="2514"/>
      <c r="O372" s="2514"/>
      <c r="P372" s="2515"/>
      <c r="Q372" s="498" t="s">
        <v>1308</v>
      </c>
    </row>
    <row r="373" spans="1:18" s="44" customFormat="1" ht="3" customHeight="1">
      <c r="A373" s="43"/>
      <c r="C373" s="2033"/>
      <c r="D373" s="2033"/>
      <c r="E373" s="2033"/>
      <c r="F373" s="2033"/>
      <c r="G373" s="2033"/>
      <c r="H373" s="2033"/>
      <c r="I373" s="2033"/>
      <c r="J373" s="2033"/>
      <c r="K373" s="2033"/>
      <c r="L373" s="2033"/>
      <c r="M373" s="2033"/>
      <c r="N373" s="79"/>
      <c r="O373" s="75"/>
      <c r="P373" s="1308"/>
    </row>
    <row r="374" spans="1:18" s="44" customFormat="1" ht="12" customHeight="1">
      <c r="A374" s="166" t="s">
        <v>3076</v>
      </c>
      <c r="B374" s="112" t="s">
        <v>3075</v>
      </c>
      <c r="C374" s="56"/>
      <c r="D374" s="124"/>
      <c r="E374" s="124"/>
      <c r="F374" s="42"/>
      <c r="G374" s="2041" t="s">
        <v>4281</v>
      </c>
      <c r="H374" s="42"/>
      <c r="M374" s="1308">
        <v>2</v>
      </c>
      <c r="N374" s="192"/>
      <c r="O374" s="68">
        <f>IF($I$387&gt;=0.6,2,IF($I$387&gt;=0.5,1,0))</f>
        <v>0</v>
      </c>
      <c r="P374" s="68">
        <f>IF($J$387&gt;=0.6,2,IF($J$387&gt;=0.5,1,0))</f>
        <v>0</v>
      </c>
      <c r="Q374" s="115" t="s">
        <v>459</v>
      </c>
      <c r="R374" s="37" t="s">
        <v>2834</v>
      </c>
    </row>
    <row r="375" spans="1:18" s="57" customFormat="1" ht="3" customHeight="1">
      <c r="R375" s="663"/>
    </row>
    <row r="376" spans="1:18" s="57" customFormat="1" ht="12" customHeight="1">
      <c r="B376" s="149" t="s">
        <v>2068</v>
      </c>
      <c r="C376" s="37" t="s">
        <v>4288</v>
      </c>
      <c r="M376" s="677">
        <v>2</v>
      </c>
      <c r="R376" s="663"/>
    </row>
    <row r="377" spans="1:18" s="57" customFormat="1" ht="12" customHeight="1">
      <c r="B377" s="149" t="s">
        <v>2071</v>
      </c>
      <c r="C377" s="37" t="s">
        <v>4289</v>
      </c>
      <c r="M377" s="677">
        <v>1</v>
      </c>
      <c r="R377" s="663"/>
    </row>
    <row r="378" spans="1:18" s="57" customFormat="1" ht="1.5" customHeight="1">
      <c r="D378" s="1501"/>
      <c r="E378" s="1501"/>
      <c r="F378" s="1501"/>
      <c r="G378" s="1501"/>
      <c r="H378" s="1501"/>
      <c r="I378" s="1501"/>
      <c r="J378" s="1501"/>
      <c r="K378" s="1501"/>
      <c r="L378" s="1501"/>
      <c r="M378" s="1501"/>
      <c r="R378" s="663"/>
    </row>
    <row r="379" spans="1:18" s="57" customFormat="1" ht="12" customHeight="1">
      <c r="B379" s="2729" t="s">
        <v>4282</v>
      </c>
      <c r="C379" s="2730"/>
      <c r="D379" s="2054" t="s">
        <v>3077</v>
      </c>
      <c r="E379" s="2502" t="s">
        <v>3777</v>
      </c>
      <c r="F379" s="2502"/>
      <c r="G379" s="2502"/>
      <c r="H379" s="2502"/>
      <c r="I379" s="2502"/>
      <c r="J379" s="2502"/>
      <c r="K379" s="2502"/>
      <c r="L379" s="2502"/>
      <c r="M379" s="2054" t="s">
        <v>1669</v>
      </c>
      <c r="N379" s="2727" t="s">
        <v>2699</v>
      </c>
      <c r="O379" s="2728"/>
    </row>
    <row r="380" spans="1:18" s="57" customFormat="1" ht="12" customHeight="1">
      <c r="A380" s="48"/>
      <c r="B380" s="2729"/>
      <c r="C380" s="2730"/>
      <c r="D380" s="853" t="s">
        <v>1258</v>
      </c>
      <c r="E380" s="2499" t="s">
        <v>3081</v>
      </c>
      <c r="F380" s="2500"/>
      <c r="G380" s="2500"/>
      <c r="H380" s="2500"/>
      <c r="I380" s="2500"/>
      <c r="J380" s="2500"/>
      <c r="K380" s="2500"/>
      <c r="L380" s="2501"/>
      <c r="M380" s="853" t="s">
        <v>2713</v>
      </c>
      <c r="N380" s="2725" t="s">
        <v>1333</v>
      </c>
      <c r="O380" s="2726"/>
    </row>
    <row r="381" spans="1:18" s="57" customFormat="1" ht="12.75" customHeight="1">
      <c r="A381" s="48"/>
      <c r="B381" s="2729"/>
      <c r="C381" s="2730"/>
      <c r="D381" s="2053">
        <v>20000</v>
      </c>
      <c r="E381" s="2498">
        <v>15000</v>
      </c>
      <c r="F381" s="2498"/>
      <c r="G381" s="2498"/>
      <c r="H381" s="2498"/>
      <c r="I381" s="2498"/>
      <c r="J381" s="2498"/>
      <c r="K381" s="2498"/>
      <c r="L381" s="2498"/>
      <c r="M381" s="2053">
        <v>6000</v>
      </c>
      <c r="N381" s="2723">
        <v>3000</v>
      </c>
      <c r="O381" s="2724"/>
    </row>
    <row r="382" spans="1:18" s="57" customFormat="1" ht="12" customHeight="1">
      <c r="A382" s="48"/>
      <c r="B382" s="48"/>
      <c r="C382" s="463"/>
      <c r="I382" s="677" t="s">
        <v>4152</v>
      </c>
      <c r="J382" s="677" t="s">
        <v>4153</v>
      </c>
      <c r="K382" s="1373"/>
      <c r="L382" s="1373"/>
      <c r="M382" s="1373"/>
      <c r="R382" s="663"/>
    </row>
    <row r="383" spans="1:18" s="57" customFormat="1" ht="12" customHeight="1">
      <c r="C383" s="1375" t="s">
        <v>4287</v>
      </c>
      <c r="D383" s="1373"/>
      <c r="E383" s="1373"/>
      <c r="F383" s="1373"/>
      <c r="G383" s="1373"/>
      <c r="H383" s="1373"/>
      <c r="I383" s="2118"/>
      <c r="J383" s="2119"/>
      <c r="K383" s="2497" t="str">
        <f>IF(J384&lt;J383,"Threshold not met!","")</f>
        <v/>
      </c>
      <c r="L383" s="1374" t="s">
        <v>3078</v>
      </c>
      <c r="M383" s="2636" t="str">
        <f>'Part I-Project Information'!$F$28</f>
        <v>Atlanta</v>
      </c>
      <c r="N383" s="2637"/>
      <c r="O383" s="2637"/>
      <c r="P383" s="2638"/>
    </row>
    <row r="384" spans="1:18" s="57" customFormat="1" ht="12" customHeight="1">
      <c r="A384" s="1379"/>
      <c r="B384" s="1379"/>
      <c r="C384" s="478" t="s">
        <v>4283</v>
      </c>
      <c r="H384" s="1376" t="str">
        <f>IF(I384&lt;I383,"Threshold not met!","")</f>
        <v/>
      </c>
      <c r="I384" s="2120"/>
      <c r="J384" s="2121"/>
      <c r="K384" s="2497"/>
      <c r="L384" s="61" t="s">
        <v>3079</v>
      </c>
      <c r="M384" s="2510" t="str">
        <f>'Part I-Project Information'!$J$29</f>
        <v>Fulton</v>
      </c>
      <c r="N384" s="2511"/>
      <c r="O384" s="2511"/>
      <c r="P384" s="2512"/>
    </row>
    <row r="385" spans="1:18" s="57" customFormat="1" ht="12" customHeight="1">
      <c r="A385" s="1379"/>
      <c r="B385" s="1379"/>
      <c r="C385" s="478" t="s">
        <v>4285</v>
      </c>
      <c r="I385" s="2122"/>
      <c r="J385" s="2123"/>
      <c r="L385" s="478" t="s">
        <v>3080</v>
      </c>
      <c r="M385" s="2510" t="str">
        <f>'Part I-Project Information'!$O$30</f>
        <v>Atlanta-Sandy Springs-Marietta</v>
      </c>
      <c r="N385" s="2511"/>
      <c r="O385" s="2511"/>
      <c r="P385" s="2512"/>
    </row>
    <row r="386" spans="1:18" s="57" customFormat="1" ht="12" customHeight="1">
      <c r="L386" s="478" t="s">
        <v>3191</v>
      </c>
      <c r="M386" s="2510" t="str">
        <f>VLOOKUP('Part I-Project Information'!$J$29,'DCA Underwriting Assumptions'!$G$141:$J$300,4)</f>
        <v>MSA</v>
      </c>
      <c r="N386" s="2511"/>
      <c r="O386" s="2511"/>
      <c r="P386" s="2512"/>
    </row>
    <row r="387" spans="1:18" s="57" customFormat="1" ht="12" customHeight="1">
      <c r="C387" s="478" t="s">
        <v>4286</v>
      </c>
      <c r="I387" s="1377">
        <f>IF(I384=0,0,I385/I384)</f>
        <v>0</v>
      </c>
      <c r="J387" s="1378">
        <f>IF(J384=0,0,J385/J384)</f>
        <v>0</v>
      </c>
      <c r="L387" s="57" t="s">
        <v>4284</v>
      </c>
      <c r="M387" s="2494" t="str">
        <f>'Part I-Project Information'!$K$30</f>
        <v>Urban</v>
      </c>
      <c r="N387" s="2495"/>
      <c r="O387" s="2495"/>
      <c r="P387" s="2496"/>
    </row>
    <row r="388" spans="1:18" s="57" customFormat="1" ht="3" customHeight="1">
      <c r="A388" s="48"/>
      <c r="B388" s="539"/>
      <c r="C388" s="1300"/>
      <c r="D388" s="658"/>
      <c r="E388" s="658"/>
      <c r="F388" s="48"/>
      <c r="G388" s="48"/>
      <c r="H388" s="48"/>
      <c r="I388" s="48"/>
      <c r="J388" s="48"/>
      <c r="K388" s="48"/>
      <c r="R388" s="663"/>
    </row>
    <row r="389" spans="1:18" s="44" customFormat="1" ht="12" customHeight="1">
      <c r="A389" s="43"/>
      <c r="B389" s="50" t="s">
        <v>268</v>
      </c>
      <c r="C389" s="43"/>
      <c r="D389" s="49"/>
      <c r="E389" s="49"/>
      <c r="F389" s="49"/>
      <c r="G389" s="49"/>
      <c r="H389" s="37"/>
      <c r="I389" s="37"/>
      <c r="J389" s="37"/>
      <c r="K389" s="37"/>
      <c r="M389" s="47"/>
      <c r="N389" s="65"/>
      <c r="O389" s="3"/>
      <c r="P389" s="2032"/>
    </row>
    <row r="390" spans="1:18" s="44" customFormat="1" ht="21.75" customHeight="1">
      <c r="A390" s="2539"/>
      <c r="B390" s="2540"/>
      <c r="C390" s="2540"/>
      <c r="D390" s="2540"/>
      <c r="E390" s="2540"/>
      <c r="F390" s="2540"/>
      <c r="G390" s="2540"/>
      <c r="H390" s="2540"/>
      <c r="I390" s="2540"/>
      <c r="J390" s="2540"/>
      <c r="K390" s="2540"/>
      <c r="L390" s="2540"/>
      <c r="M390" s="2540"/>
      <c r="N390" s="2540"/>
      <c r="O390" s="2540"/>
      <c r="P390" s="2541"/>
      <c r="Q390" s="498" t="s">
        <v>1308</v>
      </c>
    </row>
    <row r="391" spans="1:18" s="44" customFormat="1" ht="11.25" customHeight="1">
      <c r="A391" s="43"/>
      <c r="B391" s="91" t="s">
        <v>1947</v>
      </c>
      <c r="C391" s="104"/>
      <c r="D391" s="91"/>
      <c r="E391" s="105"/>
      <c r="F391" s="2033"/>
      <c r="G391" s="2033"/>
      <c r="H391" s="2033"/>
      <c r="I391" s="2033"/>
      <c r="J391" s="2033"/>
      <c r="K391" s="2033"/>
      <c r="L391" s="2033"/>
      <c r="M391" s="2033"/>
      <c r="N391" s="79"/>
      <c r="O391" s="75"/>
      <c r="P391" s="2028"/>
      <c r="Q391" s="474"/>
    </row>
    <row r="392" spans="1:18" s="44" customFormat="1" ht="12.75" customHeight="1">
      <c r="A392" s="2513"/>
      <c r="B392" s="2514"/>
      <c r="C392" s="2514"/>
      <c r="D392" s="2514"/>
      <c r="E392" s="2514"/>
      <c r="F392" s="2514"/>
      <c r="G392" s="2514"/>
      <c r="H392" s="2514"/>
      <c r="I392" s="2514"/>
      <c r="J392" s="2514"/>
      <c r="K392" s="2514"/>
      <c r="L392" s="2514"/>
      <c r="M392" s="2514"/>
      <c r="N392" s="2514"/>
      <c r="O392" s="2514"/>
      <c r="P392" s="2515"/>
      <c r="Q392" s="498" t="s">
        <v>1308</v>
      </c>
    </row>
    <row r="393" spans="1:18" s="44" customFormat="1" ht="3" customHeight="1">
      <c r="A393" s="43"/>
      <c r="C393" s="2033"/>
      <c r="D393" s="2033"/>
      <c r="E393" s="2033"/>
      <c r="F393" s="2033"/>
      <c r="G393" s="2033"/>
      <c r="H393" s="2033"/>
      <c r="I393" s="2033"/>
      <c r="J393" s="2033"/>
      <c r="K393" s="2033"/>
      <c r="L393" s="2033"/>
      <c r="M393" s="2033"/>
      <c r="N393" s="79"/>
      <c r="O393" s="75"/>
      <c r="P393" s="1308"/>
    </row>
    <row r="394" spans="1:18" s="108" customFormat="1" ht="11.25" customHeight="1">
      <c r="A394" s="166" t="s">
        <v>3074</v>
      </c>
      <c r="B394" s="111" t="s">
        <v>1747</v>
      </c>
      <c r="D394" s="46"/>
      <c r="E394" s="46"/>
      <c r="F394" s="40"/>
      <c r="G394" s="37"/>
      <c r="I394" s="37"/>
      <c r="J394" s="37"/>
      <c r="K394" s="37"/>
      <c r="L394" s="414" t="str">
        <f>IF(OR($O394=$M394,$O394&lt;=0,$O394=""),"","* * Check Score! * *")</f>
        <v/>
      </c>
      <c r="M394" s="2028">
        <v>10</v>
      </c>
      <c r="N394" s="6"/>
      <c r="O394" s="68">
        <f>MIN($M$394,O396-O397+O398)</f>
        <v>10</v>
      </c>
      <c r="P394" s="68">
        <f>MIN($M$394,P396-P397+P398)</f>
        <v>10</v>
      </c>
      <c r="Q394" s="115" t="s">
        <v>459</v>
      </c>
    </row>
    <row r="395" spans="1:18" s="108" customFormat="1" ht="4.5" customHeight="1">
      <c r="A395" s="166"/>
      <c r="B395" s="111"/>
      <c r="D395" s="46"/>
      <c r="E395" s="46"/>
      <c r="F395" s="40"/>
      <c r="G395" s="37"/>
      <c r="I395" s="37"/>
      <c r="J395" s="37"/>
      <c r="K395" s="37"/>
      <c r="L395" s="414"/>
      <c r="M395" s="2028"/>
      <c r="N395" s="6"/>
      <c r="O395" s="6"/>
      <c r="P395" s="6"/>
      <c r="Q395" s="115"/>
    </row>
    <row r="396" spans="1:18" s="108" customFormat="1" ht="11.25" customHeight="1">
      <c r="A396" s="166"/>
      <c r="B396" s="92" t="s">
        <v>4400</v>
      </c>
      <c r="D396" s="46"/>
      <c r="E396" s="46"/>
      <c r="F396" s="40"/>
      <c r="G396" s="37"/>
      <c r="I396" s="37"/>
      <c r="J396" s="37"/>
      <c r="K396" s="37"/>
      <c r="L396" s="414"/>
      <c r="M396" s="2028"/>
      <c r="N396" s="6"/>
      <c r="O396" s="1426">
        <v>10</v>
      </c>
      <c r="P396" s="1426">
        <v>10</v>
      </c>
      <c r="Q396" s="115"/>
    </row>
    <row r="397" spans="1:18" s="108" customFormat="1" ht="11.25" customHeight="1">
      <c r="A397" s="166"/>
      <c r="B397" s="92" t="s">
        <v>4401</v>
      </c>
      <c r="D397" s="46"/>
      <c r="E397" s="46"/>
      <c r="F397" s="40"/>
      <c r="G397" s="37"/>
      <c r="I397" s="37"/>
      <c r="J397" s="37"/>
      <c r="K397" s="37"/>
      <c r="L397" s="414"/>
      <c r="M397" s="2028"/>
      <c r="N397" s="6"/>
      <c r="O397" s="2124"/>
      <c r="P397" s="693"/>
      <c r="Q397" s="115"/>
    </row>
    <row r="398" spans="1:18" s="108" customFormat="1" ht="11.25" customHeight="1">
      <c r="A398" s="166"/>
      <c r="B398" s="92" t="s">
        <v>4402</v>
      </c>
      <c r="D398" s="46"/>
      <c r="E398" s="46"/>
      <c r="F398" s="40"/>
      <c r="G398" s="37"/>
      <c r="I398" s="37"/>
      <c r="J398" s="37"/>
      <c r="K398" s="37"/>
      <c r="L398" s="414"/>
      <c r="M398" s="2028"/>
      <c r="N398" s="6"/>
      <c r="O398" s="2125"/>
      <c r="P398" s="694"/>
      <c r="Q398" s="115"/>
    </row>
    <row r="399" spans="1:18" s="108" customFormat="1" ht="3" customHeight="1">
      <c r="A399" s="166"/>
      <c r="B399" s="180"/>
      <c r="D399" s="46"/>
      <c r="E399" s="46"/>
      <c r="F399" s="40"/>
      <c r="G399" s="37"/>
      <c r="I399" s="37"/>
      <c r="J399" s="37"/>
      <c r="K399" s="37"/>
      <c r="L399" s="414"/>
      <c r="M399" s="2028"/>
      <c r="N399" s="2028"/>
      <c r="O399" s="2028"/>
      <c r="P399" s="2028"/>
      <c r="Q399" s="115"/>
    </row>
    <row r="400" spans="1:18" ht="12.6" customHeight="1">
      <c r="A400" s="149" t="s">
        <v>2068</v>
      </c>
      <c r="B400" s="195" t="s">
        <v>1500</v>
      </c>
      <c r="D400" s="34"/>
      <c r="E400" s="34"/>
      <c r="F400" s="34"/>
      <c r="G400" s="34"/>
      <c r="H400" s="34"/>
      <c r="I400" s="34"/>
      <c r="J400" s="34"/>
      <c r="K400" s="34"/>
      <c r="L400" s="34"/>
      <c r="M400" s="122"/>
      <c r="N400" s="527" t="s">
        <v>2068</v>
      </c>
      <c r="O400" s="2073"/>
      <c r="P400" s="1220"/>
      <c r="Q400" s="188" t="s">
        <v>2834</v>
      </c>
    </row>
    <row r="401" spans="1:18" s="108" customFormat="1" ht="11.25" customHeight="1">
      <c r="A401" s="71"/>
      <c r="B401" s="71" t="s">
        <v>1947</v>
      </c>
      <c r="C401" s="51"/>
      <c r="D401" s="71"/>
      <c r="E401" s="2034"/>
      <c r="F401" s="2034"/>
      <c r="G401" s="2034"/>
      <c r="H401" s="2034"/>
      <c r="I401" s="2034"/>
      <c r="J401" s="2034"/>
      <c r="K401" s="2034"/>
      <c r="L401" s="2034"/>
      <c r="M401" s="2034"/>
      <c r="N401" s="99"/>
      <c r="O401" s="1279"/>
      <c r="P401" s="2028"/>
    </row>
    <row r="402" spans="1:18" s="44" customFormat="1" ht="12.75" customHeight="1">
      <c r="A402" s="2513"/>
      <c r="B402" s="2514"/>
      <c r="C402" s="2514"/>
      <c r="D402" s="2514"/>
      <c r="E402" s="2514"/>
      <c r="F402" s="2514"/>
      <c r="G402" s="2514"/>
      <c r="H402" s="2514"/>
      <c r="I402" s="2514"/>
      <c r="J402" s="2514"/>
      <c r="K402" s="2514"/>
      <c r="L402" s="2514"/>
      <c r="M402" s="2514"/>
      <c r="N402" s="2514"/>
      <c r="O402" s="2514"/>
      <c r="P402" s="2515"/>
      <c r="Q402" s="498" t="s">
        <v>1308</v>
      </c>
      <c r="R402" s="499"/>
    </row>
    <row r="403" spans="1:18" s="44" customFormat="1" ht="6" customHeight="1" thickBot="1">
      <c r="A403" s="43"/>
      <c r="B403" s="43"/>
      <c r="C403" s="2033"/>
      <c r="D403" s="2033"/>
      <c r="E403" s="2033"/>
      <c r="F403" s="2033"/>
      <c r="G403" s="2033"/>
      <c r="H403" s="2033"/>
      <c r="I403" s="2033"/>
      <c r="J403" s="2033"/>
      <c r="K403" s="2033"/>
      <c r="L403" s="2033"/>
      <c r="M403" s="2033"/>
      <c r="N403" s="79"/>
      <c r="O403" s="75"/>
      <c r="P403" s="1308"/>
    </row>
    <row r="404" spans="1:18" s="43" customFormat="1" ht="13.5" customHeight="1" thickBot="1">
      <c r="A404" s="501"/>
      <c r="B404" s="72"/>
      <c r="C404" s="51"/>
      <c r="D404" s="36"/>
      <c r="E404" s="36"/>
      <c r="F404" s="56"/>
      <c r="G404" s="44"/>
      <c r="H404" s="167" t="s">
        <v>442</v>
      </c>
      <c r="I404" s="168"/>
      <c r="J404" s="168"/>
      <c r="K404" s="168"/>
      <c r="L404" s="108"/>
      <c r="M404" s="494">
        <f>M8+M29+M43+M56+M79+M86+M109+M125+M168+M191+M202+M210+M218+M231+M245+M284+M297+M310+M326+M358+M374+M394</f>
        <v>103</v>
      </c>
      <c r="N404" s="169"/>
      <c r="O404" s="170">
        <f>O8+O29+O43+O56+O79+O86+O109+O125+O168+O191+O202+O218+O231+O245+O297+O310+O358+O374+O394</f>
        <v>24</v>
      </c>
      <c r="P404" s="170">
        <f>P8+P29+P43+P56+P79+P86+P109+P125+P168+P191+P202+P210+P218+P231+P245+P284+P297+P310+P326+P358+P374+P394</f>
        <v>24</v>
      </c>
    </row>
    <row r="405" spans="1:18" s="43" customFormat="1" ht="13.5" customHeight="1">
      <c r="A405" s="56"/>
      <c r="B405" s="72"/>
      <c r="C405" s="56"/>
      <c r="D405" s="36"/>
      <c r="E405" s="36"/>
      <c r="F405" s="74"/>
      <c r="G405" s="74"/>
      <c r="H405" s="180"/>
      <c r="I405" s="180" t="s">
        <v>3196</v>
      </c>
      <c r="J405" s="73"/>
      <c r="K405" s="73"/>
      <c r="L405" s="44"/>
      <c r="M405" s="36"/>
      <c r="N405" s="2028"/>
      <c r="O405" s="525"/>
      <c r="P405" s="525">
        <f>P210</f>
        <v>0</v>
      </c>
    </row>
    <row r="406" spans="1:18" s="43" customFormat="1" ht="13.5" customHeight="1">
      <c r="A406" s="56"/>
      <c r="B406" s="72"/>
      <c r="C406" s="56"/>
      <c r="D406" s="36"/>
      <c r="E406" s="36"/>
      <c r="F406" s="74"/>
      <c r="G406" s="74"/>
      <c r="I406" s="180" t="s">
        <v>3197</v>
      </c>
      <c r="J406" s="73"/>
      <c r="K406" s="73"/>
      <c r="L406" s="44"/>
      <c r="M406" s="36"/>
      <c r="N406" s="2028"/>
      <c r="O406" s="2028"/>
      <c r="P406" s="525">
        <f>P284</f>
        <v>0</v>
      </c>
    </row>
    <row r="407" spans="1:18" s="44" customFormat="1" ht="13.5" customHeight="1">
      <c r="A407" s="43"/>
      <c r="B407" s="43"/>
      <c r="C407" s="2033"/>
      <c r="D407" s="2033"/>
      <c r="E407" s="2033"/>
      <c r="F407" s="2033"/>
      <c r="G407" s="2033"/>
      <c r="I407" s="180" t="s">
        <v>3198</v>
      </c>
      <c r="J407" s="2033"/>
      <c r="K407" s="2033"/>
      <c r="L407" s="2033"/>
      <c r="M407" s="2033"/>
      <c r="N407" s="79"/>
      <c r="O407" s="75"/>
      <c r="P407" s="525">
        <f>P326</f>
        <v>0</v>
      </c>
    </row>
    <row r="408" spans="1:18" s="44" customFormat="1" ht="13.5" customHeight="1">
      <c r="A408" s="43"/>
      <c r="D408" s="40"/>
      <c r="E408" s="37"/>
      <c r="F408" s="1308"/>
      <c r="G408" s="1308"/>
      <c r="H408" s="4" t="s">
        <v>3199</v>
      </c>
      <c r="I408" s="1308"/>
      <c r="J408" s="1344"/>
      <c r="K408" s="1344"/>
      <c r="L408" s="1344"/>
      <c r="M408" s="63"/>
      <c r="N408" s="1308"/>
      <c r="O408" s="2032"/>
      <c r="P408" s="710">
        <f>P404-P405-P406-P407</f>
        <v>24</v>
      </c>
    </row>
    <row r="409" spans="1:18" s="172" customFormat="1" ht="13.5" customHeight="1">
      <c r="A409" s="56"/>
      <c r="B409" s="72"/>
      <c r="C409" s="56"/>
      <c r="D409" s="158"/>
      <c r="E409" s="158"/>
      <c r="F409" s="41"/>
      <c r="G409" s="41"/>
      <c r="H409" s="74"/>
      <c r="I409" s="74"/>
      <c r="J409" s="544"/>
      <c r="K409" s="544"/>
      <c r="L409" s="44"/>
      <c r="M409" s="158"/>
      <c r="N409" s="2028"/>
      <c r="O409" s="2028"/>
      <c r="P409" s="3"/>
    </row>
    <row r="410" spans="1:18" s="44" customFormat="1" ht="27.75" customHeight="1">
      <c r="A410" s="2722" t="s">
        <v>4516</v>
      </c>
      <c r="B410" s="2722"/>
      <c r="C410" s="2722"/>
      <c r="D410" s="2722"/>
      <c r="E410" s="2722"/>
      <c r="F410" s="2722"/>
      <c r="G410" s="2722"/>
      <c r="H410" s="2722"/>
      <c r="I410" s="2722"/>
      <c r="J410" s="2722"/>
      <c r="K410" s="2722"/>
      <c r="L410" s="2722"/>
      <c r="M410" s="2722"/>
      <c r="N410" s="2722"/>
      <c r="O410" s="2722"/>
      <c r="P410" s="2722"/>
    </row>
    <row r="411" spans="1:18" s="44" customFormat="1" ht="107.25" customHeight="1">
      <c r="A411" s="2539"/>
      <c r="B411" s="2540"/>
      <c r="C411" s="2540"/>
      <c r="D411" s="2540"/>
      <c r="E411" s="2540"/>
      <c r="F411" s="2540"/>
      <c r="G411" s="2540"/>
      <c r="H411" s="2540"/>
      <c r="I411" s="2540"/>
      <c r="J411" s="2540"/>
      <c r="K411" s="2540"/>
      <c r="L411" s="2540"/>
      <c r="M411" s="2540"/>
      <c r="N411" s="2540"/>
      <c r="O411" s="2540"/>
      <c r="P411" s="2541"/>
      <c r="Q411" s="498" t="s">
        <v>1308</v>
      </c>
      <c r="R411" s="499"/>
    </row>
    <row r="412" spans="1:18" s="172" customFormat="1">
      <c r="N412" s="130"/>
      <c r="O412" s="2024"/>
      <c r="P412" s="2024"/>
    </row>
    <row r="413" spans="1:18" s="172" customFormat="1">
      <c r="N413" s="130"/>
      <c r="O413" s="2024"/>
      <c r="P413" s="2024"/>
    </row>
    <row r="414" spans="1:18" s="172" customFormat="1">
      <c r="N414" s="130"/>
      <c r="O414" s="2024"/>
      <c r="P414" s="2024"/>
    </row>
    <row r="415" spans="1:18" s="172" customFormat="1">
      <c r="N415" s="130"/>
      <c r="O415" s="2024"/>
      <c r="P415" s="2024"/>
    </row>
    <row r="416" spans="1:18" s="548" customFormat="1">
      <c r="C416" s="503" t="s">
        <v>1718</v>
      </c>
      <c r="D416" s="503"/>
      <c r="E416" s="503"/>
      <c r="F416" s="503"/>
      <c r="G416" s="503"/>
      <c r="H416" s="503"/>
      <c r="I416" s="503"/>
      <c r="J416" s="503" t="s">
        <v>1057</v>
      </c>
      <c r="K416" s="503"/>
      <c r="N416" s="1502"/>
      <c r="O416" s="1503"/>
      <c r="P416" s="1503"/>
    </row>
    <row r="417" spans="3:16" s="548" customFormat="1">
      <c r="C417" s="548" t="s">
        <v>2177</v>
      </c>
      <c r="J417" s="548" t="s">
        <v>1847</v>
      </c>
      <c r="N417" s="1502"/>
      <c r="O417" s="1503"/>
      <c r="P417" s="1503"/>
    </row>
    <row r="418" spans="3:16" s="548" customFormat="1">
      <c r="C418" s="503" t="s">
        <v>2644</v>
      </c>
      <c r="D418" s="503"/>
      <c r="E418" s="503"/>
      <c r="F418" s="503"/>
      <c r="G418" s="503"/>
      <c r="H418" s="503"/>
      <c r="I418" s="503"/>
      <c r="J418" s="1437" t="s">
        <v>240</v>
      </c>
      <c r="K418" s="503"/>
      <c r="N418" s="1502"/>
      <c r="O418" s="1503"/>
      <c r="P418" s="1503"/>
    </row>
    <row r="419" spans="3:16" s="548" customFormat="1">
      <c r="C419" s="503" t="s">
        <v>2178</v>
      </c>
      <c r="D419" s="503"/>
      <c r="E419" s="503"/>
      <c r="F419" s="503"/>
      <c r="G419" s="503"/>
      <c r="H419" s="503"/>
      <c r="I419" s="503"/>
      <c r="J419" s="1437" t="s">
        <v>1720</v>
      </c>
      <c r="K419" s="503"/>
      <c r="N419" s="1502"/>
      <c r="O419" s="1503"/>
      <c r="P419" s="1503"/>
    </row>
    <row r="420" spans="3:16" s="548" customFormat="1">
      <c r="C420" s="503" t="s">
        <v>2179</v>
      </c>
      <c r="D420" s="503"/>
      <c r="E420" s="503"/>
      <c r="F420" s="503"/>
      <c r="G420" s="503"/>
      <c r="H420" s="503"/>
      <c r="I420" s="503"/>
      <c r="J420" s="1437" t="s">
        <v>1721</v>
      </c>
      <c r="K420" s="503"/>
      <c r="N420" s="1502"/>
      <c r="O420" s="1503"/>
      <c r="P420" s="1503"/>
    </row>
    <row r="421" spans="3:16" s="548" customFormat="1">
      <c r="C421" s="1438" t="s">
        <v>2180</v>
      </c>
      <c r="D421" s="503"/>
      <c r="E421" s="503"/>
      <c r="F421" s="503"/>
      <c r="G421" s="503"/>
      <c r="H421" s="503"/>
      <c r="I421" s="503"/>
      <c r="J421" s="1437" t="s">
        <v>2603</v>
      </c>
      <c r="K421" s="503"/>
      <c r="N421" s="1502"/>
      <c r="O421" s="1503"/>
      <c r="P421" s="1503"/>
    </row>
    <row r="422" spans="3:16" s="548" customFormat="1">
      <c r="C422" s="1438" t="s">
        <v>2181</v>
      </c>
      <c r="D422" s="503"/>
      <c r="E422" s="503"/>
      <c r="F422" s="503"/>
      <c r="G422" s="503"/>
      <c r="H422" s="503"/>
      <c r="I422" s="503"/>
      <c r="J422" s="1437" t="s">
        <v>1722</v>
      </c>
      <c r="K422" s="503"/>
      <c r="N422" s="1502"/>
      <c r="O422" s="1503"/>
      <c r="P422" s="1503"/>
    </row>
    <row r="423" spans="3:16" s="548" customFormat="1">
      <c r="C423" s="1438"/>
      <c r="D423" s="503"/>
      <c r="E423" s="503"/>
      <c r="F423" s="503"/>
      <c r="G423" s="503"/>
      <c r="H423" s="503"/>
      <c r="I423" s="503"/>
      <c r="J423" s="1437" t="s">
        <v>1723</v>
      </c>
      <c r="K423" s="503"/>
      <c r="N423" s="1502"/>
      <c r="O423" s="1503"/>
      <c r="P423" s="1503"/>
    </row>
    <row r="424" spans="3:16" s="548" customFormat="1">
      <c r="C424" s="548" t="s">
        <v>1847</v>
      </c>
      <c r="D424" s="503"/>
      <c r="E424" s="503"/>
      <c r="F424" s="503"/>
      <c r="G424" s="503"/>
      <c r="H424" s="503"/>
      <c r="I424" s="503"/>
      <c r="J424" s="1437" t="s">
        <v>1724</v>
      </c>
      <c r="K424" s="503"/>
      <c r="N424" s="1502"/>
      <c r="O424" s="1503"/>
      <c r="P424" s="1503"/>
    </row>
    <row r="425" spans="3:16" s="548" customFormat="1">
      <c r="C425" s="1439" t="s">
        <v>1449</v>
      </c>
      <c r="D425" s="503"/>
      <c r="E425" s="503"/>
      <c r="F425" s="503"/>
      <c r="G425" s="503"/>
      <c r="H425" s="503"/>
      <c r="I425" s="503"/>
      <c r="J425" s="1437" t="s">
        <v>1725</v>
      </c>
      <c r="K425" s="503"/>
      <c r="N425" s="1502"/>
      <c r="O425" s="1503"/>
      <c r="P425" s="1503"/>
    </row>
    <row r="426" spans="3:16" s="548" customFormat="1">
      <c r="C426" s="1439" t="s">
        <v>1450</v>
      </c>
      <c r="D426" s="503"/>
      <c r="E426" s="503"/>
      <c r="F426" s="503"/>
      <c r="G426" s="503"/>
      <c r="H426" s="503"/>
      <c r="I426" s="503"/>
      <c r="J426" s="1437" t="s">
        <v>1726</v>
      </c>
      <c r="K426" s="503"/>
      <c r="N426" s="1502"/>
      <c r="O426" s="1503"/>
      <c r="P426" s="1503"/>
    </row>
    <row r="427" spans="3:16" s="548" customFormat="1">
      <c r="C427" s="1440" t="s">
        <v>2221</v>
      </c>
      <c r="D427" s="503"/>
      <c r="E427" s="503"/>
      <c r="F427" s="503"/>
      <c r="G427" s="503"/>
      <c r="H427" s="503"/>
      <c r="I427" s="503"/>
      <c r="J427" s="1437" t="s">
        <v>1727</v>
      </c>
      <c r="K427" s="503"/>
      <c r="N427" s="1502"/>
      <c r="O427" s="1503"/>
      <c r="P427" s="1503"/>
    </row>
    <row r="428" spans="3:16" s="548" customFormat="1">
      <c r="C428" s="1440" t="s">
        <v>1446</v>
      </c>
      <c r="D428" s="503"/>
      <c r="E428" s="503"/>
      <c r="F428" s="503"/>
      <c r="G428" s="503"/>
      <c r="H428" s="503"/>
      <c r="I428" s="503"/>
      <c r="J428" s="1437" t="s">
        <v>619</v>
      </c>
      <c r="K428" s="503"/>
      <c r="N428" s="1502"/>
      <c r="O428" s="1503"/>
      <c r="P428" s="1503"/>
    </row>
    <row r="429" spans="3:16" s="548" customFormat="1">
      <c r="C429" s="1440" t="s">
        <v>1447</v>
      </c>
      <c r="D429" s="503"/>
      <c r="E429" s="503"/>
      <c r="F429" s="503"/>
      <c r="G429" s="503"/>
      <c r="H429" s="503"/>
      <c r="I429" s="503"/>
      <c r="J429" s="1437" t="s">
        <v>1728</v>
      </c>
      <c r="K429" s="503"/>
      <c r="N429" s="1502"/>
      <c r="O429" s="1503"/>
      <c r="P429" s="1503"/>
    </row>
    <row r="430" spans="3:16" s="548" customFormat="1">
      <c r="C430" s="1439" t="s">
        <v>2216</v>
      </c>
      <c r="D430" s="503"/>
      <c r="E430" s="503"/>
      <c r="F430" s="503"/>
      <c r="G430" s="503"/>
      <c r="H430" s="503"/>
      <c r="I430" s="503"/>
      <c r="J430" s="1437" t="s">
        <v>1729</v>
      </c>
      <c r="K430" s="503"/>
      <c r="N430" s="1502"/>
      <c r="O430" s="1503"/>
      <c r="P430" s="1503"/>
    </row>
    <row r="431" spans="3:16" s="548" customFormat="1">
      <c r="C431" s="1439" t="s">
        <v>2217</v>
      </c>
      <c r="D431" s="503"/>
      <c r="E431" s="503"/>
      <c r="F431" s="503"/>
      <c r="G431" s="503"/>
      <c r="H431" s="503"/>
      <c r="I431" s="503"/>
      <c r="J431" s="1437" t="s">
        <v>1730</v>
      </c>
      <c r="N431" s="1502"/>
      <c r="O431" s="1503"/>
      <c r="P431" s="1503"/>
    </row>
    <row r="432" spans="3:16" s="548" customFormat="1">
      <c r="C432" s="1439" t="s">
        <v>2218</v>
      </c>
      <c r="J432" s="1437" t="s">
        <v>37</v>
      </c>
      <c r="N432" s="1502"/>
      <c r="O432" s="1503"/>
      <c r="P432" s="1503"/>
    </row>
    <row r="433" spans="3:16" s="548" customFormat="1" ht="15">
      <c r="C433" s="1439" t="s">
        <v>2219</v>
      </c>
      <c r="J433" s="1441"/>
      <c r="N433" s="1502"/>
      <c r="O433" s="1503"/>
      <c r="P433" s="1503"/>
    </row>
    <row r="434" spans="3:16" s="548" customFormat="1">
      <c r="C434" s="1439" t="s">
        <v>2220</v>
      </c>
      <c r="J434" s="1442" t="s">
        <v>3798</v>
      </c>
      <c r="N434" s="1502"/>
      <c r="O434" s="1503"/>
      <c r="P434" s="1503"/>
    </row>
    <row r="435" spans="3:16" s="548" customFormat="1">
      <c r="C435" s="1439" t="s">
        <v>1448</v>
      </c>
      <c r="J435" s="1442" t="s">
        <v>3799</v>
      </c>
      <c r="N435" s="1502"/>
      <c r="O435" s="1503"/>
      <c r="P435" s="1503"/>
    </row>
    <row r="436" spans="3:16" s="548" customFormat="1">
      <c r="C436" s="1439" t="s">
        <v>2373</v>
      </c>
      <c r="J436" s="548" t="s">
        <v>3781</v>
      </c>
      <c r="N436" s="1502"/>
      <c r="O436" s="1503"/>
      <c r="P436" s="1503"/>
    </row>
    <row r="437" spans="3:16" s="548" customFormat="1">
      <c r="J437" s="548" t="s">
        <v>3782</v>
      </c>
      <c r="N437" s="1502"/>
      <c r="O437" s="1503"/>
      <c r="P437" s="1503"/>
    </row>
    <row r="438" spans="3:16" s="548" customFormat="1">
      <c r="J438" s="548" t="s">
        <v>3783</v>
      </c>
      <c r="N438" s="1502"/>
      <c r="O438" s="1503"/>
      <c r="P438" s="1503"/>
    </row>
    <row r="439" spans="3:16" s="548" customFormat="1">
      <c r="C439" s="1443" t="s">
        <v>3015</v>
      </c>
      <c r="G439" s="1444" t="s">
        <v>1569</v>
      </c>
      <c r="H439" s="1445"/>
      <c r="I439" s="1444"/>
      <c r="J439" s="548" t="s">
        <v>3784</v>
      </c>
      <c r="L439" s="1444"/>
      <c r="N439" s="1502"/>
      <c r="O439" s="1503"/>
      <c r="P439" s="1503"/>
    </row>
    <row r="440" spans="3:16" s="548" customFormat="1">
      <c r="C440" s="1446" t="s">
        <v>3017</v>
      </c>
      <c r="G440" s="1447" t="s">
        <v>2621</v>
      </c>
      <c r="H440" s="1445"/>
      <c r="I440" s="1447"/>
      <c r="J440" s="1445" t="s">
        <v>3785</v>
      </c>
      <c r="L440" s="1447"/>
      <c r="N440" s="1502"/>
      <c r="O440" s="1503"/>
      <c r="P440" s="1503"/>
    </row>
    <row r="441" spans="3:16" s="548" customFormat="1">
      <c r="C441" s="1446" t="s">
        <v>3018</v>
      </c>
      <c r="G441" s="1447" t="s">
        <v>1858</v>
      </c>
      <c r="H441" s="1445"/>
      <c r="I441" s="1448"/>
      <c r="J441" s="1445" t="s">
        <v>3786</v>
      </c>
      <c r="L441" s="1448"/>
      <c r="N441" s="1502"/>
      <c r="O441" s="1503"/>
      <c r="P441" s="1503"/>
    </row>
    <row r="442" spans="3:16" s="548" customFormat="1">
      <c r="C442" s="1446" t="s">
        <v>3019</v>
      </c>
      <c r="G442" s="1447" t="s">
        <v>1705</v>
      </c>
      <c r="H442" s="1445"/>
      <c r="I442" s="1448"/>
      <c r="J442" s="1445" t="s">
        <v>3787</v>
      </c>
      <c r="L442" s="1448"/>
      <c r="N442" s="1502"/>
      <c r="O442" s="1503"/>
      <c r="P442" s="1503"/>
    </row>
    <row r="443" spans="3:16" s="548" customFormat="1">
      <c r="C443" s="1446" t="s">
        <v>3020</v>
      </c>
      <c r="G443" s="1447" t="s">
        <v>4230</v>
      </c>
      <c r="H443" s="1445"/>
      <c r="I443" s="1448"/>
      <c r="J443" s="1445" t="s">
        <v>3788</v>
      </c>
      <c r="L443" s="1448"/>
      <c r="N443" s="1502"/>
      <c r="O443" s="1503"/>
      <c r="P443" s="1503"/>
    </row>
    <row r="444" spans="3:16" s="548" customFormat="1">
      <c r="C444" s="1446" t="s">
        <v>3021</v>
      </c>
      <c r="G444" s="1447" t="s">
        <v>2159</v>
      </c>
      <c r="H444" s="1445"/>
      <c r="I444" s="1448"/>
      <c r="J444" s="1445" t="s">
        <v>3789</v>
      </c>
      <c r="L444" s="1448"/>
      <c r="N444" s="1502"/>
      <c r="O444" s="1503"/>
      <c r="P444" s="1503"/>
    </row>
    <row r="445" spans="3:16" s="548" customFormat="1">
      <c r="C445" s="1446" t="s">
        <v>3022</v>
      </c>
      <c r="G445" s="1447" t="s">
        <v>12</v>
      </c>
      <c r="H445" s="1445"/>
      <c r="I445" s="1448"/>
      <c r="J445" s="1445" t="s">
        <v>3790</v>
      </c>
      <c r="L445" s="1448"/>
      <c r="N445" s="1502"/>
      <c r="O445" s="1503"/>
      <c r="P445" s="1503"/>
    </row>
    <row r="446" spans="3:16" s="548" customFormat="1">
      <c r="C446" s="1446"/>
      <c r="G446" s="1447" t="s">
        <v>1388</v>
      </c>
      <c r="H446" s="1445"/>
      <c r="I446" s="1448"/>
      <c r="J446" s="1445" t="s">
        <v>3791</v>
      </c>
      <c r="L446" s="1448"/>
      <c r="N446" s="1502"/>
      <c r="O446" s="1503"/>
      <c r="P446" s="1503"/>
    </row>
    <row r="447" spans="3:16" s="548" customFormat="1">
      <c r="C447" s="1446"/>
      <c r="G447" s="1447" t="s">
        <v>1570</v>
      </c>
      <c r="H447" s="1445"/>
      <c r="I447" s="1448"/>
      <c r="J447" s="1445" t="s">
        <v>3792</v>
      </c>
      <c r="L447" s="1448"/>
      <c r="N447" s="1502"/>
      <c r="O447" s="1503"/>
      <c r="P447" s="1503"/>
    </row>
    <row r="448" spans="3:16" s="548" customFormat="1">
      <c r="C448" s="1446"/>
      <c r="G448" s="1447" t="s">
        <v>1066</v>
      </c>
      <c r="H448" s="1445"/>
      <c r="I448" s="1448"/>
      <c r="J448" s="1445" t="s">
        <v>3793</v>
      </c>
      <c r="L448" s="1448"/>
      <c r="N448" s="1502"/>
      <c r="O448" s="1503"/>
      <c r="P448" s="1503"/>
    </row>
    <row r="449" spans="1:16" s="548" customFormat="1">
      <c r="G449" s="1447" t="s">
        <v>1834</v>
      </c>
      <c r="H449" s="1445"/>
      <c r="I449" s="1448"/>
      <c r="J449" s="1445" t="s">
        <v>3794</v>
      </c>
      <c r="L449" s="1448"/>
      <c r="N449" s="1502"/>
      <c r="O449" s="1503"/>
      <c r="P449" s="1503"/>
    </row>
    <row r="450" spans="1:16" s="548" customFormat="1">
      <c r="G450" s="1447" t="s">
        <v>2587</v>
      </c>
      <c r="H450" s="1445"/>
      <c r="I450" s="1448"/>
      <c r="J450" s="1445" t="s">
        <v>3795</v>
      </c>
      <c r="L450" s="1448"/>
      <c r="N450" s="1502"/>
      <c r="O450" s="1503"/>
      <c r="P450" s="1503"/>
    </row>
    <row r="451" spans="1:16" s="548" customFormat="1">
      <c r="A451" s="1443" t="s">
        <v>3024</v>
      </c>
      <c r="G451" s="1447" t="s">
        <v>2146</v>
      </c>
      <c r="H451" s="1445"/>
      <c r="I451" s="1448"/>
      <c r="J451" s="1445" t="s">
        <v>3796</v>
      </c>
      <c r="L451" s="1448"/>
      <c r="N451" s="1502"/>
      <c r="O451" s="1503"/>
      <c r="P451" s="1503"/>
    </row>
    <row r="452" spans="1:16" s="548" customFormat="1">
      <c r="A452" s="1443" t="s">
        <v>3057</v>
      </c>
      <c r="G452" s="1447" t="s">
        <v>631</v>
      </c>
      <c r="H452" s="1445"/>
      <c r="I452" s="1448"/>
      <c r="J452" s="1445" t="s">
        <v>3797</v>
      </c>
      <c r="L452" s="1448"/>
      <c r="N452" s="1502"/>
      <c r="O452" s="1503"/>
      <c r="P452" s="1503"/>
    </row>
    <row r="453" spans="1:16" s="548" customFormat="1">
      <c r="A453" s="1446" t="s">
        <v>3729</v>
      </c>
      <c r="D453" s="1449"/>
      <c r="E453" s="1450">
        <v>3</v>
      </c>
      <c r="G453" s="1447" t="s">
        <v>349</v>
      </c>
      <c r="H453" s="1445"/>
      <c r="I453" s="1448"/>
      <c r="J453" s="1445"/>
      <c r="L453" s="1448"/>
      <c r="N453" s="1502"/>
      <c r="O453" s="1503"/>
      <c r="P453" s="1503"/>
    </row>
    <row r="454" spans="1:16" s="548" customFormat="1">
      <c r="A454" s="1446" t="s">
        <v>3730</v>
      </c>
      <c r="D454" s="1449"/>
      <c r="E454" s="1450">
        <v>2</v>
      </c>
      <c r="G454" s="1447" t="s">
        <v>913</v>
      </c>
      <c r="H454" s="1445"/>
      <c r="I454" s="1448"/>
      <c r="J454" s="1445"/>
      <c r="L454" s="1448"/>
      <c r="N454" s="1502"/>
      <c r="O454" s="1503"/>
      <c r="P454" s="1503"/>
    </row>
    <row r="455" spans="1:16" s="548" customFormat="1">
      <c r="A455" s="1446" t="s">
        <v>3731</v>
      </c>
      <c r="D455" s="1449"/>
      <c r="E455" s="1450">
        <v>10</v>
      </c>
      <c r="G455" s="1447" t="s">
        <v>2008</v>
      </c>
      <c r="H455" s="1445"/>
      <c r="I455" s="1448"/>
      <c r="J455" s="1445"/>
      <c r="L455" s="1448"/>
      <c r="N455" s="1502"/>
      <c r="O455" s="1503"/>
      <c r="P455" s="1503"/>
    </row>
    <row r="456" spans="1:16" s="548" customFormat="1">
      <c r="A456" s="1446" t="s">
        <v>3058</v>
      </c>
      <c r="D456" s="1449"/>
      <c r="E456" s="1449"/>
      <c r="G456" s="1447" t="s">
        <v>475</v>
      </c>
      <c r="H456" s="1445"/>
      <c r="I456" s="1448"/>
      <c r="J456" s="1445"/>
      <c r="L456" s="1448"/>
      <c r="N456" s="1502"/>
      <c r="O456" s="1503"/>
      <c r="P456" s="1503"/>
    </row>
    <row r="457" spans="1:16" s="548" customFormat="1">
      <c r="C457" s="1446"/>
      <c r="G457" s="1447" t="s">
        <v>4231</v>
      </c>
      <c r="H457" s="1445"/>
      <c r="I457" s="1448"/>
      <c r="J457" s="1445"/>
      <c r="L457" s="1448"/>
      <c r="N457" s="1502"/>
      <c r="O457" s="1503"/>
      <c r="P457" s="1503"/>
    </row>
    <row r="458" spans="1:16" s="548" customFormat="1">
      <c r="C458" s="1446"/>
      <c r="G458" s="1447" t="s">
        <v>244</v>
      </c>
      <c r="H458" s="1445"/>
      <c r="I458" s="1448"/>
      <c r="J458" s="1445"/>
      <c r="L458" s="1448"/>
      <c r="N458" s="1502"/>
      <c r="O458" s="1503"/>
      <c r="P458" s="1503"/>
    </row>
    <row r="459" spans="1:16" s="548" customFormat="1">
      <c r="C459" s="1446"/>
      <c r="G459" s="1447" t="s">
        <v>1274</v>
      </c>
      <c r="H459" s="1448"/>
      <c r="I459" s="1445"/>
      <c r="J459" s="1445"/>
      <c r="L459" s="1448"/>
      <c r="N459" s="1502"/>
      <c r="O459" s="1503"/>
      <c r="P459" s="1503"/>
    </row>
    <row r="460" spans="1:16" s="548" customFormat="1">
      <c r="C460" s="1446"/>
      <c r="G460" s="1447" t="s">
        <v>1276</v>
      </c>
      <c r="H460" s="1448"/>
      <c r="I460" s="1445"/>
      <c r="J460" s="1445"/>
      <c r="L460" s="1448"/>
      <c r="N460" s="1502"/>
      <c r="O460" s="1503"/>
      <c r="P460" s="1503"/>
    </row>
    <row r="461" spans="1:16" s="548" customFormat="1">
      <c r="G461" s="1447" t="s">
        <v>1706</v>
      </c>
      <c r="H461" s="1448"/>
      <c r="I461" s="1445"/>
      <c r="J461" s="1445"/>
      <c r="L461" s="1448"/>
      <c r="N461" s="1502"/>
      <c r="O461" s="1503"/>
      <c r="P461" s="1503"/>
    </row>
    <row r="462" spans="1:16" s="548" customFormat="1">
      <c r="G462" s="1447" t="s">
        <v>1028</v>
      </c>
      <c r="H462" s="1448"/>
      <c r="I462" s="1445"/>
      <c r="J462" s="1445"/>
      <c r="L462" s="1448"/>
      <c r="N462" s="1502"/>
      <c r="O462" s="1503"/>
      <c r="P462" s="1503"/>
    </row>
    <row r="463" spans="1:16" s="548" customFormat="1">
      <c r="G463" s="1447" t="s">
        <v>601</v>
      </c>
      <c r="H463" s="1448"/>
      <c r="I463" s="1445"/>
      <c r="J463" s="1445"/>
      <c r="L463" s="1448"/>
      <c r="N463" s="1502"/>
      <c r="O463" s="1503"/>
      <c r="P463" s="1503"/>
    </row>
    <row r="464" spans="1:16" s="548" customFormat="1">
      <c r="G464" s="1447" t="s">
        <v>1707</v>
      </c>
      <c r="H464" s="1448"/>
      <c r="I464" s="1445"/>
      <c r="J464" s="1445"/>
      <c r="L464" s="1448"/>
      <c r="N464" s="1502"/>
      <c r="O464" s="1503"/>
      <c r="P464" s="1503"/>
    </row>
    <row r="465" spans="1:16" s="548" customFormat="1">
      <c r="G465" s="1447" t="s">
        <v>1753</v>
      </c>
      <c r="H465" s="1448"/>
      <c r="I465" s="1445"/>
      <c r="J465" s="1445"/>
      <c r="L465" s="1448"/>
      <c r="N465" s="1502"/>
      <c r="O465" s="1503"/>
      <c r="P465" s="1503"/>
    </row>
    <row r="466" spans="1:16" s="548" customFormat="1">
      <c r="D466" s="1451"/>
      <c r="G466" s="1447" t="s">
        <v>1816</v>
      </c>
      <c r="H466" s="1448"/>
      <c r="I466" s="1445"/>
      <c r="J466" s="1445"/>
      <c r="L466" s="1448"/>
      <c r="N466" s="1502"/>
      <c r="O466" s="1503"/>
      <c r="P466" s="1503"/>
    </row>
    <row r="467" spans="1:16" s="172" customFormat="1">
      <c r="A467" s="548"/>
      <c r="B467" s="548"/>
      <c r="C467" s="548"/>
      <c r="D467" s="1451"/>
      <c r="E467" s="548"/>
      <c r="F467" s="548"/>
      <c r="G467" s="1447" t="s">
        <v>3752</v>
      </c>
      <c r="H467" s="1448"/>
      <c r="I467" s="1445"/>
      <c r="J467" s="1445"/>
      <c r="K467" s="548"/>
      <c r="L467" s="1448"/>
      <c r="M467" s="548"/>
      <c r="N467" s="130"/>
      <c r="O467" s="2024"/>
      <c r="P467" s="2024"/>
    </row>
    <row r="468" spans="1:16" s="172" customFormat="1">
      <c r="A468" s="548"/>
      <c r="B468" s="548"/>
      <c r="C468" s="548"/>
      <c r="D468" s="1452"/>
      <c r="E468" s="548"/>
      <c r="F468" s="548"/>
      <c r="G468" s="1447" t="s">
        <v>860</v>
      </c>
      <c r="H468" s="1448"/>
      <c r="I468" s="1445"/>
      <c r="J468" s="1445"/>
      <c r="K468" s="548"/>
      <c r="L468" s="1448"/>
      <c r="M468" s="548"/>
      <c r="N468" s="130"/>
      <c r="O468" s="2024"/>
      <c r="P468" s="2024"/>
    </row>
    <row r="469" spans="1:16" s="172" customFormat="1">
      <c r="A469" s="548"/>
      <c r="B469" s="548"/>
      <c r="C469" s="548"/>
      <c r="D469" s="1452"/>
      <c r="E469" s="1452"/>
      <c r="F469" s="548"/>
      <c r="G469" s="1447" t="s">
        <v>185</v>
      </c>
      <c r="H469" s="1448"/>
      <c r="I469" s="1445"/>
      <c r="J469" s="1445"/>
      <c r="K469" s="548"/>
      <c r="L469" s="1448"/>
      <c r="M469" s="548"/>
      <c r="N469" s="130"/>
      <c r="O469" s="2024"/>
      <c r="P469" s="2024"/>
    </row>
    <row r="470" spans="1:16" s="172" customFormat="1">
      <c r="A470" s="548"/>
      <c r="B470" s="548"/>
      <c r="C470" s="548"/>
      <c r="D470" s="548"/>
      <c r="E470" s="548"/>
      <c r="F470" s="548"/>
      <c r="G470" s="1447" t="s">
        <v>546</v>
      </c>
      <c r="H470" s="1448"/>
      <c r="I470" s="1445"/>
      <c r="J470" s="1445"/>
      <c r="K470" s="548"/>
      <c r="L470" s="1448"/>
      <c r="M470" s="548"/>
      <c r="N470" s="130"/>
      <c r="O470" s="2024"/>
      <c r="P470" s="2024"/>
    </row>
    <row r="471" spans="1:16" s="172" customFormat="1">
      <c r="A471" s="548"/>
      <c r="B471" s="548"/>
      <c r="C471" s="548"/>
      <c r="D471" s="548"/>
      <c r="E471" s="548"/>
      <c r="F471" s="548"/>
      <c r="G471" s="1447" t="s">
        <v>554</v>
      </c>
      <c r="H471" s="1448"/>
      <c r="I471" s="1445"/>
      <c r="J471" s="1445"/>
      <c r="K471" s="548"/>
      <c r="L471" s="1448"/>
      <c r="M471" s="548"/>
      <c r="N471" s="130"/>
      <c r="O471" s="2024"/>
      <c r="P471" s="2024"/>
    </row>
    <row r="472" spans="1:16" s="172" customFormat="1" ht="13.5">
      <c r="A472" s="548"/>
      <c r="B472" s="548"/>
      <c r="C472" s="1451"/>
      <c r="D472" s="548"/>
      <c r="E472" s="548"/>
      <c r="F472" s="548"/>
      <c r="G472" s="1447" t="s">
        <v>567</v>
      </c>
      <c r="H472" s="1453"/>
      <c r="I472" s="1445"/>
      <c r="J472" s="1445"/>
      <c r="K472" s="548"/>
      <c r="L472" s="1448"/>
      <c r="M472" s="548"/>
      <c r="N472" s="130"/>
      <c r="O472" s="2024"/>
      <c r="P472" s="2024"/>
    </row>
    <row r="473" spans="1:16" s="172" customFormat="1" ht="13.5">
      <c r="A473" s="548"/>
      <c r="B473" s="548"/>
      <c r="C473" s="1451"/>
      <c r="D473" s="548"/>
      <c r="E473" s="548"/>
      <c r="F473" s="548"/>
      <c r="G473" s="1447" t="s">
        <v>1704</v>
      </c>
      <c r="H473" s="1453"/>
      <c r="I473" s="1445"/>
      <c r="J473" s="1445"/>
      <c r="K473" s="548"/>
      <c r="L473" s="1448"/>
      <c r="M473" s="548"/>
      <c r="N473" s="130"/>
      <c r="O473" s="2024"/>
      <c r="P473" s="2024"/>
    </row>
    <row r="474" spans="1:16" s="172" customFormat="1" ht="13.5">
      <c r="A474" s="548"/>
      <c r="B474" s="548"/>
      <c r="C474" s="1451"/>
      <c r="D474" s="548"/>
      <c r="E474" s="548"/>
      <c r="F474" s="548"/>
      <c r="G474" s="1447" t="s">
        <v>2183</v>
      </c>
      <c r="H474" s="1453"/>
      <c r="I474" s="1445"/>
      <c r="J474" s="1445"/>
      <c r="K474" s="548"/>
      <c r="L474" s="1448"/>
      <c r="M474" s="548"/>
      <c r="N474" s="130"/>
      <c r="O474" s="2024"/>
      <c r="P474" s="2024"/>
    </row>
    <row r="475" spans="1:16" s="172" customFormat="1">
      <c r="A475" s="548"/>
      <c r="B475" s="548"/>
      <c r="C475" s="1451"/>
      <c r="D475" s="548"/>
      <c r="E475" s="548"/>
      <c r="F475" s="548"/>
      <c r="G475" s="1447" t="s">
        <v>2339</v>
      </c>
      <c r="H475" s="1445"/>
      <c r="I475" s="1445"/>
      <c r="J475" s="1445"/>
      <c r="K475" s="548"/>
      <c r="L475" s="1448"/>
      <c r="M475" s="548"/>
      <c r="N475" s="130"/>
      <c r="O475" s="2024"/>
      <c r="P475" s="2024"/>
    </row>
    <row r="476" spans="1:16" s="172" customFormat="1">
      <c r="A476" s="548"/>
      <c r="B476" s="548"/>
      <c r="C476" s="1451"/>
      <c r="D476" s="548"/>
      <c r="E476" s="548"/>
      <c r="F476" s="548"/>
      <c r="G476" s="1447" t="s">
        <v>413</v>
      </c>
      <c r="H476" s="1445"/>
      <c r="I476" s="1445"/>
      <c r="J476" s="1445"/>
      <c r="K476" s="548"/>
      <c r="L476" s="1448"/>
      <c r="M476" s="548"/>
      <c r="N476" s="130"/>
      <c r="O476" s="2024"/>
      <c r="P476" s="2024"/>
    </row>
    <row r="477" spans="1:16" s="172" customFormat="1">
      <c r="A477" s="548"/>
      <c r="B477" s="548"/>
      <c r="C477" s="1451"/>
      <c r="D477" s="548"/>
      <c r="E477" s="548"/>
      <c r="F477" s="548"/>
      <c r="G477" s="1447" t="s">
        <v>2210</v>
      </c>
      <c r="H477" s="1445"/>
      <c r="I477" s="1445"/>
      <c r="J477" s="1445"/>
      <c r="K477" s="548"/>
      <c r="L477" s="1454"/>
      <c r="M477" s="548"/>
      <c r="N477" s="130"/>
      <c r="O477" s="2024"/>
      <c r="P477" s="2024"/>
    </row>
    <row r="478" spans="1:16" s="172" customFormat="1" ht="13.5">
      <c r="A478" s="548"/>
      <c r="B478" s="548"/>
      <c r="C478" s="1451"/>
      <c r="D478" s="548"/>
      <c r="E478" s="548"/>
      <c r="F478" s="548"/>
      <c r="G478" s="1447" t="s">
        <v>1504</v>
      </c>
      <c r="H478" s="1445"/>
      <c r="I478" s="1445"/>
      <c r="J478" s="1445"/>
      <c r="K478" s="548"/>
      <c r="L478" s="1453"/>
      <c r="M478" s="548"/>
      <c r="N478" s="130"/>
      <c r="O478" s="2024"/>
      <c r="P478" s="2024"/>
    </row>
    <row r="479" spans="1:16" s="172" customFormat="1" ht="13.5">
      <c r="A479" s="548"/>
      <c r="B479" s="548"/>
      <c r="C479" s="1452"/>
      <c r="D479" s="548"/>
      <c r="E479" s="548"/>
      <c r="F479" s="548"/>
      <c r="G479" s="1447" t="s">
        <v>1623</v>
      </c>
      <c r="H479" s="1445"/>
      <c r="I479" s="1445"/>
      <c r="J479" s="1445"/>
      <c r="K479" s="548"/>
      <c r="L479" s="1453"/>
      <c r="M479" s="548"/>
      <c r="N479" s="130"/>
      <c r="O479" s="2024"/>
      <c r="P479" s="2024"/>
    </row>
    <row r="480" spans="1:16" s="172" customFormat="1" ht="13.5">
      <c r="A480" s="548"/>
      <c r="B480" s="548"/>
      <c r="C480" s="1452"/>
      <c r="D480" s="548"/>
      <c r="E480" s="548"/>
      <c r="F480" s="548"/>
      <c r="G480" s="1447" t="s">
        <v>257</v>
      </c>
      <c r="H480" s="1445"/>
      <c r="I480" s="1445"/>
      <c r="J480" s="1445"/>
      <c r="K480" s="548"/>
      <c r="L480" s="1453"/>
      <c r="M480" s="548"/>
      <c r="N480" s="130"/>
      <c r="O480" s="2024"/>
      <c r="P480" s="2024"/>
    </row>
    <row r="481" spans="1:16" s="172" customFormat="1" ht="13.5">
      <c r="A481" s="548"/>
      <c r="B481" s="548"/>
      <c r="C481" s="548"/>
      <c r="D481" s="548"/>
      <c r="E481" s="548"/>
      <c r="F481" s="548"/>
      <c r="G481" s="1447" t="s">
        <v>69</v>
      </c>
      <c r="H481" s="1445"/>
      <c r="I481" s="1445"/>
      <c r="J481" s="1445"/>
      <c r="K481" s="548"/>
      <c r="L481" s="1453"/>
      <c r="M481" s="548"/>
      <c r="N481" s="130"/>
      <c r="O481" s="2024"/>
      <c r="P481" s="2024"/>
    </row>
    <row r="482" spans="1:16" s="172" customFormat="1">
      <c r="A482" s="548"/>
      <c r="B482" s="548"/>
      <c r="C482" s="548"/>
      <c r="D482" s="548"/>
      <c r="E482" s="548"/>
      <c r="F482" s="548"/>
      <c r="G482" s="1447" t="s">
        <v>1087</v>
      </c>
      <c r="H482" s="1445"/>
      <c r="I482" s="1445"/>
      <c r="J482" s="1445"/>
      <c r="K482" s="1445"/>
      <c r="L482" s="548"/>
      <c r="M482" s="548"/>
      <c r="N482" s="130"/>
      <c r="O482" s="2024"/>
      <c r="P482" s="2024"/>
    </row>
    <row r="483" spans="1:16" s="172" customFormat="1">
      <c r="A483" s="548"/>
      <c r="B483" s="548"/>
      <c r="C483" s="548"/>
      <c r="D483" s="548"/>
      <c r="E483" s="548"/>
      <c r="F483" s="548"/>
      <c r="G483" s="1447" t="s">
        <v>2359</v>
      </c>
      <c r="H483" s="1445"/>
      <c r="I483" s="1445"/>
      <c r="J483" s="1445"/>
      <c r="K483" s="1445"/>
      <c r="L483" s="548"/>
      <c r="M483" s="548"/>
      <c r="N483" s="130"/>
      <c r="O483" s="2024"/>
      <c r="P483" s="2024"/>
    </row>
    <row r="484" spans="1:16" s="172" customFormat="1" ht="13.5">
      <c r="A484" s="548"/>
      <c r="B484" s="548"/>
      <c r="C484" s="548"/>
      <c r="D484" s="548"/>
      <c r="E484" s="548"/>
      <c r="F484" s="548"/>
      <c r="G484" s="1455" t="s">
        <v>2252</v>
      </c>
      <c r="H484" s="1445"/>
      <c r="I484" s="1445"/>
      <c r="J484" s="1445"/>
      <c r="K484" s="1445"/>
      <c r="L484" s="548"/>
      <c r="M484" s="548"/>
      <c r="N484" s="130"/>
      <c r="O484" s="2024"/>
      <c r="P484" s="2024"/>
    </row>
    <row r="485" spans="1:16" s="172" customFormat="1" ht="13.5">
      <c r="A485" s="548"/>
      <c r="B485" s="548"/>
      <c r="C485" s="548"/>
      <c r="D485" s="548"/>
      <c r="E485" s="548"/>
      <c r="F485" s="548"/>
      <c r="G485" s="1455" t="s">
        <v>1708</v>
      </c>
      <c r="H485" s="1445"/>
      <c r="I485" s="1445"/>
      <c r="J485" s="1445"/>
      <c r="K485" s="1445"/>
      <c r="L485" s="548"/>
      <c r="M485" s="548"/>
      <c r="N485" s="130"/>
      <c r="O485" s="2024"/>
      <c r="P485" s="2024"/>
    </row>
    <row r="486" spans="1:16" s="172" customFormat="1" ht="13.5">
      <c r="A486" s="548"/>
      <c r="B486" s="548"/>
      <c r="C486" s="548"/>
      <c r="D486" s="548"/>
      <c r="E486" s="548"/>
      <c r="F486" s="548"/>
      <c r="G486" s="1455" t="s">
        <v>2351</v>
      </c>
      <c r="H486" s="1445"/>
      <c r="I486" s="1445"/>
      <c r="J486" s="1445"/>
      <c r="K486" s="1445"/>
      <c r="L486" s="548"/>
      <c r="M486" s="548"/>
      <c r="N486" s="130"/>
      <c r="O486" s="2024"/>
      <c r="P486" s="2024"/>
    </row>
    <row r="487" spans="1:16" s="172" customFormat="1" ht="13.5">
      <c r="A487" s="548"/>
      <c r="B487" s="548"/>
      <c r="C487" s="548"/>
      <c r="D487" s="548"/>
      <c r="E487" s="548"/>
      <c r="F487" s="548"/>
      <c r="G487" s="1455" t="s">
        <v>2215</v>
      </c>
      <c r="H487" s="1445"/>
      <c r="I487" s="1445"/>
      <c r="J487" s="1445"/>
      <c r="K487" s="1445"/>
      <c r="L487" s="548"/>
      <c r="M487" s="548"/>
      <c r="N487" s="130"/>
      <c r="O487" s="2024"/>
      <c r="P487" s="2024"/>
    </row>
    <row r="488" spans="1:16" s="172" customFormat="1" ht="13.5">
      <c r="A488" s="548"/>
      <c r="B488" s="548"/>
      <c r="C488" s="548"/>
      <c r="D488" s="548"/>
      <c r="E488" s="548"/>
      <c r="F488" s="548"/>
      <c r="G488" s="1455" t="s">
        <v>1709</v>
      </c>
      <c r="H488" s="1445"/>
      <c r="I488" s="1445"/>
      <c r="J488" s="1445"/>
      <c r="K488" s="1445"/>
      <c r="L488" s="548"/>
      <c r="M488" s="548"/>
      <c r="N488" s="130"/>
      <c r="O488" s="2024"/>
      <c r="P488" s="2024"/>
    </row>
    <row r="489" spans="1:16" s="172" customFormat="1" ht="13.5">
      <c r="A489" s="548"/>
      <c r="B489" s="548"/>
      <c r="C489" s="548"/>
      <c r="D489" s="548"/>
      <c r="E489" s="548"/>
      <c r="F489" s="548"/>
      <c r="G489" s="1455" t="s">
        <v>2426</v>
      </c>
      <c r="H489" s="1445"/>
      <c r="I489" s="1445"/>
      <c r="J489" s="1445"/>
      <c r="K489" s="1445"/>
      <c r="L489" s="548"/>
      <c r="M489" s="548"/>
      <c r="N489" s="130"/>
      <c r="O489" s="2024"/>
      <c r="P489" s="2024"/>
    </row>
    <row r="490" spans="1:16" s="172" customFormat="1" ht="13.5">
      <c r="A490" s="548"/>
      <c r="B490" s="548"/>
      <c r="C490" s="548"/>
      <c r="D490" s="548"/>
      <c r="E490" s="548"/>
      <c r="F490" s="548"/>
      <c r="G490" s="1455" t="s">
        <v>1760</v>
      </c>
      <c r="H490" s="1445"/>
      <c r="I490" s="1445"/>
      <c r="J490" s="1445"/>
      <c r="K490" s="1445"/>
      <c r="L490" s="548"/>
      <c r="M490" s="548"/>
      <c r="N490" s="130"/>
      <c r="O490" s="2024"/>
      <c r="P490" s="2024"/>
    </row>
    <row r="491" spans="1:16" s="172" customFormat="1" ht="13.5">
      <c r="A491" s="548"/>
      <c r="B491" s="548"/>
      <c r="C491" s="548"/>
      <c r="D491" s="548"/>
      <c r="E491" s="548"/>
      <c r="F491" s="548"/>
      <c r="G491" s="1453" t="s">
        <v>2352</v>
      </c>
      <c r="H491" s="1445"/>
      <c r="I491" s="1445"/>
      <c r="J491" s="1445"/>
      <c r="K491" s="1445"/>
      <c r="L491" s="548"/>
      <c r="M491" s="548"/>
      <c r="N491" s="130"/>
      <c r="O491" s="2024"/>
      <c r="P491" s="2024"/>
    </row>
    <row r="492" spans="1:16" s="172" customFormat="1" ht="13.5">
      <c r="A492" s="548"/>
      <c r="B492" s="548"/>
      <c r="C492" s="548"/>
      <c r="D492" s="548"/>
      <c r="E492" s="548"/>
      <c r="F492" s="548"/>
      <c r="G492" s="1453" t="s">
        <v>1770</v>
      </c>
      <c r="H492" s="1445"/>
      <c r="I492" s="1445"/>
      <c r="J492" s="1445"/>
      <c r="K492" s="1445"/>
      <c r="L492" s="548"/>
      <c r="M492" s="548"/>
      <c r="N492" s="130"/>
      <c r="O492" s="2024"/>
      <c r="P492" s="2024"/>
    </row>
    <row r="493" spans="1:16" s="172" customFormat="1" ht="13.5">
      <c r="A493" s="548"/>
      <c r="B493" s="548"/>
      <c r="C493" s="548"/>
      <c r="D493" s="548"/>
      <c r="E493" s="548"/>
      <c r="F493" s="548"/>
      <c r="G493" s="1453" t="s">
        <v>1775</v>
      </c>
      <c r="H493" s="548"/>
      <c r="I493" s="548"/>
      <c r="J493" s="1445"/>
      <c r="K493" s="548"/>
      <c r="L493" s="548"/>
      <c r="M493" s="548"/>
      <c r="N493" s="130"/>
      <c r="O493" s="2024"/>
      <c r="P493" s="2024"/>
    </row>
    <row r="494" spans="1:16" s="172" customFormat="1" ht="13.5">
      <c r="A494" s="548"/>
      <c r="B494" s="548"/>
      <c r="C494" s="548"/>
      <c r="D494" s="548"/>
      <c r="E494" s="548"/>
      <c r="F494" s="548"/>
      <c r="G494" s="1453" t="s">
        <v>1778</v>
      </c>
      <c r="H494" s="548"/>
      <c r="I494" s="548"/>
      <c r="J494" s="548"/>
      <c r="K494" s="548"/>
      <c r="L494" s="548"/>
      <c r="M494" s="548"/>
      <c r="N494" s="130"/>
      <c r="O494" s="2024"/>
      <c r="P494" s="2024"/>
    </row>
    <row r="495" spans="1:16" s="172" customFormat="1" ht="13.5">
      <c r="A495" s="548"/>
      <c r="B495" s="548"/>
      <c r="C495" s="548"/>
      <c r="D495" s="548"/>
      <c r="E495" s="548"/>
      <c r="F495" s="548"/>
      <c r="G495" s="1453" t="s">
        <v>1783</v>
      </c>
      <c r="H495" s="548"/>
      <c r="I495" s="548"/>
      <c r="J495" s="548"/>
      <c r="K495" s="548"/>
      <c r="L495" s="548"/>
      <c r="M495" s="548"/>
      <c r="N495" s="130"/>
      <c r="O495" s="2024"/>
      <c r="P495" s="2024"/>
    </row>
    <row r="496" spans="1:16" s="172" customFormat="1" ht="13.5">
      <c r="A496" s="548"/>
      <c r="B496" s="548"/>
      <c r="C496" s="548"/>
      <c r="D496" s="548"/>
      <c r="E496" s="548"/>
      <c r="F496" s="548"/>
      <c r="G496" s="1453" t="s">
        <v>108</v>
      </c>
      <c r="H496" s="548"/>
      <c r="I496" s="548"/>
      <c r="J496" s="548"/>
      <c r="K496" s="548"/>
      <c r="L496" s="548"/>
      <c r="M496" s="548"/>
      <c r="N496" s="130"/>
      <c r="O496" s="2024"/>
      <c r="P496" s="2024"/>
    </row>
    <row r="497" spans="1:19" s="172" customFormat="1" ht="13.5">
      <c r="A497" s="548"/>
      <c r="B497" s="548"/>
      <c r="C497" s="548"/>
      <c r="D497" s="548"/>
      <c r="E497" s="548"/>
      <c r="F497" s="548"/>
      <c r="G497" s="1453" t="s">
        <v>310</v>
      </c>
      <c r="H497" s="548"/>
      <c r="I497" s="548"/>
      <c r="J497" s="548"/>
      <c r="K497" s="548"/>
      <c r="L497" s="548"/>
      <c r="M497" s="548"/>
      <c r="N497" s="130"/>
      <c r="O497" s="2024"/>
      <c r="P497" s="2024"/>
    </row>
    <row r="498" spans="1:19" ht="13.5">
      <c r="A498" s="548"/>
      <c r="B498" s="548"/>
      <c r="C498" s="548"/>
      <c r="D498" s="548"/>
      <c r="E498" s="548"/>
      <c r="F498" s="548"/>
      <c r="G498" s="1456" t="s">
        <v>311</v>
      </c>
      <c r="H498" s="548"/>
      <c r="I498" s="548"/>
      <c r="J498" s="548"/>
      <c r="K498" s="548"/>
      <c r="L498" s="548"/>
      <c r="M498" s="548"/>
      <c r="N498" s="130"/>
      <c r="Q498" s="172"/>
      <c r="R498" s="172"/>
      <c r="S498" s="172"/>
    </row>
    <row r="499" spans="1:19" ht="13.5">
      <c r="A499" s="548"/>
      <c r="B499" s="548"/>
      <c r="C499" s="548"/>
      <c r="D499" s="548"/>
      <c r="E499" s="548"/>
      <c r="F499" s="548"/>
      <c r="G499" s="1456" t="s">
        <v>1610</v>
      </c>
      <c r="H499" s="548"/>
      <c r="I499" s="548"/>
      <c r="J499" s="548"/>
      <c r="K499" s="548"/>
      <c r="L499" s="548"/>
      <c r="M499" s="548"/>
      <c r="N499" s="130"/>
      <c r="Q499" s="172"/>
      <c r="R499" s="172"/>
      <c r="S499" s="172"/>
    </row>
    <row r="500" spans="1:19">
      <c r="A500" s="548"/>
      <c r="B500" s="548"/>
      <c r="C500" s="548"/>
      <c r="D500" s="548"/>
      <c r="E500" s="548"/>
      <c r="F500" s="548"/>
      <c r="G500" s="548"/>
      <c r="H500" s="548"/>
      <c r="I500" s="548"/>
      <c r="J500" s="548"/>
      <c r="K500" s="548"/>
      <c r="L500" s="548"/>
      <c r="M500" s="548"/>
    </row>
    <row r="501" spans="1:19">
      <c r="A501" s="548"/>
      <c r="B501" s="548"/>
      <c r="C501" s="548"/>
      <c r="D501" s="548"/>
      <c r="E501" s="548"/>
      <c r="F501" s="548"/>
      <c r="G501" s="548"/>
      <c r="H501" s="548"/>
      <c r="I501" s="548"/>
      <c r="J501" s="548"/>
      <c r="K501" s="548"/>
      <c r="L501" s="548"/>
      <c r="M501" s="548"/>
    </row>
    <row r="502" spans="1:19">
      <c r="A502" s="548"/>
      <c r="B502" s="548"/>
      <c r="C502" s="548"/>
      <c r="D502" s="548"/>
      <c r="E502" s="548"/>
      <c r="F502" s="548"/>
      <c r="G502" s="548"/>
      <c r="H502" s="548"/>
      <c r="I502" s="548"/>
      <c r="J502" s="548"/>
      <c r="K502" s="548"/>
      <c r="L502" s="548"/>
      <c r="M502" s="548"/>
    </row>
    <row r="503" spans="1:19">
      <c r="A503" s="548"/>
      <c r="B503" s="548"/>
      <c r="C503" s="548"/>
      <c r="D503" s="548"/>
      <c r="E503" s="548"/>
      <c r="F503" s="548"/>
      <c r="G503" s="548"/>
      <c r="H503" s="548"/>
      <c r="I503" s="548"/>
      <c r="J503" s="548"/>
      <c r="K503" s="548"/>
      <c r="L503" s="548"/>
      <c r="M503" s="548"/>
    </row>
    <row r="504" spans="1:19">
      <c r="A504" s="548"/>
      <c r="B504" s="548"/>
      <c r="C504" s="548"/>
      <c r="D504" s="548"/>
      <c r="E504" s="548"/>
      <c r="F504" s="548"/>
      <c r="G504" s="548"/>
      <c r="H504" s="548"/>
      <c r="I504" s="548"/>
      <c r="J504" s="548"/>
      <c r="K504" s="548"/>
      <c r="L504" s="548"/>
      <c r="M504" s="548"/>
    </row>
  </sheetData>
  <sheetProtection algorithmName="SHA-512" hashValue="YgbT6De+wtsGFw4VJYbaH2ZRFQ9k4rrGyBLzXjgvxsZq5V4JAMm8ICZl9ziPLX/i8s5vZzmW7e+hS9sBewCYeQ==" saltValue="DnMSbFQvvjlV2mtuQfQZyg==" spinCount="100000" sheet="1" objects="1" scenarios="1" formatColumns="0" formatRows="0"/>
  <mergeCells count="296">
    <mergeCell ref="A411:P411"/>
    <mergeCell ref="A410:P410"/>
    <mergeCell ref="L241:P241"/>
    <mergeCell ref="N381:O381"/>
    <mergeCell ref="N380:O380"/>
    <mergeCell ref="N379:O379"/>
    <mergeCell ref="B379:C381"/>
    <mergeCell ref="K183:L185"/>
    <mergeCell ref="L257:M257"/>
    <mergeCell ref="A243:I243"/>
    <mergeCell ref="J243:P243"/>
    <mergeCell ref="I265:J265"/>
    <mergeCell ref="L258:M258"/>
    <mergeCell ref="I268:J268"/>
    <mergeCell ref="B276:C276"/>
    <mergeCell ref="D276:P276"/>
    <mergeCell ref="P329:P333"/>
    <mergeCell ref="C304:L304"/>
    <mergeCell ref="C301:M301"/>
    <mergeCell ref="O286:P287"/>
    <mergeCell ref="A280:P280"/>
    <mergeCell ref="A282:P282"/>
    <mergeCell ref="F368:H368"/>
    <mergeCell ref="O340:O341"/>
    <mergeCell ref="R156:S156"/>
    <mergeCell ref="A166:P166"/>
    <mergeCell ref="J173:L173"/>
    <mergeCell ref="C171:L171"/>
    <mergeCell ref="J169:K169"/>
    <mergeCell ref="J170:K170"/>
    <mergeCell ref="C156:L156"/>
    <mergeCell ref="R191:S191"/>
    <mergeCell ref="J224:K224"/>
    <mergeCell ref="M224:N224"/>
    <mergeCell ref="C223:D223"/>
    <mergeCell ref="G223:H223"/>
    <mergeCell ref="C224:D224"/>
    <mergeCell ref="K158:L158"/>
    <mergeCell ref="G222:H222"/>
    <mergeCell ref="A164:P164"/>
    <mergeCell ref="A208:P208"/>
    <mergeCell ref="A198:P198"/>
    <mergeCell ref="B194:L194"/>
    <mergeCell ref="B193:L193"/>
    <mergeCell ref="C221:D221"/>
    <mergeCell ref="C222:D222"/>
    <mergeCell ref="O222:P222"/>
    <mergeCell ref="O223:P223"/>
    <mergeCell ref="L150:M150"/>
    <mergeCell ref="J361:N361"/>
    <mergeCell ref="O361:O365"/>
    <mergeCell ref="P340:P341"/>
    <mergeCell ref="Q318:S318"/>
    <mergeCell ref="K330:L330"/>
    <mergeCell ref="K332:L332"/>
    <mergeCell ref="C337:I338"/>
    <mergeCell ref="J338:K338"/>
    <mergeCell ref="J337:K337"/>
    <mergeCell ref="P337:P338"/>
    <mergeCell ref="O337:O338"/>
    <mergeCell ref="B321:I322"/>
    <mergeCell ref="D328:E328"/>
    <mergeCell ref="C345:I345"/>
    <mergeCell ref="C344:I344"/>
    <mergeCell ref="K345:L345"/>
    <mergeCell ref="K344:L344"/>
    <mergeCell ref="J363:K363"/>
    <mergeCell ref="O329:O333"/>
    <mergeCell ref="C343:E343"/>
    <mergeCell ref="C333:L333"/>
    <mergeCell ref="C340:L340"/>
    <mergeCell ref="C341:L341"/>
    <mergeCell ref="L144:M144"/>
    <mergeCell ref="L145:M145"/>
    <mergeCell ref="L146:M146"/>
    <mergeCell ref="L136:M136"/>
    <mergeCell ref="L140:M140"/>
    <mergeCell ref="L139:M139"/>
    <mergeCell ref="L134:M134"/>
    <mergeCell ref="F47:H47"/>
    <mergeCell ref="F48:H48"/>
    <mergeCell ref="J125:L125"/>
    <mergeCell ref="C95:L95"/>
    <mergeCell ref="I87:K87"/>
    <mergeCell ref="A84:P84"/>
    <mergeCell ref="A107:P107"/>
    <mergeCell ref="C116:M117"/>
    <mergeCell ref="A111:A113"/>
    <mergeCell ref="J137:K137"/>
    <mergeCell ref="L137:M137"/>
    <mergeCell ref="G137:H138"/>
    <mergeCell ref="J138:K138"/>
    <mergeCell ref="L138:M138"/>
    <mergeCell ref="I47:K47"/>
    <mergeCell ref="I48:K48"/>
    <mergeCell ref="I49:K4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O19:P19"/>
    <mergeCell ref="O16:P16"/>
    <mergeCell ref="A3:L4"/>
    <mergeCell ref="A21:E21"/>
    <mergeCell ref="A22:E22"/>
    <mergeCell ref="K19:N19"/>
    <mergeCell ref="O15:P15"/>
    <mergeCell ref="O17:P17"/>
    <mergeCell ref="K22:N22"/>
    <mergeCell ref="K20:N20"/>
    <mergeCell ref="M383:P383"/>
    <mergeCell ref="J136:K136"/>
    <mergeCell ref="A392:P392"/>
    <mergeCell ref="A77:P77"/>
    <mergeCell ref="A105:P105"/>
    <mergeCell ref="C97:L97"/>
    <mergeCell ref="C300:M300"/>
    <mergeCell ref="B315:H316"/>
    <mergeCell ref="D312:I312"/>
    <mergeCell ref="B318:P318"/>
    <mergeCell ref="C339:H339"/>
    <mergeCell ref="J339:K339"/>
    <mergeCell ref="J347:K347"/>
    <mergeCell ref="C351:J352"/>
    <mergeCell ref="P364:P365"/>
    <mergeCell ref="M363:M365"/>
    <mergeCell ref="F366:H366"/>
    <mergeCell ref="F367:H367"/>
    <mergeCell ref="A390:P390"/>
    <mergeCell ref="A370:P370"/>
    <mergeCell ref="A324:P324"/>
    <mergeCell ref="I267:J267"/>
    <mergeCell ref="G239:K239"/>
    <mergeCell ref="I264:J264"/>
    <mergeCell ref="L261:M261"/>
    <mergeCell ref="L262:M262"/>
    <mergeCell ref="L264:M264"/>
    <mergeCell ref="I272:N272"/>
    <mergeCell ref="L249:L250"/>
    <mergeCell ref="I278:J278"/>
    <mergeCell ref="I256:J256"/>
    <mergeCell ref="L247:L248"/>
    <mergeCell ref="I273:K273"/>
    <mergeCell ref="G266:K266"/>
    <mergeCell ref="L259:M259"/>
    <mergeCell ref="L260:M260"/>
    <mergeCell ref="I254:J254"/>
    <mergeCell ref="L256:M256"/>
    <mergeCell ref="L255:M255"/>
    <mergeCell ref="C252:M252"/>
    <mergeCell ref="I257:J257"/>
    <mergeCell ref="L254:M254"/>
    <mergeCell ref="L268:M268"/>
    <mergeCell ref="I263:J263"/>
    <mergeCell ref="A52:P52"/>
    <mergeCell ref="C61:L61"/>
    <mergeCell ref="L142:M142"/>
    <mergeCell ref="L143:M143"/>
    <mergeCell ref="J43:L45"/>
    <mergeCell ref="F49:H49"/>
    <mergeCell ref="A402:P402"/>
    <mergeCell ref="A187:P187"/>
    <mergeCell ref="A189:P189"/>
    <mergeCell ref="A354:P354"/>
    <mergeCell ref="A356:P356"/>
    <mergeCell ref="I261:J261"/>
    <mergeCell ref="A308:P308"/>
    <mergeCell ref="I255:J255"/>
    <mergeCell ref="L278:M278"/>
    <mergeCell ref="I258:J258"/>
    <mergeCell ref="I259:J259"/>
    <mergeCell ref="I260:J260"/>
    <mergeCell ref="A295:P295"/>
    <mergeCell ref="I262:J262"/>
    <mergeCell ref="P344:P345"/>
    <mergeCell ref="O344:O345"/>
    <mergeCell ref="I277:J277"/>
    <mergeCell ref="C335:L335"/>
    <mergeCell ref="C139:F140"/>
    <mergeCell ref="L141:M141"/>
    <mergeCell ref="B119:J120"/>
    <mergeCell ref="J135:K135"/>
    <mergeCell ref="A54:P54"/>
    <mergeCell ref="B66:H66"/>
    <mergeCell ref="I66:L66"/>
    <mergeCell ref="I68:L69"/>
    <mergeCell ref="I67:K67"/>
    <mergeCell ref="I70:L71"/>
    <mergeCell ref="A75:P75"/>
    <mergeCell ref="G19:I19"/>
    <mergeCell ref="G20:I20"/>
    <mergeCell ref="G21:I21"/>
    <mergeCell ref="G22:I22"/>
    <mergeCell ref="G23:I23"/>
    <mergeCell ref="A41:P41"/>
    <mergeCell ref="O26:P26"/>
    <mergeCell ref="O22:P22"/>
    <mergeCell ref="O23:P23"/>
    <mergeCell ref="G27:I27"/>
    <mergeCell ref="G24:I24"/>
    <mergeCell ref="O27:P27"/>
    <mergeCell ref="O24:P24"/>
    <mergeCell ref="O25:P25"/>
    <mergeCell ref="K26:N26"/>
    <mergeCell ref="A26:E26"/>
    <mergeCell ref="K24:N24"/>
    <mergeCell ref="A25:E25"/>
    <mergeCell ref="O20:P20"/>
    <mergeCell ref="O21:P21"/>
    <mergeCell ref="A24:E24"/>
    <mergeCell ref="K27:N27"/>
    <mergeCell ref="Q113:R116"/>
    <mergeCell ref="G25:I25"/>
    <mergeCell ref="G26:I26"/>
    <mergeCell ref="L133:M133"/>
    <mergeCell ref="L132:M132"/>
    <mergeCell ref="J90:K90"/>
    <mergeCell ref="J91:K91"/>
    <mergeCell ref="G127:P127"/>
    <mergeCell ref="K81:M81"/>
    <mergeCell ref="K80:M80"/>
    <mergeCell ref="K32:L32"/>
    <mergeCell ref="A123:P123"/>
    <mergeCell ref="C133:F135"/>
    <mergeCell ref="L135:M135"/>
    <mergeCell ref="B47:E49"/>
    <mergeCell ref="K25:N25"/>
    <mergeCell ref="A27:E27"/>
    <mergeCell ref="H33:I33"/>
    <mergeCell ref="B32:F33"/>
    <mergeCell ref="B90:F91"/>
    <mergeCell ref="L90:M90"/>
    <mergeCell ref="L91:M91"/>
    <mergeCell ref="H31:I31"/>
    <mergeCell ref="H37:I37"/>
    <mergeCell ref="L263:M263"/>
    <mergeCell ref="C227:D227"/>
    <mergeCell ref="J172:K172"/>
    <mergeCell ref="A220:M220"/>
    <mergeCell ref="C225:D225"/>
    <mergeCell ref="J226:K226"/>
    <mergeCell ref="M226:N226"/>
    <mergeCell ref="G224:H224"/>
    <mergeCell ref="A200:P200"/>
    <mergeCell ref="A216:P216"/>
    <mergeCell ref="C226:D226"/>
    <mergeCell ref="G221:H221"/>
    <mergeCell ref="I234:K234"/>
    <mergeCell ref="J229:P229"/>
    <mergeCell ref="A229:I229"/>
    <mergeCell ref="G226:H226"/>
    <mergeCell ref="G225:H225"/>
    <mergeCell ref="J225:K225"/>
    <mergeCell ref="M225:N225"/>
    <mergeCell ref="J227:K227"/>
    <mergeCell ref="M227:N227"/>
    <mergeCell ref="G227:H227"/>
    <mergeCell ref="L221:L223"/>
    <mergeCell ref="M387:P387"/>
    <mergeCell ref="K383:K384"/>
    <mergeCell ref="E381:L381"/>
    <mergeCell ref="E380:L380"/>
    <mergeCell ref="E379:L379"/>
    <mergeCell ref="L277:M277"/>
    <mergeCell ref="L265:M265"/>
    <mergeCell ref="C349:L349"/>
    <mergeCell ref="C348:L348"/>
    <mergeCell ref="C346:L346"/>
    <mergeCell ref="B328:C328"/>
    <mergeCell ref="M386:P386"/>
    <mergeCell ref="A372:P372"/>
    <mergeCell ref="E347:F347"/>
    <mergeCell ref="G347:H347"/>
    <mergeCell ref="L266:P267"/>
    <mergeCell ref="C350:J350"/>
    <mergeCell ref="B359:N359"/>
    <mergeCell ref="M385:P385"/>
    <mergeCell ref="M384:P384"/>
    <mergeCell ref="C299:L299"/>
    <mergeCell ref="I286:L286"/>
    <mergeCell ref="G305:J305"/>
    <mergeCell ref="F336:I336"/>
  </mergeCells>
  <phoneticPr fontId="6" type="noConversion"/>
  <conditionalFormatting sqref="O358:P358">
    <cfRule type="cellIs" dxfId="47" priority="49" operator="greaterThan">
      <formula>M358</formula>
    </cfRule>
  </conditionalFormatting>
  <conditionalFormatting sqref="F129 B127">
    <cfRule type="expression" dxfId="46" priority="46">
      <formula>AND($O$109&gt;0,$O$109&lt;4,OR($I$109="Statutory Redevelopment Plan",$I$109="Redevelopment Zone",$I$109="Local Redevelopment Plan"))</formula>
    </cfRule>
  </conditionalFormatting>
  <conditionalFormatting sqref="Q67">
    <cfRule type="cellIs" dxfId="45" priority="36" stopIfTrue="1" operator="equal">
      <formula>"* * Check Score! * *"</formula>
    </cfRule>
  </conditionalFormatting>
  <conditionalFormatting sqref="N231:N232 L232">
    <cfRule type="cellIs" dxfId="44" priority="34" stopIfTrue="1" operator="equal">
      <formula>"* * Check Score! * *"</formula>
    </cfRule>
  </conditionalFormatting>
  <conditionalFormatting sqref="R287">
    <cfRule type="cellIs" dxfId="43" priority="32" stopIfTrue="1" operator="equal">
      <formula>"* * Check Score! * *"</formula>
    </cfRule>
  </conditionalFormatting>
  <conditionalFormatting sqref="R292">
    <cfRule type="cellIs" dxfId="42" priority="13" stopIfTrue="1" operator="equal">
      <formula>"* * Check Score! * *"</formula>
    </cfRule>
  </conditionalFormatting>
  <conditionalFormatting sqref="R293">
    <cfRule type="cellIs" dxfId="41" priority="12" stopIfTrue="1" operator="equal">
      <formula>"* * Check Score! * *"</formula>
    </cfRule>
  </conditionalFormatting>
  <conditionalFormatting sqref="R288">
    <cfRule type="cellIs" dxfId="40" priority="17" stopIfTrue="1" operator="equal">
      <formula>"* * Check Score! * *"</formula>
    </cfRule>
  </conditionalFormatting>
  <conditionalFormatting sqref="R289">
    <cfRule type="cellIs" dxfId="39" priority="16" stopIfTrue="1" operator="equal">
      <formula>"* * Check Score! * *"</formula>
    </cfRule>
  </conditionalFormatting>
  <conditionalFormatting sqref="R290">
    <cfRule type="cellIs" dxfId="38" priority="15" stopIfTrue="1" operator="equal">
      <formula>"* * Check Score! * *"</formula>
    </cfRule>
  </conditionalFormatting>
  <conditionalFormatting sqref="R291">
    <cfRule type="cellIs" dxfId="37" priority="14" stopIfTrue="1" operator="equal">
      <formula>"* * Check Score! * *"</formula>
    </cfRule>
  </conditionalFormatting>
  <conditionalFormatting sqref="R304:R305">
    <cfRule type="cellIs" dxfId="36" priority="10" stopIfTrue="1" operator="equal">
      <formula>"* * Check Score! * *"</formula>
    </cfRule>
  </conditionalFormatting>
  <conditionalFormatting sqref="O225:P227 N221 N223">
    <cfRule type="cellIs" dxfId="35" priority="8" stopIfTrue="1" operator="equal">
      <formula>"* * Check Score! * *"</formula>
    </cfRule>
  </conditionalFormatting>
  <conditionalFormatting sqref="R213">
    <cfRule type="cellIs" dxfId="34" priority="7" stopIfTrue="1" operator="equal">
      <formula>"* * Check Score! * *"</formula>
    </cfRule>
  </conditionalFormatting>
  <conditionalFormatting sqref="L239">
    <cfRule type="cellIs" dxfId="33" priority="4" stopIfTrue="1" operator="equal">
      <formula>"* * Check Score! * *"</formula>
    </cfRule>
  </conditionalFormatting>
  <conditionalFormatting sqref="N239">
    <cfRule type="cellIs" dxfId="32" priority="3" stopIfTrue="1" operator="equal">
      <formula>"* * Check Score! * *"</formula>
    </cfRule>
  </conditionalFormatting>
  <conditionalFormatting sqref="R336">
    <cfRule type="cellIs" dxfId="31" priority="1" stopIfTrue="1" operator="equal">
      <formula>"* * Check Score! * *"</formula>
    </cfRule>
  </conditionalFormatting>
  <dataValidations count="23">
    <dataValidation type="list" allowBlank="1" showInputMessage="1" showErrorMessage="1" sqref="P393 P403 J366:J368 P209 O359:P359 P230 P296 P325 P309 P357 P373 P27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0:C435 C425:C426"/>
    <dataValidation type="list" allowBlank="1" showInputMessage="1" showErrorMessage="1" sqref="O329:P333">
      <formula1>"6,2,5"</formula1>
    </dataValidation>
    <dataValidation type="list" allowBlank="1" showInputMessage="1" showErrorMessage="1" sqref="P337 O350:P351 P339">
      <formula1>"1"</formula1>
    </dataValidation>
    <dataValidation type="list" allowBlank="1" showInputMessage="1" showErrorMessage="1" sqref="O340:P341 O344:P345">
      <formula1>"2,1"</formula1>
    </dataValidation>
    <dataValidation type="list" allowBlank="1" showInputMessage="1" showErrorMessage="1" sqref="O348:P349 O346:P346 O335:P335">
      <formula1>"2"</formula1>
    </dataValidation>
    <dataValidation type="list" allowBlank="1" showInputMessage="1" showErrorMessage="1" sqref="O299:P299 O304:P304 O306:P306">
      <formula1>"Agree, Disagree"</formula1>
    </dataValidation>
    <dataValidation type="list" allowBlank="1" showInputMessage="1" showErrorMessage="1" sqref="O300:P301 O171:P171 P158:P162 O240:P240 O270:P270 O285:P285 O234:P237 O206:P206 O97:P97 O95:P95 O99:P102 O174:P176 O247:P252 O139:P139 O132:P133 O149:P149 O154:P154 K159:L160 O193:P196 O116:P116 O141:P147 O129:P129 O204:P204 O212:P214 O82:P82 P58:P63 O58 O60:O63 O113:P113 O156:P156 O93:P93 O89:P91 I274">
      <formula1>"Yes, No, N/a"</formula1>
    </dataValidation>
    <dataValidation type="list" allowBlank="1" showInputMessage="1" showErrorMessage="1" sqref="I273:K273">
      <formula1>"&lt;Select unrelated 3rd party type&gt;, Foundation, Trust, Government"</formula1>
    </dataValidation>
    <dataValidation type="list" allowBlank="1" showInputMessage="1" showErrorMessage="1" sqref="L115">
      <formula1>"&lt;Select&gt;,Upper, Middle"</formula1>
    </dataValidation>
    <dataValidation type="list" allowBlank="1" showInputMessage="1" showErrorMessage="1" sqref="D114">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88">
      <formula1>0</formula1>
      <formula2>10</formula2>
    </dataValidation>
    <dataValidation type="list" allowBlank="1" showInputMessage="1" showErrorMessage="1" sqref="F47:F49">
      <formula1>$J$435:$J$452</formula1>
    </dataValidation>
    <dataValidation type="list" allowBlank="1" showInputMessage="1" showErrorMessage="1" sqref="L135 J135">
      <formula1>"&lt;&lt;Select event type&gt;&gt;,Published local govt public mtg, Published onsite meeting, Published local public bldg mtg, Other (see comments)"</formula1>
    </dataValidation>
    <dataValidation type="list" allowBlank="1" showInputMessage="1" showErrorMessage="1" sqref="I286:L286">
      <formula1>"&lt;&lt; Choose category in which to compete &gt;&gt;, Integration of Health and Housing, Emerging Sustainable Building Design or Techniques, Community-Driven Housing Strategies"</formula1>
    </dataValidation>
    <dataValidation type="list" allowBlank="1" showInputMessage="1" showErrorMessage="1" sqref="K119:L119">
      <formula1>"&lt;Select&gt;,A1,A2,A3,B1,B2,B3,C1,C2"</formula1>
    </dataValidation>
    <dataValidation type="list" allowBlank="1" showInputMessage="1" showErrorMessage="1" sqref="I234:K234">
      <formula1>$G$440:$G$499</formula1>
    </dataValidation>
    <dataValidation type="whole" allowBlank="1" showInputMessage="1" showErrorMessage="1" sqref="P289:P294">
      <formula1>0</formula1>
      <formula2>5</formula2>
    </dataValidation>
    <dataValidation type="list" allowBlank="1" showInputMessage="1" showErrorMessage="1" sqref="D312:I312">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5:L125">
      <formula1>$A$452:$A$456</formula1>
    </dataValidation>
    <dataValidation type="list" allowBlank="1" showInputMessage="1" showErrorMessage="1" sqref="J137:M137">
      <formula1>"&lt;&lt;Select entity type&gt;&gt;,Non-profit organization, Neighborhood organization, Development authority, Local business coalition , Other (see comments)"</formula1>
    </dataValidation>
    <dataValidation type="list" allowBlank="1" showInputMessage="1" showErrorMessage="1" sqref="O337:O339">
      <formula1>"3"</formula1>
    </dataValidation>
  </dataValidations>
  <hyperlinks>
    <hyperlink ref="G239"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4" max="16383" man="1"/>
    <brk id="167" max="16383" man="1"/>
    <brk id="201" max="16383" man="1"/>
    <brk id="283" max="16383" man="1"/>
    <brk id="356" max="16383" man="1"/>
    <brk id="402" max="16383" man="1"/>
  </rowBreaks>
  <ignoredErrors>
    <ignoredError sqref="B158:B162 N158:N162 B171:B176 N171:N176 N179:N180 N183:N185 B183:B185 B179:B180 B234:B237 N234:N237 N247:N250 B247:B250 B254 B267 A210 A202 A191 A168 A125 A218 A231 A245 A284 A297 A310 O288:O293 N299:N302 N306 B299:B301 B306 B288:B293 B304 N304 N38:N39 N34:N35 B34:B35 B38:B39" numberStoredAsText="1"/>
    <ignoredError sqref="I265"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269" t="s">
        <v>4633</v>
      </c>
    </row>
    <row r="2" spans="1:6" s="34" customFormat="1" ht="13.5" customHeight="1">
      <c r="A2" s="1267" t="str">
        <f>'Part I-Project Information'!$F$24</f>
        <v>Gateway Capitol View</v>
      </c>
    </row>
    <row r="3" spans="1:6" s="34" customFormat="1" ht="13.5" customHeight="1">
      <c r="A3" s="1267" t="str">
        <f>CONCATENATE('Part I-Project Information'!$F$28,", ", 'Part I-Project Information'!$J$29," County")</f>
        <v>Atlanta, Fulton County</v>
      </c>
    </row>
    <row r="4" spans="1:6" ht="6.75" customHeight="1"/>
    <row r="5" spans="1:6" ht="113.25" customHeight="1">
      <c r="A5" s="2874" t="s">
        <v>2807</v>
      </c>
      <c r="B5" s="2444" t="s">
        <v>2808</v>
      </c>
      <c r="C5" s="2195"/>
      <c r="D5" s="2195"/>
      <c r="E5" s="2195"/>
      <c r="F5" s="2195"/>
    </row>
    <row r="6" spans="1:6" ht="6.6" customHeight="1">
      <c r="A6" s="2874"/>
      <c r="B6" s="2444"/>
      <c r="C6" s="2195"/>
      <c r="D6" s="2195"/>
      <c r="E6" s="2195"/>
      <c r="F6" s="2195"/>
    </row>
    <row r="7" spans="1:6" ht="134.25" customHeight="1">
      <c r="A7" s="2874"/>
      <c r="C7" s="1265"/>
    </row>
    <row r="8" spans="1:6" ht="6.6" customHeight="1">
      <c r="A8" s="2874"/>
    </row>
    <row r="9" spans="1:6" ht="111" customHeight="1">
      <c r="A9" s="2874"/>
    </row>
    <row r="10" spans="1:6" ht="6.6" customHeight="1">
      <c r="A10" s="2874"/>
    </row>
    <row r="11" spans="1:6" ht="111" customHeight="1">
      <c r="A11" s="2874"/>
    </row>
    <row r="12" spans="1:6" ht="6.6" customHeight="1">
      <c r="A12" s="2874"/>
    </row>
    <row r="13" spans="1:6" ht="111" customHeight="1">
      <c r="A13" s="2874"/>
    </row>
    <row r="14" spans="1:6" ht="6.6" customHeight="1">
      <c r="A14" s="2874"/>
    </row>
    <row r="15" spans="1:6" ht="111" customHeight="1">
      <c r="A15" s="2874"/>
    </row>
    <row r="16" spans="1:6" ht="6.6" customHeight="1">
      <c r="A16" s="2874"/>
    </row>
    <row r="17" spans="1:1" ht="111" customHeight="1">
      <c r="A17" s="2874"/>
    </row>
    <row r="18" spans="1:1" ht="6.6" customHeight="1">
      <c r="A18" s="2874"/>
    </row>
    <row r="19" spans="1:1" ht="105.75" customHeight="1">
      <c r="A19" s="2874"/>
    </row>
    <row r="20" spans="1:1" ht="6.6" customHeight="1">
      <c r="A20" s="2874"/>
    </row>
    <row r="21" spans="1:1" ht="105.75" customHeight="1">
      <c r="A21" s="2874"/>
    </row>
    <row r="22" spans="1:1" ht="6.6" customHeight="1">
      <c r="A22" s="2874"/>
    </row>
    <row r="23" spans="1:1" ht="105.75" customHeight="1">
      <c r="A23" s="2874"/>
    </row>
    <row r="24" spans="1:1" ht="6.6" customHeight="1">
      <c r="A24" s="1266"/>
    </row>
  </sheetData>
  <sheetProtection algorithmName="SHA-512" hashValue="kfXKdlpw2eqN3PEnPMeWxqSCiQrp3A9L8BMWUiBR8MSE0nDZpsNRRSSwlGu4pb0igWpsce01cip6c0U08NRjBw==" saltValue="fjpAa76436j7+txmrL5jO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69" t="s">
        <v>3985</v>
      </c>
    </row>
    <row r="2" spans="1:6" s="34" customFormat="1" ht="13.5" customHeight="1">
      <c r="A2" s="1267" t="str">
        <f>'Part I-Project Information'!$F$24</f>
        <v>Gateway Capitol View</v>
      </c>
    </row>
    <row r="3" spans="1:6" s="34" customFormat="1" ht="13.5" customHeight="1">
      <c r="A3" s="1267" t="str">
        <f>CONCATENATE('Part I-Project Information'!$F$28,", ", 'Part I-Project Information'!$J$29," County")</f>
        <v>Atlanta, Fulton County</v>
      </c>
    </row>
    <row r="4" spans="1:6" s="34" customFormat="1" ht="13.5" customHeight="1">
      <c r="A4" s="1268" t="str">
        <f>CONCATENATE("Identified Complex Issue: ",'Part IX A-Scoring Criteria'!$K$286)</f>
        <v xml:space="preserve">Identified Complex Issue: </v>
      </c>
    </row>
    <row r="5" spans="1:6" ht="6.75" customHeight="1"/>
    <row r="6" spans="1:6" ht="113.25" customHeight="1">
      <c r="A6" s="2874" t="s">
        <v>2807</v>
      </c>
      <c r="B6" s="2444" t="s">
        <v>2808</v>
      </c>
      <c r="C6" s="2195"/>
      <c r="D6" s="2195"/>
      <c r="E6" s="2195"/>
      <c r="F6" s="2195"/>
    </row>
    <row r="7" spans="1:6" ht="6.6" customHeight="1">
      <c r="A7" s="2874"/>
      <c r="B7" s="2444"/>
      <c r="C7" s="2195"/>
      <c r="D7" s="2195"/>
      <c r="E7" s="2195"/>
      <c r="F7" s="2195"/>
    </row>
    <row r="8" spans="1:6" ht="134.25" customHeight="1">
      <c r="A8" s="2874"/>
      <c r="C8" s="1265"/>
    </row>
    <row r="9" spans="1:6" ht="6.6" customHeight="1">
      <c r="A9" s="2874"/>
    </row>
    <row r="10" spans="1:6" ht="111" customHeight="1">
      <c r="A10" s="2874"/>
    </row>
    <row r="11" spans="1:6" ht="6.6" customHeight="1">
      <c r="A11" s="2874"/>
    </row>
    <row r="12" spans="1:6" ht="111" customHeight="1">
      <c r="A12" s="2874"/>
    </row>
    <row r="13" spans="1:6" ht="6.6" customHeight="1">
      <c r="A13" s="2874"/>
    </row>
    <row r="14" spans="1:6" ht="111" customHeight="1">
      <c r="A14" s="2874"/>
    </row>
    <row r="15" spans="1:6" ht="6.6" customHeight="1">
      <c r="A15" s="2874"/>
    </row>
    <row r="16" spans="1:6" ht="111" customHeight="1">
      <c r="A16" s="2874"/>
    </row>
    <row r="17" spans="1:1" ht="6.6" customHeight="1">
      <c r="A17" s="2874"/>
    </row>
    <row r="18" spans="1:1" ht="111" customHeight="1">
      <c r="A18" s="2874"/>
    </row>
    <row r="19" spans="1:1" ht="6.6" customHeight="1">
      <c r="A19" s="2874"/>
    </row>
    <row r="20" spans="1:1" ht="105.75" customHeight="1">
      <c r="A20" s="2874"/>
    </row>
    <row r="21" spans="1:1" ht="6.6" customHeight="1">
      <c r="A21" s="2874"/>
    </row>
    <row r="22" spans="1:1" ht="105.75" customHeight="1">
      <c r="A22" s="2874"/>
    </row>
    <row r="23" spans="1:1" ht="6.6" customHeight="1">
      <c r="A23" s="2874"/>
    </row>
    <row r="24" spans="1:1" ht="105.75" customHeight="1">
      <c r="A24" s="2874"/>
    </row>
    <row r="25" spans="1:1" ht="6.6" customHeight="1">
      <c r="A25" s="1266"/>
    </row>
  </sheetData>
  <sheetProtection algorithmName="SHA-512" hashValue="0hUBE7I6Iu5mcGfLyN8nbbsRM8pe7atrnL0HbO9/8T78jXvjg5yGnm5pVrvarKPUUb82bKMRlLuSoxMxZ/FtUA==" saltValue="Bp7mngn0TYwetgcqw90z2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57" customWidth="1"/>
    <col min="4" max="4" width="15.42578125" style="957" customWidth="1"/>
    <col min="5" max="5" width="4.7109375" style="957" customWidth="1"/>
    <col min="6" max="9" width="12.7109375" style="957" customWidth="1"/>
    <col min="10" max="10" width="5.140625" style="957" customWidth="1"/>
    <col min="11" max="16384" width="9.140625" style="957"/>
  </cols>
  <sheetData>
    <row r="1" spans="1:11" ht="15.75">
      <c r="A1" s="2747" t="s">
        <v>3215</v>
      </c>
      <c r="B1" s="2747"/>
      <c r="C1" s="2747"/>
      <c r="D1" s="2747"/>
      <c r="E1" s="2747"/>
      <c r="F1" s="2747"/>
      <c r="G1" s="2747"/>
      <c r="H1" s="2747"/>
      <c r="I1" s="2747"/>
      <c r="J1" s="2747"/>
    </row>
    <row r="2" spans="1:11" ht="15.75">
      <c r="A2" s="2747" t="str">
        <f>Overview!C8</f>
        <v>Gateway Capitol View</v>
      </c>
      <c r="B2" s="2747"/>
      <c r="C2" s="2747"/>
      <c r="D2" s="2747"/>
      <c r="E2" s="2747"/>
      <c r="F2" s="2747"/>
      <c r="G2" s="2747"/>
      <c r="H2" s="2747"/>
      <c r="I2" s="2747"/>
      <c r="J2" s="2747"/>
    </row>
    <row r="3" spans="1:11" ht="15.75">
      <c r="A3" s="2747" t="str">
        <f>'Subsidy Layering Memo'!F14</f>
        <v>Atlanta, Fulton</v>
      </c>
      <c r="B3" s="2747"/>
      <c r="C3" s="2747"/>
      <c r="D3" s="2747"/>
      <c r="E3" s="2747"/>
      <c r="F3" s="2747"/>
      <c r="G3" s="2747"/>
      <c r="H3" s="2747"/>
      <c r="I3" s="2747"/>
      <c r="J3" s="2747"/>
    </row>
    <row r="4" spans="1:11" ht="15.75">
      <c r="A4" s="2748" t="s">
        <v>3216</v>
      </c>
      <c r="B4" s="2747"/>
      <c r="C4" s="2747"/>
      <c r="D4" s="2747"/>
      <c r="E4" s="2747"/>
      <c r="F4" s="2747"/>
      <c r="G4" s="2747"/>
      <c r="H4" s="2747"/>
      <c r="I4" s="2747"/>
      <c r="J4" s="2747"/>
    </row>
    <row r="5" spans="1:11" ht="5.25" customHeight="1"/>
    <row r="6" spans="1:11" ht="5.25" customHeight="1"/>
    <row r="7" spans="1:11" ht="15.75">
      <c r="A7" s="2749" t="s">
        <v>3217</v>
      </c>
      <c r="B7" s="2749"/>
      <c r="C7" s="2750"/>
    </row>
    <row r="8" spans="1:11" ht="123" customHeight="1">
      <c r="A8" s="2743" t="s">
        <v>3745</v>
      </c>
      <c r="B8" s="2743"/>
      <c r="C8" s="2743"/>
      <c r="D8" s="2743"/>
      <c r="E8" s="2743"/>
      <c r="F8" s="2743"/>
      <c r="G8" s="2743"/>
      <c r="H8" s="2743"/>
      <c r="I8" s="2743"/>
      <c r="J8" s="2743"/>
      <c r="K8" s="958"/>
    </row>
    <row r="9" spans="1:11" ht="15.75">
      <c r="A9" s="959" t="s">
        <v>3218</v>
      </c>
    </row>
    <row r="10" spans="1:11" ht="31.5" customHeight="1">
      <c r="A10" s="2743" t="str">
        <f>'Subsidy Layering Memo'!A44</f>
        <v xml:space="preserve">Ownership entity:  (NAME) LP, a Georgia Limited Partnership, will be the ownership entity for the proposed project. </v>
      </c>
      <c r="B10" s="2744"/>
      <c r="C10" s="2744"/>
      <c r="D10" s="2744"/>
      <c r="E10" s="2744"/>
      <c r="F10" s="2744"/>
      <c r="G10" s="2744"/>
      <c r="H10" s="2744"/>
      <c r="I10" s="2744"/>
      <c r="J10" s="2743"/>
    </row>
    <row r="11" spans="1:11" ht="76.5" customHeight="1">
      <c r="A11" s="274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743"/>
      <c r="C11" s="2743"/>
      <c r="D11" s="2743"/>
      <c r="E11" s="2743"/>
      <c r="F11" s="2743"/>
      <c r="G11" s="2743"/>
      <c r="H11" s="2743"/>
      <c r="I11" s="2743"/>
      <c r="J11" s="2743"/>
    </row>
    <row r="12" spans="1:11" ht="62.25" customHeight="1">
      <c r="A12" s="274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743"/>
      <c r="C12" s="2743"/>
      <c r="D12" s="2743"/>
      <c r="E12" s="2743"/>
      <c r="F12" s="2743"/>
      <c r="G12" s="2743"/>
      <c r="H12" s="2743"/>
      <c r="I12" s="2743"/>
      <c r="J12" s="2743"/>
    </row>
    <row r="13" spans="1:11" ht="15.75">
      <c r="A13" s="959" t="s">
        <v>3219</v>
      </c>
      <c r="B13" s="960"/>
    </row>
    <row r="14" spans="1:11">
      <c r="A14" s="957" t="s">
        <v>3220</v>
      </c>
      <c r="E14" s="961" t="s">
        <v>3221</v>
      </c>
    </row>
    <row r="15" spans="1:11">
      <c r="A15" s="957" t="s">
        <v>3222</v>
      </c>
      <c r="D15" s="962">
        <f>Overview!C25</f>
        <v>6676515</v>
      </c>
    </row>
    <row r="16" spans="1:11">
      <c r="A16" s="963" t="s">
        <v>3223</v>
      </c>
      <c r="D16" s="964" t="e">
        <f>Overview!C13</f>
        <v>#REF!</v>
      </c>
    </row>
    <row r="17" spans="1:11" ht="14.25" customHeight="1"/>
    <row r="18" spans="1:11" ht="15.75">
      <c r="A18" s="959" t="s">
        <v>3224</v>
      </c>
      <c r="B18" s="960"/>
      <c r="C18" s="960"/>
    </row>
    <row r="19" spans="1:11" ht="54" customHeight="1">
      <c r="A19" s="274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745"/>
      <c r="C19" s="2745"/>
      <c r="D19" s="2745"/>
      <c r="E19" s="2745"/>
      <c r="F19" s="2745"/>
      <c r="G19" s="2745"/>
      <c r="H19" s="2745"/>
      <c r="I19" s="2745"/>
      <c r="J19" s="2745"/>
    </row>
    <row r="20" spans="1:11" ht="91.5" customHeight="1">
      <c r="A20" s="274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743"/>
      <c r="C20" s="2743"/>
      <c r="D20" s="2743"/>
      <c r="E20" s="2743"/>
      <c r="F20" s="2743"/>
      <c r="G20" s="2743"/>
      <c r="H20" s="2743"/>
      <c r="I20" s="2743"/>
      <c r="J20" s="2743"/>
    </row>
    <row r="21" spans="1:11" ht="15.75">
      <c r="A21" s="959" t="s">
        <v>3225</v>
      </c>
      <c r="B21" s="960"/>
      <c r="C21" s="960"/>
      <c r="D21" s="960"/>
      <c r="E21" s="960"/>
      <c r="F21" s="960"/>
    </row>
    <row r="22" spans="1:11" ht="134.25" customHeight="1">
      <c r="A22" s="27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746"/>
      <c r="C22" s="2746"/>
      <c r="D22" s="2746"/>
      <c r="E22" s="2746"/>
      <c r="F22" s="2746"/>
      <c r="G22" s="2746"/>
      <c r="H22" s="2746"/>
      <c r="I22" s="2746"/>
      <c r="J22" s="2746"/>
      <c r="K22" s="965"/>
    </row>
    <row r="23" spans="1:11" ht="15" customHeight="1">
      <c r="A23" s="2743"/>
      <c r="B23" s="2743"/>
      <c r="C23" s="2743"/>
      <c r="D23" s="2743"/>
      <c r="E23" s="2743"/>
      <c r="F23" s="2743"/>
      <c r="G23" s="2743"/>
      <c r="H23" s="2743"/>
      <c r="I23" s="2743"/>
      <c r="J23" s="2743"/>
      <c r="K23" s="957" t="s">
        <v>255</v>
      </c>
    </row>
    <row r="24" spans="1:11" ht="15" customHeight="1">
      <c r="B24" s="966"/>
      <c r="C24" s="966"/>
      <c r="D24" s="966"/>
      <c r="E24" s="966"/>
      <c r="F24" s="966"/>
      <c r="G24" s="966"/>
      <c r="H24" s="966"/>
      <c r="I24" s="966" t="s">
        <v>255</v>
      </c>
      <c r="J24" s="966"/>
    </row>
    <row r="25" spans="1:11" ht="15.75">
      <c r="A25" s="960" t="s">
        <v>3226</v>
      </c>
    </row>
    <row r="27" spans="1:11" ht="15.75" thickBot="1">
      <c r="A27" s="967"/>
      <c r="B27" s="967"/>
      <c r="C27" s="967"/>
      <c r="D27" s="967"/>
      <c r="F27" s="967"/>
      <c r="G27" s="967"/>
      <c r="H27" s="967"/>
      <c r="I27" s="967"/>
    </row>
    <row r="28" spans="1:11">
      <c r="A28" s="957" t="s">
        <v>3227</v>
      </c>
      <c r="D28" s="957" t="s">
        <v>965</v>
      </c>
      <c r="F28" s="957" t="s">
        <v>3228</v>
      </c>
      <c r="I28" s="957" t="s">
        <v>965</v>
      </c>
      <c r="J28" s="957" t="s">
        <v>255</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71"/>
    <col min="2" max="2" width="7.7109375" style="971" customWidth="1"/>
    <col min="3" max="3" width="14.85546875" style="971" customWidth="1"/>
    <col min="4" max="4" width="20.28515625" style="971" customWidth="1"/>
    <col min="5" max="5" width="8" style="971" customWidth="1"/>
    <col min="6" max="6" width="5.140625" style="971" customWidth="1"/>
    <col min="7" max="7" width="5.42578125" style="971" customWidth="1"/>
    <col min="8" max="8" width="8.5703125" style="971" customWidth="1"/>
    <col min="9" max="9" width="28.5703125" style="971" customWidth="1"/>
    <col min="10" max="10" width="4.140625" style="971" hidden="1" customWidth="1"/>
    <col min="11" max="11" width="9.140625" style="971"/>
    <col min="12" max="12" width="16.140625" style="971" customWidth="1"/>
    <col min="13" max="13" width="11.28515625" style="971" customWidth="1"/>
    <col min="14" max="14" width="10.85546875" style="971" bestFit="1" customWidth="1"/>
    <col min="15" max="16384" width="9.140625" style="971"/>
  </cols>
  <sheetData>
    <row r="2" spans="1:10" ht="15">
      <c r="A2" s="968" t="s">
        <v>3229</v>
      </c>
      <c r="B2" s="969"/>
      <c r="C2" s="969"/>
      <c r="D2" s="969"/>
      <c r="E2" s="970"/>
      <c r="F2" s="969"/>
      <c r="G2" s="969"/>
      <c r="H2" s="969"/>
      <c r="I2" s="969"/>
      <c r="J2" s="969"/>
    </row>
    <row r="3" spans="1:10" ht="15">
      <c r="A3" s="972"/>
    </row>
    <row r="4" spans="1:10" ht="15">
      <c r="A4" s="972" t="s">
        <v>3230</v>
      </c>
      <c r="D4" s="971" t="s">
        <v>3231</v>
      </c>
    </row>
    <row r="5" spans="1:10" ht="15">
      <c r="A5" s="972"/>
    </row>
    <row r="6" spans="1:10" ht="15">
      <c r="A6" s="972" t="s">
        <v>3232</v>
      </c>
      <c r="D6" s="971" t="s">
        <v>3233</v>
      </c>
    </row>
    <row r="7" spans="1:10" ht="15">
      <c r="A7" s="972"/>
    </row>
    <row r="8" spans="1:10" ht="15">
      <c r="A8" s="972" t="s">
        <v>3234</v>
      </c>
      <c r="D8" s="973" t="s">
        <v>3235</v>
      </c>
    </row>
    <row r="9" spans="1:10" ht="15">
      <c r="A9" s="972"/>
    </row>
    <row r="10" spans="1:10" ht="15">
      <c r="A10" s="972" t="s">
        <v>3236</v>
      </c>
      <c r="D10" s="973" t="s">
        <v>3237</v>
      </c>
    </row>
    <row r="11" spans="1:10" ht="15">
      <c r="A11" s="972"/>
      <c r="D11" s="974"/>
    </row>
    <row r="12" spans="1:10" ht="15">
      <c r="A12" s="972" t="s">
        <v>3238</v>
      </c>
      <c r="D12" s="971" t="s">
        <v>647</v>
      </c>
      <c r="F12" s="974" t="str">
        <f>Overview!$C$8</f>
        <v>Gateway Capitol View</v>
      </c>
    </row>
    <row r="13" spans="1:10" ht="15">
      <c r="A13" s="972"/>
      <c r="D13" s="971" t="s">
        <v>3239</v>
      </c>
      <c r="F13" s="974" t="str">
        <f>Overview!E8</f>
        <v>2016-508</v>
      </c>
    </row>
    <row r="14" spans="1:10" ht="15">
      <c r="A14" s="972"/>
      <c r="D14" s="971" t="s">
        <v>3240</v>
      </c>
      <c r="F14" s="974" t="str">
        <f>Overview!H8</f>
        <v>Atlanta, Fulton</v>
      </c>
    </row>
    <row r="15" spans="1:10" ht="15">
      <c r="A15" s="972"/>
      <c r="D15" s="971" t="s">
        <v>3628</v>
      </c>
      <c r="F15" s="975">
        <f>Overview!$C$25</f>
        <v>6676515</v>
      </c>
    </row>
    <row r="16" spans="1:10" ht="15">
      <c r="A16" s="972"/>
      <c r="D16" s="976" t="s">
        <v>3241</v>
      </c>
      <c r="F16" s="977" t="e">
        <f>Overview!C13</f>
        <v>#REF!</v>
      </c>
      <c r="G16" s="978" t="s">
        <v>3629</v>
      </c>
      <c r="H16" s="974" t="e">
        <f>Overview!D13</f>
        <v>#REF!</v>
      </c>
    </row>
    <row r="17" spans="1:18" ht="15">
      <c r="A17" s="972"/>
      <c r="D17" s="976" t="s">
        <v>3190</v>
      </c>
      <c r="F17" s="974" t="str">
        <f>Overview!C14</f>
        <v>HFOP</v>
      </c>
    </row>
    <row r="18" spans="1:18" ht="15">
      <c r="A18" s="972"/>
      <c r="D18" s="976" t="s">
        <v>3634</v>
      </c>
      <c r="F18" s="974" t="str">
        <f>Overview!H15</f>
        <v>Urban</v>
      </c>
    </row>
    <row r="19" spans="1:18" ht="15">
      <c r="A19" s="972"/>
      <c r="D19" s="976" t="s">
        <v>3630</v>
      </c>
      <c r="F19" s="974" t="str">
        <f>Overview!E16</f>
        <v>No</v>
      </c>
    </row>
    <row r="20" spans="1:18" ht="15">
      <c r="A20" s="972"/>
      <c r="D20" s="976"/>
    </row>
    <row r="21" spans="1:18" ht="15">
      <c r="A21" s="979" t="s">
        <v>3242</v>
      </c>
    </row>
    <row r="22" spans="1:18" ht="111.75" customHeight="1">
      <c r="A22" s="2760" t="s">
        <v>4015</v>
      </c>
      <c r="B22" s="2760"/>
      <c r="C22" s="2760"/>
      <c r="D22" s="2760"/>
      <c r="E22" s="2760"/>
      <c r="F22" s="2760"/>
      <c r="G22" s="2760"/>
      <c r="H22" s="2760"/>
      <c r="I22" s="2760"/>
      <c r="J22" s="2760"/>
      <c r="L22" s="2765" t="s">
        <v>3639</v>
      </c>
      <c r="M22" s="2765"/>
      <c r="N22" s="2765"/>
      <c r="O22" s="2765"/>
      <c r="P22" s="2765"/>
      <c r="Q22" s="2765"/>
      <c r="R22" s="2765"/>
    </row>
    <row r="23" spans="1:18" ht="0.75" hidden="1" customHeight="1">
      <c r="A23" s="980"/>
      <c r="B23" s="980"/>
      <c r="C23" s="980"/>
      <c r="D23" s="980"/>
      <c r="E23" s="980"/>
      <c r="F23" s="980"/>
      <c r="G23" s="980"/>
      <c r="H23" s="980"/>
      <c r="I23" s="980"/>
      <c r="J23" s="980"/>
    </row>
    <row r="24" spans="1:18" ht="9.75" hidden="1" customHeight="1">
      <c r="A24" s="2766"/>
      <c r="B24" s="2766"/>
      <c r="C24" s="2766"/>
      <c r="D24" s="2766"/>
      <c r="E24" s="2766"/>
      <c r="F24" s="2766"/>
      <c r="G24" s="2766"/>
      <c r="H24" s="2766"/>
      <c r="I24" s="2766"/>
      <c r="J24" s="2766"/>
    </row>
    <row r="25" spans="1:18" ht="10.5" hidden="1" customHeight="1">
      <c r="A25" s="2767"/>
      <c r="B25" s="2767"/>
      <c r="C25" s="2767"/>
      <c r="D25" s="2767"/>
      <c r="E25" s="2767"/>
      <c r="F25" s="2767"/>
      <c r="G25" s="2767"/>
      <c r="H25" s="2767"/>
      <c r="I25" s="2767"/>
      <c r="J25" s="2767"/>
    </row>
    <row r="26" spans="1:18" ht="15">
      <c r="A26" s="979" t="s">
        <v>3243</v>
      </c>
    </row>
    <row r="27" spans="1:18" ht="14.25" customHeight="1">
      <c r="A27" s="2768" t="s">
        <v>3244</v>
      </c>
      <c r="B27" s="2768"/>
      <c r="C27" s="2768"/>
      <c r="D27" s="2768"/>
      <c r="E27" s="2768"/>
      <c r="F27" s="2768"/>
      <c r="G27" s="2768"/>
      <c r="H27" s="2768"/>
      <c r="I27" s="2768"/>
      <c r="J27" s="2768"/>
    </row>
    <row r="28" spans="1:18" ht="14.25" customHeight="1">
      <c r="A28" s="2768"/>
      <c r="B28" s="2768"/>
      <c r="C28" s="2768"/>
      <c r="D28" s="2768"/>
      <c r="E28" s="2768"/>
      <c r="F28" s="2768"/>
      <c r="G28" s="2768"/>
      <c r="H28" s="2768"/>
      <c r="I28" s="2768"/>
      <c r="J28" s="2768"/>
    </row>
    <row r="29" spans="1:18" ht="6.75" customHeight="1">
      <c r="A29" s="2768"/>
      <c r="B29" s="2768"/>
      <c r="C29" s="2768"/>
      <c r="D29" s="2768"/>
      <c r="E29" s="2768"/>
      <c r="F29" s="2768"/>
      <c r="G29" s="2768"/>
      <c r="H29" s="2768"/>
      <c r="I29" s="2768"/>
      <c r="J29" s="2768"/>
    </row>
    <row r="30" spans="1:18" ht="14.25" customHeight="1">
      <c r="A30" s="2768"/>
      <c r="B30" s="2768"/>
      <c r="C30" s="2768"/>
      <c r="D30" s="2768"/>
      <c r="E30" s="2768"/>
      <c r="F30" s="2768"/>
      <c r="G30" s="2768"/>
      <c r="H30" s="2768"/>
      <c r="I30" s="2768"/>
      <c r="J30" s="2768"/>
    </row>
    <row r="31" spans="1:18" ht="14.25" customHeight="1">
      <c r="A31" s="2768"/>
      <c r="B31" s="2768"/>
      <c r="C31" s="2768"/>
      <c r="D31" s="2768"/>
      <c r="E31" s="2768"/>
      <c r="F31" s="2768"/>
      <c r="G31" s="2768"/>
      <c r="H31" s="2768"/>
      <c r="I31" s="2768"/>
      <c r="J31" s="2768"/>
    </row>
    <row r="32" spans="1:18" ht="54.75" customHeight="1">
      <c r="A32" s="2768"/>
      <c r="B32" s="2768"/>
      <c r="C32" s="2768"/>
      <c r="D32" s="2768"/>
      <c r="E32" s="2768"/>
      <c r="F32" s="2768"/>
      <c r="G32" s="2768"/>
      <c r="H32" s="2768"/>
      <c r="I32" s="2768"/>
      <c r="J32" s="2768"/>
    </row>
    <row r="33" spans="1:10" ht="0.75" hidden="1" customHeight="1">
      <c r="A33" s="2768"/>
      <c r="B33" s="2768"/>
      <c r="C33" s="2768"/>
      <c r="D33" s="2768"/>
      <c r="E33" s="2768"/>
      <c r="F33" s="2768"/>
      <c r="G33" s="2768"/>
      <c r="H33" s="2768"/>
      <c r="I33" s="2768"/>
      <c r="J33" s="2768"/>
    </row>
    <row r="34" spans="1:10" ht="3.75" hidden="1" customHeight="1">
      <c r="A34" s="2768"/>
      <c r="B34" s="2768"/>
      <c r="C34" s="2768"/>
      <c r="D34" s="2768"/>
      <c r="E34" s="2768"/>
      <c r="F34" s="2768"/>
      <c r="G34" s="2768"/>
      <c r="H34" s="2768"/>
      <c r="I34" s="2768"/>
      <c r="J34" s="2768"/>
    </row>
    <row r="35" spans="1:10" ht="5.25" customHeight="1">
      <c r="A35" s="981"/>
      <c r="B35" s="981"/>
      <c r="C35" s="981"/>
      <c r="D35" s="981"/>
      <c r="E35" s="981"/>
      <c r="F35" s="981"/>
      <c r="G35" s="981"/>
      <c r="H35" s="981"/>
      <c r="I35" s="981"/>
      <c r="J35" s="981"/>
    </row>
    <row r="36" spans="1:10" ht="19.5" customHeight="1">
      <c r="A36" s="2766" t="s">
        <v>3245</v>
      </c>
      <c r="B36" s="2766"/>
      <c r="C36" s="2766"/>
      <c r="D36" s="980"/>
      <c r="E36" s="980"/>
      <c r="F36" s="980"/>
      <c r="G36" s="980"/>
      <c r="H36" s="980"/>
      <c r="I36" s="980"/>
      <c r="J36" s="980"/>
    </row>
    <row r="37" spans="1:10" ht="15" customHeight="1">
      <c r="A37" s="2754"/>
      <c r="B37" s="2754"/>
      <c r="C37" s="2754"/>
      <c r="D37" s="2754"/>
      <c r="E37" s="2754"/>
      <c r="F37" s="2754"/>
      <c r="G37" s="2754"/>
      <c r="H37" s="2754"/>
      <c r="I37" s="2754"/>
      <c r="J37" s="2754"/>
    </row>
    <row r="38" spans="1:10" ht="33.75" customHeight="1">
      <c r="A38" s="2754"/>
      <c r="B38" s="2754"/>
      <c r="C38" s="2754"/>
      <c r="D38" s="2754"/>
      <c r="E38" s="2754"/>
      <c r="F38" s="2754"/>
      <c r="G38" s="2754"/>
      <c r="H38" s="2754"/>
      <c r="I38" s="2754"/>
      <c r="J38" s="2754"/>
    </row>
    <row r="39" spans="1:10" ht="2.25" customHeight="1">
      <c r="A39" s="980"/>
      <c r="B39" s="980"/>
      <c r="C39" s="980"/>
      <c r="D39" s="980"/>
      <c r="E39" s="980"/>
      <c r="F39" s="980"/>
      <c r="G39" s="980"/>
      <c r="H39" s="980"/>
      <c r="I39" s="980"/>
      <c r="J39" s="980"/>
    </row>
    <row r="40" spans="1:10" ht="15">
      <c r="A40" s="979" t="s">
        <v>3246</v>
      </c>
    </row>
    <row r="41" spans="1:10" ht="135" customHeight="1">
      <c r="A41" s="2767" t="s">
        <v>3746</v>
      </c>
      <c r="B41" s="2767"/>
      <c r="C41" s="2767"/>
      <c r="D41" s="2767"/>
      <c r="E41" s="2767"/>
      <c r="F41" s="2767"/>
      <c r="G41" s="2767"/>
      <c r="H41" s="2767"/>
      <c r="I41" s="2767"/>
      <c r="J41" s="2767"/>
    </row>
    <row r="42" spans="1:10" ht="6" customHeight="1">
      <c r="A42" s="982"/>
      <c r="B42" s="982"/>
      <c r="C42" s="982"/>
      <c r="D42" s="982"/>
      <c r="E42" s="982"/>
      <c r="F42" s="982"/>
      <c r="G42" s="982"/>
      <c r="H42" s="982"/>
      <c r="I42" s="982"/>
      <c r="J42" s="982"/>
    </row>
    <row r="43" spans="1:10" ht="15">
      <c r="A43" s="979" t="s">
        <v>3247</v>
      </c>
    </row>
    <row r="44" spans="1:10" ht="33" customHeight="1">
      <c r="A44" s="2754" t="s">
        <v>3248</v>
      </c>
      <c r="B44" s="2759"/>
      <c r="C44" s="2759"/>
      <c r="D44" s="2759"/>
      <c r="E44" s="2759"/>
      <c r="F44" s="2759"/>
      <c r="G44" s="2759"/>
      <c r="H44" s="2759"/>
      <c r="I44" s="2759"/>
      <c r="J44" s="2754"/>
    </row>
    <row r="45" spans="1:10" ht="3" customHeight="1"/>
    <row r="46" spans="1:10" ht="72.75" customHeight="1">
      <c r="A46" s="2754" t="s">
        <v>3249</v>
      </c>
      <c r="B46" s="2754"/>
      <c r="C46" s="2754"/>
      <c r="D46" s="2754"/>
      <c r="E46" s="2754"/>
      <c r="F46" s="2754"/>
      <c r="G46" s="2754"/>
      <c r="H46" s="2754"/>
      <c r="I46" s="2754"/>
      <c r="J46" s="2754"/>
    </row>
    <row r="47" spans="1:10" ht="3" customHeight="1">
      <c r="A47" s="980"/>
      <c r="B47" s="980"/>
      <c r="C47" s="980"/>
      <c r="D47" s="980"/>
      <c r="E47" s="980"/>
      <c r="F47" s="980"/>
      <c r="G47" s="980"/>
      <c r="H47" s="980"/>
      <c r="I47" s="980"/>
      <c r="J47" s="980"/>
    </row>
    <row r="48" spans="1:10" ht="56.25" customHeight="1">
      <c r="A48" s="2754" t="s">
        <v>3250</v>
      </c>
      <c r="B48" s="2754"/>
      <c r="C48" s="2754"/>
      <c r="D48" s="2754"/>
      <c r="E48" s="2754"/>
      <c r="F48" s="2754"/>
      <c r="G48" s="2754"/>
      <c r="H48" s="2754"/>
      <c r="I48" s="2754"/>
      <c r="J48" s="2754"/>
    </row>
    <row r="49" spans="1:17" ht="3" customHeight="1">
      <c r="A49" s="980"/>
      <c r="B49" s="980"/>
      <c r="C49" s="980"/>
      <c r="D49" s="980"/>
      <c r="E49" s="980"/>
      <c r="F49" s="980"/>
      <c r="G49" s="980"/>
      <c r="H49" s="980"/>
      <c r="I49" s="980"/>
      <c r="J49" s="980"/>
    </row>
    <row r="50" spans="1:17" ht="49.5" customHeight="1">
      <c r="A50" s="2754" t="s">
        <v>3251</v>
      </c>
      <c r="B50" s="2754"/>
      <c r="C50" s="2754"/>
      <c r="D50" s="2754"/>
      <c r="E50" s="2754"/>
      <c r="F50" s="2754"/>
      <c r="G50" s="2754"/>
      <c r="H50" s="2754"/>
      <c r="I50" s="2754"/>
      <c r="J50" s="980"/>
    </row>
    <row r="51" spans="1:17" ht="3" customHeight="1">
      <c r="A51" s="980"/>
      <c r="B51" s="980"/>
      <c r="C51" s="980"/>
      <c r="D51" s="980"/>
      <c r="E51" s="980"/>
      <c r="F51" s="980"/>
      <c r="G51" s="980"/>
      <c r="H51" s="980"/>
      <c r="I51" s="980"/>
      <c r="J51" s="980"/>
    </row>
    <row r="52" spans="1:17" ht="54.75" customHeight="1">
      <c r="A52" s="2764" t="s">
        <v>3640</v>
      </c>
      <c r="B52" s="2753"/>
      <c r="C52" s="2753"/>
      <c r="D52" s="2753"/>
      <c r="E52" s="2753"/>
      <c r="F52" s="2753"/>
      <c r="G52" s="2753"/>
      <c r="H52" s="2753"/>
      <c r="I52" s="2753"/>
      <c r="J52" s="980"/>
    </row>
    <row r="53" spans="1:17" ht="3" customHeight="1">
      <c r="A53" s="980"/>
      <c r="B53" s="980"/>
      <c r="C53" s="980"/>
      <c r="D53" s="980"/>
      <c r="E53" s="980"/>
      <c r="F53" s="980"/>
      <c r="G53" s="980"/>
      <c r="H53" s="980"/>
      <c r="I53" s="980"/>
      <c r="J53" s="980"/>
    </row>
    <row r="54" spans="1:17" ht="62.25" customHeight="1">
      <c r="A54" s="2753" t="s">
        <v>3252</v>
      </c>
      <c r="B54" s="2753"/>
      <c r="C54" s="2753"/>
      <c r="D54" s="2753"/>
      <c r="E54" s="2753"/>
      <c r="F54" s="2753"/>
      <c r="G54" s="2753"/>
      <c r="H54" s="2753"/>
      <c r="I54" s="2753"/>
      <c r="J54" s="2753"/>
    </row>
    <row r="55" spans="1:17" ht="3" customHeight="1"/>
    <row r="56" spans="1:17" ht="73.5" customHeight="1">
      <c r="A56" s="2754" t="s">
        <v>3253</v>
      </c>
      <c r="B56" s="2754"/>
      <c r="C56" s="2754"/>
      <c r="D56" s="2754"/>
      <c r="E56" s="2754"/>
      <c r="F56" s="2754"/>
      <c r="G56" s="2754"/>
      <c r="H56" s="2754"/>
      <c r="I56" s="2754"/>
      <c r="J56" s="2754"/>
    </row>
    <row r="57" spans="1:17" ht="6" customHeight="1">
      <c r="A57" s="980" t="s">
        <v>255</v>
      </c>
      <c r="B57" s="980"/>
      <c r="C57" s="980"/>
      <c r="D57" s="980"/>
      <c r="E57" s="980"/>
      <c r="F57" s="980"/>
      <c r="G57" s="980"/>
      <c r="H57" s="980"/>
      <c r="I57" s="980"/>
      <c r="J57" s="980"/>
    </row>
    <row r="58" spans="1:17" ht="15">
      <c r="A58" s="979" t="s">
        <v>3254</v>
      </c>
      <c r="L58" s="983" t="s">
        <v>4007</v>
      </c>
    </row>
    <row r="59" spans="1:17" ht="73.5" customHeight="1">
      <c r="A59" s="2760" t="s">
        <v>3255</v>
      </c>
      <c r="B59" s="2760"/>
      <c r="C59" s="2760"/>
      <c r="D59" s="2760"/>
      <c r="E59" s="2760"/>
      <c r="F59" s="2760"/>
      <c r="G59" s="2760"/>
      <c r="H59" s="2760"/>
      <c r="I59" s="2760"/>
      <c r="J59" s="2760"/>
      <c r="L59" s="984">
        <f>'Closing term sheet'!C135</f>
        <v>1041986.25</v>
      </c>
      <c r="M59" s="985"/>
      <c r="N59" s="985"/>
      <c r="O59" s="985"/>
    </row>
    <row r="60" spans="1:17" ht="7.5" customHeight="1">
      <c r="A60" s="980"/>
      <c r="B60" s="980"/>
      <c r="C60" s="980"/>
      <c r="D60" s="980"/>
      <c r="E60" s="980"/>
      <c r="F60" s="980"/>
      <c r="G60" s="980"/>
      <c r="H60" s="980"/>
      <c r="I60" s="980"/>
      <c r="J60" s="980"/>
      <c r="L60" s="986" t="s">
        <v>4008</v>
      </c>
      <c r="M60" s="987" t="s">
        <v>4013</v>
      </c>
      <c r="N60" s="988" t="s">
        <v>4010</v>
      </c>
      <c r="O60" s="986" t="s">
        <v>4009</v>
      </c>
      <c r="P60" s="987" t="s">
        <v>4012</v>
      </c>
      <c r="Q60" s="988" t="s">
        <v>4011</v>
      </c>
    </row>
    <row r="61" spans="1:17" ht="78.75" customHeight="1">
      <c r="A61" s="2753" t="s">
        <v>3747</v>
      </c>
      <c r="B61" s="2753"/>
      <c r="C61" s="2753"/>
      <c r="D61" s="2753"/>
      <c r="E61" s="2753"/>
      <c r="F61" s="2753"/>
      <c r="G61" s="2753"/>
      <c r="H61" s="2753"/>
      <c r="I61" s="2753"/>
      <c r="J61" s="989"/>
      <c r="L61" s="990">
        <f>'Part III-Sources of Funds'!I45</f>
        <v>8961202</v>
      </c>
      <c r="M61" s="991">
        <f>'Part IV-Uses of Funds'!$J$174</f>
        <v>853533</v>
      </c>
      <c r="N61" s="992">
        <f>'Part IV-Uses of Funds'!N167</f>
        <v>1.05</v>
      </c>
      <c r="O61" s="990">
        <f>'Part III-Sources of Funds'!I46</f>
        <v>4694432</v>
      </c>
      <c r="P61" s="991">
        <f>M61</f>
        <v>853533</v>
      </c>
      <c r="Q61" s="992">
        <f>'Part IV-Uses of Funds'!Q167</f>
        <v>0.55000000000000004</v>
      </c>
    </row>
    <row r="62" spans="1:17" ht="18.75" customHeight="1">
      <c r="A62" s="993" t="s">
        <v>3256</v>
      </c>
    </row>
    <row r="63" spans="1:17" ht="159.75" customHeight="1">
      <c r="A63" s="2753" t="s">
        <v>3748</v>
      </c>
      <c r="B63" s="2753"/>
      <c r="C63" s="2753"/>
      <c r="D63" s="2753"/>
      <c r="E63" s="2753"/>
      <c r="F63" s="2753"/>
      <c r="G63" s="2753"/>
      <c r="H63" s="2753"/>
      <c r="I63" s="2753"/>
      <c r="J63" s="2753"/>
      <c r="L63" s="994">
        <f>'Part VII-Pro Forma'!K65</f>
        <v>4037006.3837910728</v>
      </c>
      <c r="M63" s="2751" t="s">
        <v>4014</v>
      </c>
      <c r="N63" s="2752"/>
    </row>
    <row r="64" spans="1:17" ht="6" customHeight="1">
      <c r="A64" s="979"/>
    </row>
    <row r="65" spans="1:10" ht="15">
      <c r="A65" s="979" t="s">
        <v>3257</v>
      </c>
    </row>
    <row r="66" spans="1:10" ht="66.75" customHeight="1">
      <c r="A66" s="2753" t="s">
        <v>3258</v>
      </c>
      <c r="B66" s="2753"/>
      <c r="C66" s="2753"/>
      <c r="D66" s="2753"/>
      <c r="E66" s="2753"/>
      <c r="F66" s="2753"/>
      <c r="G66" s="2753"/>
      <c r="H66" s="2753"/>
      <c r="I66" s="2753"/>
      <c r="J66" s="2753"/>
    </row>
    <row r="67" spans="1:10" ht="36" customHeight="1">
      <c r="A67" s="2753" t="s">
        <v>3259</v>
      </c>
      <c r="B67" s="2753"/>
      <c r="C67" s="2753"/>
      <c r="D67" s="2753"/>
      <c r="E67" s="2753"/>
      <c r="F67" s="2753"/>
      <c r="G67" s="2753"/>
      <c r="H67" s="2753"/>
      <c r="I67" s="2753"/>
      <c r="J67" s="2753"/>
    </row>
    <row r="68" spans="1:10" ht="6" customHeight="1">
      <c r="A68" s="979"/>
    </row>
    <row r="69" spans="1:10" ht="15">
      <c r="A69" s="979" t="s">
        <v>3260</v>
      </c>
    </row>
    <row r="70" spans="1:10" ht="105.75" customHeight="1">
      <c r="A70" s="2754" t="s">
        <v>3261</v>
      </c>
      <c r="B70" s="2754"/>
      <c r="C70" s="2754"/>
      <c r="D70" s="2754"/>
      <c r="E70" s="2754"/>
      <c r="F70" s="2754"/>
      <c r="G70" s="2754"/>
      <c r="H70" s="2754"/>
      <c r="I70" s="2754"/>
      <c r="J70" s="2754"/>
    </row>
    <row r="71" spans="1:10" ht="6" customHeight="1">
      <c r="A71" s="979"/>
    </row>
    <row r="72" spans="1:10" ht="15">
      <c r="A72" s="979" t="s">
        <v>3262</v>
      </c>
    </row>
    <row r="73" spans="1:10" ht="66" customHeight="1">
      <c r="A73" s="2754" t="s">
        <v>3263</v>
      </c>
      <c r="B73" s="2754"/>
      <c r="C73" s="2754"/>
      <c r="D73" s="2754"/>
      <c r="E73" s="2754"/>
      <c r="F73" s="2754"/>
      <c r="G73" s="2754"/>
      <c r="H73" s="2754"/>
      <c r="I73" s="2754"/>
      <c r="J73" s="2754"/>
    </row>
    <row r="74" spans="1:10" s="981" customFormat="1" ht="6" customHeight="1">
      <c r="A74" s="2754"/>
      <c r="B74" s="2754"/>
      <c r="C74" s="2754"/>
      <c r="D74" s="2754"/>
      <c r="E74" s="2754"/>
      <c r="F74" s="2754"/>
      <c r="G74" s="2754"/>
      <c r="H74" s="2754"/>
      <c r="I74" s="2754"/>
      <c r="J74" s="2754"/>
    </row>
    <row r="75" spans="1:10" ht="16.5" customHeight="1">
      <c r="A75" s="995" t="s">
        <v>3264</v>
      </c>
      <c r="B75" s="978"/>
      <c r="C75" s="978"/>
      <c r="D75" s="978"/>
      <c r="E75" s="978"/>
      <c r="F75" s="978"/>
      <c r="G75" s="978"/>
      <c r="H75" s="978"/>
      <c r="I75" s="978"/>
      <c r="J75" s="996"/>
    </row>
    <row r="76" spans="1:10" s="981" customFormat="1" ht="63" customHeight="1">
      <c r="A76" s="2754" t="s">
        <v>3265</v>
      </c>
      <c r="B76" s="2754"/>
      <c r="C76" s="2754"/>
      <c r="D76" s="2754"/>
      <c r="E76" s="2754"/>
      <c r="F76" s="2754"/>
      <c r="G76" s="2754"/>
      <c r="H76" s="2754"/>
      <c r="I76" s="2754"/>
      <c r="J76" s="2754"/>
    </row>
    <row r="77" spans="1:10" s="981" customFormat="1" ht="6" customHeight="1">
      <c r="A77" s="980"/>
      <c r="B77" s="980"/>
      <c r="C77" s="980"/>
      <c r="D77" s="980"/>
      <c r="E77" s="980"/>
      <c r="F77" s="980"/>
      <c r="G77" s="980"/>
      <c r="H77" s="980"/>
      <c r="I77" s="980"/>
      <c r="J77" s="980"/>
    </row>
    <row r="78" spans="1:10" ht="16.5" customHeight="1">
      <c r="A78" s="2761" t="s">
        <v>3266</v>
      </c>
      <c r="B78" s="2762"/>
      <c r="C78" s="2762"/>
      <c r="D78" s="978"/>
      <c r="E78" s="978"/>
      <c r="F78" s="978"/>
      <c r="G78" s="978"/>
      <c r="H78" s="978"/>
      <c r="I78" s="978"/>
      <c r="J78" s="996"/>
    </row>
    <row r="79" spans="1:10" ht="41.25" customHeight="1">
      <c r="A79" s="2753" t="s">
        <v>3749</v>
      </c>
      <c r="B79" s="2763"/>
      <c r="C79" s="2763"/>
      <c r="D79" s="2763"/>
      <c r="E79" s="2763"/>
      <c r="F79" s="2763"/>
      <c r="G79" s="2763"/>
      <c r="H79" s="2763"/>
      <c r="I79" s="2763"/>
      <c r="J79" s="2763"/>
    </row>
    <row r="80" spans="1:10" ht="6" customHeight="1">
      <c r="A80" s="997"/>
      <c r="B80" s="978"/>
      <c r="C80" s="978"/>
      <c r="D80" s="978"/>
      <c r="E80" s="978"/>
      <c r="F80" s="978"/>
      <c r="G80" s="978"/>
      <c r="H80" s="978"/>
      <c r="I80" s="978"/>
      <c r="J80" s="996"/>
    </row>
    <row r="81" spans="1:15" ht="15">
      <c r="A81" s="979" t="s">
        <v>3267</v>
      </c>
    </row>
    <row r="82" spans="1:15" ht="139.5" customHeight="1">
      <c r="A82" s="2753" t="s">
        <v>3268</v>
      </c>
      <c r="B82" s="2753"/>
      <c r="C82" s="2753"/>
      <c r="D82" s="2753"/>
      <c r="E82" s="2753"/>
      <c r="F82" s="2753"/>
      <c r="G82" s="2753"/>
      <c r="H82" s="2753"/>
      <c r="I82" s="2753"/>
      <c r="J82" s="2753"/>
      <c r="L82" s="2757" t="s">
        <v>3269</v>
      </c>
      <c r="M82" s="2757"/>
      <c r="N82" s="2757"/>
    </row>
    <row r="83" spans="1:15" ht="6" customHeight="1">
      <c r="A83" s="998"/>
      <c r="B83" s="998"/>
      <c r="C83" s="998"/>
      <c r="D83" s="998"/>
      <c r="E83" s="998"/>
      <c r="F83" s="998"/>
      <c r="G83" s="998"/>
      <c r="H83" s="998"/>
      <c r="I83" s="998"/>
      <c r="J83" s="998"/>
      <c r="L83" s="999"/>
      <c r="M83" s="999"/>
      <c r="N83" s="999"/>
    </row>
    <row r="84" spans="1:15" ht="17.25" customHeight="1">
      <c r="A84" s="979" t="s">
        <v>3270</v>
      </c>
    </row>
    <row r="85" spans="1:15" ht="111" customHeight="1">
      <c r="A85" s="2753" t="s">
        <v>3271</v>
      </c>
      <c r="B85" s="2753"/>
      <c r="C85" s="2753"/>
      <c r="D85" s="2753"/>
      <c r="E85" s="2753"/>
      <c r="F85" s="2753"/>
      <c r="G85" s="2753"/>
      <c r="H85" s="2753"/>
      <c r="I85" s="2753"/>
      <c r="J85" s="2753"/>
      <c r="L85" s="2757" t="s">
        <v>3272</v>
      </c>
      <c r="M85" s="2757"/>
      <c r="N85" s="1000">
        <f>'After-Tax Analysis'!G66</f>
        <v>5.8670274304729153E-2</v>
      </c>
      <c r="O85" s="1001" t="s">
        <v>3273</v>
      </c>
    </row>
    <row r="86" spans="1:15" ht="6" customHeight="1">
      <c r="A86" s="979"/>
    </row>
    <row r="87" spans="1:15" ht="15">
      <c r="A87" s="979" t="s">
        <v>3274</v>
      </c>
    </row>
    <row r="88" spans="1:15" ht="118.5" customHeight="1">
      <c r="A88" s="2754" t="s">
        <v>3275</v>
      </c>
      <c r="B88" s="2754"/>
      <c r="C88" s="2754"/>
      <c r="D88" s="2754"/>
      <c r="E88" s="2754"/>
      <c r="F88" s="2754"/>
      <c r="G88" s="2754"/>
      <c r="H88" s="2754"/>
      <c r="I88" s="2754"/>
      <c r="J88" s="2754"/>
    </row>
    <row r="89" spans="1:15" ht="20.25" customHeight="1">
      <c r="A89" s="2759" t="s">
        <v>3276</v>
      </c>
      <c r="B89" s="2759"/>
      <c r="C89" s="2759"/>
      <c r="D89" s="2754"/>
      <c r="E89" s="980"/>
      <c r="F89" s="980"/>
      <c r="G89" s="980"/>
      <c r="H89" s="980"/>
      <c r="I89" s="980"/>
      <c r="J89" s="980"/>
    </row>
    <row r="90" spans="1:15" ht="109.5" customHeight="1">
      <c r="A90" s="2754" t="s">
        <v>3277</v>
      </c>
      <c r="B90" s="2759"/>
      <c r="C90" s="2759"/>
      <c r="D90" s="2759"/>
      <c r="E90" s="2759"/>
      <c r="F90" s="2759"/>
      <c r="G90" s="2759"/>
      <c r="H90" s="2759"/>
      <c r="I90" s="2759"/>
      <c r="J90" s="2759"/>
    </row>
    <row r="91" spans="1:15" ht="11.25" customHeight="1">
      <c r="A91" s="979"/>
    </row>
    <row r="92" spans="1:15" ht="15">
      <c r="A92" s="979" t="s">
        <v>3278</v>
      </c>
    </row>
    <row r="93" spans="1:15" ht="122.25" customHeight="1">
      <c r="A93" s="2760" t="s">
        <v>3279</v>
      </c>
      <c r="B93" s="2760"/>
      <c r="C93" s="2760"/>
      <c r="D93" s="2760"/>
      <c r="E93" s="2760"/>
      <c r="F93" s="2760"/>
      <c r="G93" s="2760"/>
      <c r="H93" s="2760"/>
      <c r="I93" s="2760"/>
      <c r="J93" s="2760"/>
      <c r="L93" s="1000">
        <f>'Part VII-Pro Forma'!K65</f>
        <v>4037006.3837910728</v>
      </c>
      <c r="M93" s="2758" t="s">
        <v>3280</v>
      </c>
      <c r="N93" s="2758"/>
    </row>
    <row r="94" spans="1:15" ht="11.25" hidden="1" customHeight="1">
      <c r="A94" s="980"/>
      <c r="B94" s="980"/>
      <c r="C94" s="980"/>
      <c r="D94" s="980"/>
      <c r="E94" s="980"/>
      <c r="F94" s="980"/>
      <c r="G94" s="980"/>
      <c r="H94" s="980"/>
      <c r="I94" s="980"/>
      <c r="J94" s="980"/>
    </row>
    <row r="95" spans="1:15" ht="12" hidden="1" customHeight="1">
      <c r="A95" s="980"/>
      <c r="B95" s="980"/>
      <c r="C95" s="980"/>
      <c r="D95" s="980"/>
      <c r="E95" s="980"/>
      <c r="F95" s="980"/>
      <c r="G95" s="980"/>
      <c r="H95" s="980"/>
      <c r="I95" s="980"/>
      <c r="J95" s="996"/>
    </row>
    <row r="96" spans="1:15" ht="6" customHeight="1">
      <c r="A96" s="980"/>
      <c r="B96" s="980"/>
      <c r="C96" s="980"/>
      <c r="D96" s="980"/>
      <c r="E96" s="980"/>
      <c r="F96" s="980"/>
      <c r="G96" s="980"/>
      <c r="H96" s="980"/>
      <c r="I96" s="980"/>
      <c r="J96" s="996"/>
    </row>
    <row r="97" spans="1:10" ht="17.25" customHeight="1">
      <c r="A97" s="2759" t="s">
        <v>3281</v>
      </c>
      <c r="B97" s="2759"/>
      <c r="C97" s="2759"/>
      <c r="D97" s="980"/>
      <c r="E97" s="980"/>
      <c r="F97" s="980"/>
      <c r="G97" s="980"/>
      <c r="H97" s="980"/>
      <c r="I97" s="980"/>
      <c r="J97" s="996"/>
    </row>
    <row r="98" spans="1:10" ht="37.5" customHeight="1">
      <c r="A98" s="2753" t="s">
        <v>3282</v>
      </c>
      <c r="B98" s="2753"/>
      <c r="C98" s="2753"/>
      <c r="D98" s="2753"/>
      <c r="E98" s="2753"/>
      <c r="F98" s="2753"/>
      <c r="G98" s="2753"/>
      <c r="H98" s="2753"/>
      <c r="I98" s="2753"/>
      <c r="J98" s="2753"/>
    </row>
    <row r="99" spans="1:10" ht="6" customHeight="1">
      <c r="A99" s="979"/>
    </row>
    <row r="100" spans="1:10" ht="15">
      <c r="A100" s="979" t="s">
        <v>3283</v>
      </c>
    </row>
    <row r="101" spans="1:10" ht="43.5" customHeight="1">
      <c r="A101" s="2754" t="s">
        <v>3284</v>
      </c>
      <c r="B101" s="2754"/>
      <c r="C101" s="2754"/>
      <c r="D101" s="2754"/>
      <c r="E101" s="2754"/>
      <c r="F101" s="2754"/>
      <c r="G101" s="2754"/>
      <c r="H101" s="2754"/>
      <c r="I101" s="2754"/>
      <c r="J101" s="2754"/>
    </row>
    <row r="102" spans="1:10" ht="6" customHeight="1">
      <c r="A102" s="980"/>
      <c r="B102" s="980"/>
      <c r="C102" s="980"/>
      <c r="D102" s="980"/>
      <c r="E102" s="980"/>
      <c r="F102" s="980"/>
      <c r="G102" s="980"/>
      <c r="H102" s="980"/>
      <c r="I102" s="980"/>
      <c r="J102" s="980"/>
    </row>
    <row r="103" spans="1:10" ht="15">
      <c r="A103" s="979" t="s">
        <v>3285</v>
      </c>
    </row>
    <row r="105" spans="1:10">
      <c r="A105" s="2755" t="s">
        <v>3286</v>
      </c>
      <c r="B105" s="2755"/>
      <c r="C105" s="2755"/>
      <c r="D105" s="2755"/>
      <c r="E105" s="2755"/>
      <c r="F105" s="2755"/>
      <c r="G105" s="2755"/>
      <c r="H105" s="2755"/>
      <c r="I105" s="2755"/>
      <c r="J105" s="2755"/>
    </row>
    <row r="107" spans="1:10" ht="15" thickBot="1">
      <c r="A107" s="1002"/>
      <c r="B107" s="971" t="s">
        <v>3287</v>
      </c>
    </row>
    <row r="110" spans="1:10" ht="15" thickBot="1">
      <c r="A110" s="1002"/>
      <c r="B110" s="971" t="s">
        <v>3288</v>
      </c>
    </row>
    <row r="112" spans="1:10">
      <c r="A112" s="971" t="s">
        <v>3289</v>
      </c>
    </row>
    <row r="115" spans="1:10" ht="15" thickBot="1">
      <c r="A115" s="1002"/>
      <c r="B115" s="1002"/>
      <c r="C115" s="1002"/>
      <c r="D115" s="1002"/>
      <c r="E115" s="1002"/>
      <c r="H115" s="1002"/>
      <c r="I115" s="1002"/>
      <c r="J115" s="1002"/>
    </row>
    <row r="116" spans="1:10">
      <c r="A116" s="2756" t="s">
        <v>3290</v>
      </c>
      <c r="B116" s="2756"/>
      <c r="C116" s="2756"/>
      <c r="D116" s="2756"/>
      <c r="E116" s="2756"/>
      <c r="H116" s="2756" t="s">
        <v>3291</v>
      </c>
      <c r="I116" s="2756"/>
      <c r="J116" s="2756"/>
    </row>
    <row r="118" spans="1:10" ht="15" thickBot="1">
      <c r="A118" s="971" t="s">
        <v>3292</v>
      </c>
      <c r="B118" s="1002"/>
      <c r="C118" s="1002"/>
      <c r="H118" s="971" t="s">
        <v>3292</v>
      </c>
      <c r="I118" s="1002"/>
    </row>
    <row r="206" spans="1:1">
      <c r="A206" s="97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03" t="s">
        <v>3293</v>
      </c>
      <c r="B1" s="1004"/>
      <c r="C1" s="1004"/>
      <c r="D1" s="1004"/>
      <c r="E1" s="1004"/>
      <c r="F1" s="1004"/>
      <c r="G1" s="1004"/>
      <c r="H1" s="1004"/>
      <c r="I1" s="1004"/>
      <c r="J1" s="1004"/>
      <c r="K1" s="1004"/>
      <c r="L1" s="957"/>
      <c r="M1" s="957"/>
    </row>
    <row r="2" spans="1:13" ht="18">
      <c r="A2" s="1003" t="str">
        <f>+"Financial Analysis for:  "&amp;C8</f>
        <v>Financial Analysis for:  Gateway Capitol View</v>
      </c>
      <c r="B2" s="1004"/>
      <c r="C2" s="1004"/>
      <c r="D2" s="1004"/>
      <c r="E2" s="1004"/>
      <c r="F2" s="1004"/>
      <c r="G2" s="1004"/>
      <c r="H2" s="1004"/>
      <c r="I2" s="1004"/>
      <c r="J2" s="1004"/>
      <c r="K2" s="1004"/>
      <c r="L2" s="957"/>
      <c r="M2" s="957"/>
    </row>
    <row r="5" spans="1:13" ht="15.75">
      <c r="A5" s="1005"/>
      <c r="B5" s="1006"/>
      <c r="C5" s="1007"/>
      <c r="D5" s="1006"/>
      <c r="E5" s="1006"/>
      <c r="F5" s="1005"/>
      <c r="G5" s="1006"/>
      <c r="H5" s="1007"/>
      <c r="I5" s="1006"/>
      <c r="J5" s="1006"/>
      <c r="K5" s="1006"/>
      <c r="L5" s="1006"/>
      <c r="M5" s="957"/>
    </row>
    <row r="7" spans="1:13" ht="15.75">
      <c r="A7" s="960" t="s">
        <v>3294</v>
      </c>
      <c r="B7" s="957"/>
      <c r="C7" s="1008"/>
      <c r="D7" s="1009"/>
      <c r="E7" s="1009"/>
      <c r="F7" s="960" t="s">
        <v>3644</v>
      </c>
      <c r="G7" s="957"/>
      <c r="H7" s="276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769"/>
      <c r="J7" s="2769"/>
      <c r="K7" s="2769"/>
      <c r="L7" s="957"/>
      <c r="M7" s="957"/>
    </row>
    <row r="8" spans="1:13" ht="15.75">
      <c r="A8" s="960" t="s">
        <v>3295</v>
      </c>
      <c r="B8" s="960"/>
      <c r="C8" s="2769" t="str">
        <f>'Part I-Project Information'!F24</f>
        <v>Gateway Capitol View</v>
      </c>
      <c r="D8" s="2769"/>
      <c r="E8" s="1010" t="str">
        <f>'Part I-Project Information'!O4</f>
        <v>2016-508</v>
      </c>
      <c r="F8" s="1011" t="s">
        <v>3296</v>
      </c>
      <c r="G8" s="1009"/>
      <c r="H8" s="2769" t="str">
        <f>CONCATENATE('Part I-Project Information'!F28,", ",'Part I-Project Information'!J29)</f>
        <v>Atlanta, Fulton</v>
      </c>
      <c r="I8" s="2769"/>
      <c r="J8" s="2769"/>
      <c r="K8" s="2769"/>
      <c r="L8" s="957"/>
      <c r="M8" s="1012"/>
    </row>
    <row r="9" spans="1:13" ht="15.75">
      <c r="A9" s="960" t="s">
        <v>3298</v>
      </c>
      <c r="B9" s="960"/>
      <c r="C9" s="2769" t="s">
        <v>1847</v>
      </c>
      <c r="D9" s="2769"/>
      <c r="E9" s="1009"/>
      <c r="F9" s="1011" t="s">
        <v>3299</v>
      </c>
      <c r="G9" s="1009"/>
      <c r="H9" s="2769" t="str">
        <f>'Part II-Development Team'!H5</f>
        <v>Capital View Senior Residences I LP</v>
      </c>
      <c r="I9" s="2769"/>
      <c r="J9" s="2769"/>
      <c r="K9" s="2769"/>
      <c r="L9" s="2769"/>
      <c r="M9" s="1012"/>
    </row>
    <row r="10" spans="1:13" ht="15.75">
      <c r="A10" s="960" t="s">
        <v>3301</v>
      </c>
      <c r="B10" s="957"/>
      <c r="C10" s="952" t="str">
        <f>'Part II-Development Team'!H14</f>
        <v>Capital View Gateway Senior GP, LLC</v>
      </c>
      <c r="D10" s="1009"/>
      <c r="E10" s="1009"/>
      <c r="F10" s="1011" t="s">
        <v>4085</v>
      </c>
      <c r="G10" s="1009"/>
      <c r="H10" s="2769" t="str">
        <f>'Part II-Development Team'!H33</f>
        <v>Direct Tax Credits</v>
      </c>
      <c r="I10" s="2769"/>
      <c r="J10" s="2769"/>
      <c r="K10" s="2769" t="str">
        <f>'Part II-Development Team'!H39</f>
        <v>Direct Tax Credits</v>
      </c>
      <c r="L10" s="2769"/>
    </row>
    <row r="11" spans="1:13" ht="15.75">
      <c r="A11" s="960" t="s">
        <v>3302</v>
      </c>
      <c r="B11" s="957"/>
      <c r="C11" s="1009" t="str">
        <f>IF('Part II-Development Team'!H20="","",'Part II-Development Team'!H20)</f>
        <v/>
      </c>
      <c r="D11" s="1009"/>
      <c r="E11" s="1009"/>
      <c r="F11" s="1011" t="s">
        <v>684</v>
      </c>
      <c r="G11" s="1009"/>
      <c r="H11" s="2769" t="str">
        <f>'Part II-Development Team'!H54</f>
        <v>Prestwick Development Company, LLC</v>
      </c>
      <c r="I11" s="2769"/>
      <c r="J11" s="2769"/>
      <c r="K11" s="2769">
        <f>'Part II-Development Team'!H60</f>
        <v>0</v>
      </c>
      <c r="L11" s="2769"/>
    </row>
    <row r="12" spans="1:13" ht="15.75">
      <c r="A12" s="960" t="s">
        <v>3303</v>
      </c>
      <c r="B12" s="957"/>
      <c r="C12" s="952" t="str">
        <f>'Part II-Development Team'!H86</f>
        <v>Prestwick Construction Company, lLC</v>
      </c>
      <c r="D12" s="1009"/>
      <c r="E12" s="1009"/>
      <c r="F12" s="1011" t="s">
        <v>3304</v>
      </c>
      <c r="G12" s="1009"/>
      <c r="H12" s="2769" t="str">
        <f>'Part II-Development Team'!H92</f>
        <v>LEDIC Management Company</v>
      </c>
      <c r="I12" s="2769"/>
      <c r="J12" s="2769"/>
      <c r="K12" s="2769"/>
      <c r="L12" s="957"/>
      <c r="M12" s="957"/>
    </row>
    <row r="13" spans="1:13" ht="15.75">
      <c r="A13" s="960" t="s">
        <v>3305</v>
      </c>
      <c r="B13" s="1011"/>
      <c r="C13" s="950" t="e">
        <f>#REF!</f>
        <v>#REF!</v>
      </c>
      <c r="D13" s="951" t="e">
        <f>#REF!</f>
        <v>#REF!</v>
      </c>
      <c r="E13" s="1010"/>
      <c r="F13" s="1011" t="s">
        <v>3632</v>
      </c>
      <c r="G13" s="1009"/>
      <c r="H13" s="2770">
        <f>'Part I-Project Information'!H61</f>
        <v>1</v>
      </c>
      <c r="I13" s="2770"/>
      <c r="J13" s="2770"/>
      <c r="K13" s="2770"/>
      <c r="L13" s="957"/>
      <c r="M13" s="957"/>
    </row>
    <row r="14" spans="1:13" ht="15.75">
      <c r="A14" s="960" t="s">
        <v>3631</v>
      </c>
      <c r="B14" s="957"/>
      <c r="C14" s="952" t="str">
        <f>'Part I-Project Information'!H67</f>
        <v>HFOP</v>
      </c>
      <c r="D14" s="2769" t="str">
        <f>IF('Part I-Project Information'!N67=0,"",'Part I-Project Information'!N67)</f>
        <v>N/A</v>
      </c>
      <c r="E14" s="2769"/>
      <c r="F14" s="1011" t="s">
        <v>3306</v>
      </c>
      <c r="G14" s="1009"/>
      <c r="H14" s="2771" t="s">
        <v>4016</v>
      </c>
      <c r="I14" s="2771"/>
      <c r="J14" s="2771"/>
      <c r="K14" s="2771" t="s">
        <v>4016</v>
      </c>
      <c r="L14" s="2771"/>
      <c r="M14" s="957"/>
    </row>
    <row r="15" spans="1:13" ht="15.75">
      <c r="A15" s="960" t="s">
        <v>3307</v>
      </c>
      <c r="B15" s="957"/>
      <c r="C15" s="1013"/>
      <c r="D15" s="1009"/>
      <c r="E15" s="1009"/>
      <c r="F15" s="1011" t="s">
        <v>3633</v>
      </c>
      <c r="G15" s="1009"/>
      <c r="H15" s="1009" t="str">
        <f>'Part I-Project Information'!K30</f>
        <v>Urban</v>
      </c>
      <c r="I15" s="1009"/>
      <c r="J15" s="1009"/>
      <c r="K15" s="1009"/>
      <c r="L15" s="957"/>
      <c r="M15" s="957"/>
    </row>
    <row r="16" spans="1:13" ht="15.75">
      <c r="A16" s="960" t="s">
        <v>4054</v>
      </c>
      <c r="B16" s="957"/>
      <c r="C16" s="952" t="str">
        <f>'Part I-Project Information'!H86</f>
        <v>No</v>
      </c>
      <c r="D16" s="1014" t="s">
        <v>2786</v>
      </c>
      <c r="E16" s="952" t="str">
        <f>'Part I-Project Information'!H88</f>
        <v>No</v>
      </c>
      <c r="F16" s="1011"/>
      <c r="G16" s="1009"/>
      <c r="H16" s="1009"/>
      <c r="I16" s="1009"/>
      <c r="J16" s="1009"/>
      <c r="K16" s="1009"/>
      <c r="L16" s="957"/>
      <c r="M16" s="957"/>
    </row>
    <row r="17" spans="1:13" ht="15">
      <c r="A17" s="957"/>
      <c r="B17" s="957"/>
      <c r="C17" s="957"/>
      <c r="D17" s="1009"/>
      <c r="E17" s="1009"/>
      <c r="F17" s="1009"/>
      <c r="G17" s="1009"/>
      <c r="H17" s="1009"/>
      <c r="I17" s="1009"/>
      <c r="J17" s="957"/>
      <c r="K17" s="957"/>
      <c r="L17" s="957"/>
      <c r="M17" s="957"/>
    </row>
    <row r="18" spans="1:13" ht="15.75">
      <c r="A18" s="960" t="s">
        <v>3635</v>
      </c>
      <c r="B18" s="957"/>
      <c r="C18" s="1015">
        <f>'Part IV-Uses of Funds'!G131</f>
        <v>23748176.5</v>
      </c>
      <c r="D18" s="1016">
        <f>IF(C18=0,"",$C$29/C18)</f>
        <v>0.28113800653283844</v>
      </c>
      <c r="E18" s="1009" t="s">
        <v>3636</v>
      </c>
      <c r="F18" s="1011" t="s">
        <v>3637</v>
      </c>
      <c r="G18" s="1009"/>
      <c r="H18" s="2775">
        <f>'Part IV-Uses of Funds'!B44</f>
        <v>15104404.5</v>
      </c>
      <c r="I18" s="2775"/>
      <c r="J18" s="1017">
        <f>IF(H18=0,"",$C$29/H18)</f>
        <v>0.44202437772372954</v>
      </c>
      <c r="K18" s="2769" t="s">
        <v>3638</v>
      </c>
      <c r="L18" s="2769"/>
      <c r="M18" s="957"/>
    </row>
    <row r="19" spans="1:13" ht="15.75">
      <c r="A19" s="960" t="s">
        <v>3308</v>
      </c>
      <c r="B19" s="957"/>
      <c r="C19" s="953" t="e">
        <f>C18/C13</f>
        <v>#REF!</v>
      </c>
      <c r="D19" s="1009"/>
      <c r="E19" s="957"/>
      <c r="F19" s="960" t="s">
        <v>3308</v>
      </c>
      <c r="G19" s="957"/>
      <c r="H19" s="2774" t="e">
        <f>H18/C13</f>
        <v>#REF!</v>
      </c>
      <c r="I19" s="2774"/>
      <c r="J19" s="957"/>
      <c r="K19" s="957"/>
      <c r="L19" s="957"/>
      <c r="M19" s="957"/>
    </row>
    <row r="20" spans="1:13" ht="15.75">
      <c r="A20" s="960" t="s">
        <v>3309</v>
      </c>
      <c r="B20" s="957"/>
      <c r="C20" s="953" t="e">
        <f>C18/#REF!</f>
        <v>#REF!</v>
      </c>
      <c r="D20" s="1018"/>
      <c r="E20" s="1019"/>
      <c r="F20" s="960" t="s">
        <v>3309</v>
      </c>
      <c r="G20" s="957"/>
      <c r="H20" s="2774" t="e">
        <f>H18/#REF!</f>
        <v>#REF!</v>
      </c>
      <c r="I20" s="2774"/>
      <c r="J20" s="957"/>
      <c r="K20" s="957"/>
      <c r="L20" s="957"/>
      <c r="M20" s="957"/>
    </row>
    <row r="21" spans="1:13" ht="15.75">
      <c r="A21" s="960"/>
      <c r="B21" s="957"/>
      <c r="C21" s="1020"/>
      <c r="D21" s="957"/>
      <c r="E21" s="957"/>
      <c r="F21" s="960"/>
      <c r="G21" s="957"/>
      <c r="H21" s="1020"/>
      <c r="I21" s="957"/>
      <c r="J21" s="957"/>
      <c r="K21" s="957"/>
      <c r="L21" s="957"/>
      <c r="M21" s="957"/>
    </row>
    <row r="22" spans="1:13" ht="15">
      <c r="A22" s="1006"/>
      <c r="B22" s="1006"/>
      <c r="C22" s="1006"/>
      <c r="D22" s="1006"/>
      <c r="E22" s="1006"/>
      <c r="F22" s="1006"/>
      <c r="G22" s="1006"/>
      <c r="H22" s="1006"/>
      <c r="I22" s="1006"/>
      <c r="J22" s="1006"/>
      <c r="K22" s="1006"/>
      <c r="L22" s="1006"/>
      <c r="M22" s="1012"/>
    </row>
    <row r="23" spans="1:13" ht="15.75">
      <c r="A23" s="1021" t="s">
        <v>3310</v>
      </c>
      <c r="B23" s="1022"/>
      <c r="C23" s="1022"/>
      <c r="D23" s="1022"/>
      <c r="E23" s="1009"/>
      <c r="F23" s="1009"/>
      <c r="G23" s="1009"/>
      <c r="H23" s="1009"/>
      <c r="I23" s="1009"/>
      <c r="J23" s="1009"/>
      <c r="K23" s="1009"/>
      <c r="L23" s="957"/>
      <c r="M23" s="1012"/>
    </row>
    <row r="24" spans="1:13" ht="27" customHeight="1">
      <c r="A24" s="957"/>
      <c r="B24" s="957"/>
      <c r="C24" s="957"/>
      <c r="D24" s="1023" t="s">
        <v>3311</v>
      </c>
      <c r="E24" s="957"/>
      <c r="F24" s="957"/>
      <c r="G24" s="957"/>
      <c r="H24" s="957"/>
      <c r="I24" s="957"/>
      <c r="J24" s="957"/>
      <c r="K24" s="957"/>
      <c r="L24" s="957"/>
      <c r="M24" s="1012"/>
    </row>
    <row r="25" spans="1:13" ht="15.75">
      <c r="A25" s="960" t="s">
        <v>3312</v>
      </c>
      <c r="B25" s="1024" t="str">
        <f>'Part III-Sources of Funds'!E37</f>
        <v>Walker and Dunlap</v>
      </c>
      <c r="C25" s="1025">
        <f>'Part III-Sources of Funds'!I37</f>
        <v>6676515</v>
      </c>
      <c r="D25" s="1026" t="s">
        <v>3313</v>
      </c>
      <c r="E25" s="957"/>
      <c r="F25" s="1009"/>
      <c r="G25" s="957" t="s">
        <v>3314</v>
      </c>
      <c r="H25" s="957"/>
      <c r="I25" s="957"/>
      <c r="K25" s="1025"/>
      <c r="L25" s="1009"/>
      <c r="M25" s="1012"/>
    </row>
    <row r="26" spans="1:13" ht="15">
      <c r="A26" s="957"/>
      <c r="B26" s="1024"/>
      <c r="C26" s="1025"/>
      <c r="D26" s="1026"/>
      <c r="E26" s="957"/>
      <c r="F26" s="1009"/>
      <c r="G26" s="957" t="s">
        <v>3315</v>
      </c>
      <c r="H26" s="957"/>
      <c r="I26" s="957"/>
      <c r="K26" s="1027" t="e">
        <f>C29/K25</f>
        <v>#DIV/0!</v>
      </c>
      <c r="L26" s="1009"/>
      <c r="M26" s="957"/>
    </row>
    <row r="27" spans="1:13" ht="15">
      <c r="A27" s="957"/>
      <c r="B27" s="1024"/>
      <c r="C27" s="1025"/>
      <c r="D27" s="1026"/>
      <c r="E27" s="957"/>
      <c r="F27" s="1009"/>
      <c r="G27" s="957"/>
      <c r="H27" s="957"/>
      <c r="I27" s="957"/>
      <c r="K27" s="1009"/>
      <c r="L27" s="1009"/>
      <c r="M27" s="957"/>
    </row>
    <row r="28" spans="1:13" ht="15">
      <c r="A28" s="957"/>
      <c r="B28" s="957"/>
      <c r="C28" s="957"/>
      <c r="D28" s="957"/>
      <c r="E28" s="957"/>
      <c r="F28" s="1009"/>
      <c r="G28" s="957" t="s">
        <v>3316</v>
      </c>
      <c r="H28" s="957"/>
      <c r="I28" s="957"/>
      <c r="K28" s="1025"/>
      <c r="L28" s="1009"/>
      <c r="M28" s="957"/>
    </row>
    <row r="29" spans="1:13" ht="16.5" thickBot="1">
      <c r="A29" s="957"/>
      <c r="B29" s="1028" t="s">
        <v>3317</v>
      </c>
      <c r="C29" s="1029">
        <f>SUM(C25:C27)</f>
        <v>6676515</v>
      </c>
      <c r="D29" s="957"/>
      <c r="E29" s="957"/>
      <c r="F29" s="1009"/>
      <c r="G29" s="957" t="s">
        <v>3318</v>
      </c>
      <c r="H29" s="957"/>
      <c r="I29" s="957"/>
      <c r="K29" s="1027" t="e">
        <f>C29/K28</f>
        <v>#DIV/0!</v>
      </c>
      <c r="L29" s="1009"/>
      <c r="M29" s="957"/>
    </row>
    <row r="30" spans="1:13" ht="16.5" thickTop="1">
      <c r="A30" s="960" t="s">
        <v>3319</v>
      </c>
      <c r="B30" s="1028"/>
      <c r="C30" s="1030">
        <f>'Part III-Sources of Funds'!I45+'Part III-Sources of Funds'!I46</f>
        <v>13655634</v>
      </c>
      <c r="D30" s="957"/>
      <c r="E30" s="957"/>
      <c r="F30" s="1009"/>
      <c r="G30" s="957"/>
      <c r="H30" s="957"/>
      <c r="I30" s="957"/>
      <c r="K30" s="1031"/>
      <c r="L30" s="1009"/>
      <c r="M30" s="957"/>
    </row>
    <row r="31" spans="1:13" ht="15">
      <c r="A31" s="1032" t="s">
        <v>3320</v>
      </c>
      <c r="B31" s="1024" t="str">
        <f>'Part III-Sources of Funds'!E38</f>
        <v>DCA HOME Loan</v>
      </c>
      <c r="C31" s="1025">
        <f>'Part III-Sources of Funds'!I38</f>
        <v>3000000</v>
      </c>
      <c r="D31" s="1026"/>
      <c r="E31" s="957"/>
      <c r="F31" s="1009"/>
      <c r="G31" s="957"/>
      <c r="H31" s="957"/>
      <c r="I31" s="957"/>
      <c r="K31" s="957"/>
      <c r="L31" s="1009"/>
      <c r="M31" s="957"/>
    </row>
    <row r="32" spans="1:13" ht="15">
      <c r="A32" s="1032" t="s">
        <v>3320</v>
      </c>
      <c r="B32" s="1024">
        <f>'Part III-Sources of Funds'!E39</f>
        <v>0</v>
      </c>
      <c r="C32" s="1025">
        <f>'Part III-Sources of Funds'!I39</f>
        <v>0</v>
      </c>
      <c r="D32" s="1026"/>
      <c r="E32" s="957" t="s">
        <v>255</v>
      </c>
      <c r="F32" s="1009"/>
      <c r="G32" s="957" t="s">
        <v>3321</v>
      </c>
      <c r="H32" s="957"/>
      <c r="I32" s="957"/>
      <c r="K32" s="1025"/>
      <c r="L32" s="1009"/>
      <c r="M32" s="1009"/>
    </row>
    <row r="33" spans="1:13" ht="15">
      <c r="A33" s="957"/>
      <c r="B33" s="1009"/>
      <c r="C33" s="1033"/>
      <c r="D33" s="957"/>
      <c r="E33" s="957"/>
      <c r="F33" s="1009"/>
      <c r="G33" s="957" t="s">
        <v>3322</v>
      </c>
      <c r="H33" s="957"/>
      <c r="I33" s="957"/>
      <c r="K33" s="1034"/>
      <c r="L33" s="1009"/>
      <c r="M33" s="1035"/>
    </row>
    <row r="34" spans="1:13" ht="15.75">
      <c r="A34" s="957"/>
      <c r="B34" s="1028" t="s">
        <v>3323</v>
      </c>
      <c r="C34" s="1033">
        <f>SUM(C31:C32)</f>
        <v>3000000</v>
      </c>
      <c r="D34" s="957"/>
      <c r="E34" s="957"/>
      <c r="F34" s="957"/>
      <c r="G34" s="957"/>
      <c r="H34" s="957"/>
      <c r="I34" s="957"/>
      <c r="K34" s="1009"/>
      <c r="L34" s="957"/>
      <c r="M34" s="1035"/>
    </row>
    <row r="35" spans="1:13" ht="15.75">
      <c r="A35" s="957"/>
      <c r="B35" s="1028"/>
      <c r="C35" s="957"/>
      <c r="D35" s="957"/>
      <c r="E35" s="957"/>
      <c r="F35" s="957"/>
      <c r="G35" s="957" t="s">
        <v>3324</v>
      </c>
      <c r="H35" s="957"/>
      <c r="I35" s="957"/>
      <c r="K35" s="1036" t="e">
        <f>(C36)/K25</f>
        <v>#DIV/0!</v>
      </c>
      <c r="L35" s="957"/>
      <c r="M35" s="1009"/>
    </row>
    <row r="36" spans="1:13" ht="15.75">
      <c r="A36" s="957"/>
      <c r="B36" s="1028" t="s">
        <v>3325</v>
      </c>
      <c r="C36" s="1033">
        <f>C29+C34</f>
        <v>9676515</v>
      </c>
      <c r="D36" s="957"/>
      <c r="E36" s="957"/>
      <c r="F36" s="957"/>
      <c r="G36" s="957"/>
      <c r="H36" s="957"/>
      <c r="I36" s="957"/>
      <c r="K36" s="1009"/>
      <c r="L36" s="957"/>
      <c r="M36" s="1009"/>
    </row>
    <row r="37" spans="1:13" ht="15.75">
      <c r="A37" s="957"/>
      <c r="B37" s="1028"/>
      <c r="C37" s="1037"/>
      <c r="D37" s="957"/>
      <c r="E37" s="957"/>
      <c r="F37" s="957"/>
      <c r="G37" s="957" t="s">
        <v>3326</v>
      </c>
      <c r="H37" s="957"/>
      <c r="I37" s="957"/>
      <c r="K37" s="1036" t="e">
        <f>+(C36)/K32</f>
        <v>#DIV/0!</v>
      </c>
      <c r="L37" s="957"/>
      <c r="M37" s="1035"/>
    </row>
    <row r="38" spans="1:13" ht="15.75">
      <c r="A38" s="957"/>
      <c r="B38" s="1028" t="s">
        <v>3327</v>
      </c>
      <c r="C38" s="1038">
        <f>C36/C18</f>
        <v>0.40746349514456404</v>
      </c>
      <c r="D38" s="957"/>
      <c r="E38" s="957"/>
      <c r="F38" s="957"/>
      <c r="G38" s="957"/>
      <c r="H38" s="957"/>
      <c r="I38" s="957"/>
      <c r="K38" s="1009"/>
      <c r="L38" s="957"/>
      <c r="M38" s="1035"/>
    </row>
    <row r="39" spans="1:13" ht="15.75">
      <c r="A39" s="957"/>
      <c r="B39" s="1028"/>
      <c r="C39" s="1037"/>
      <c r="D39" s="957"/>
      <c r="E39" s="957"/>
      <c r="F39" s="957"/>
      <c r="G39" s="957"/>
      <c r="H39" s="957"/>
      <c r="I39" s="957"/>
      <c r="K39" s="1009"/>
      <c r="L39" s="957"/>
      <c r="M39" s="957"/>
    </row>
    <row r="40" spans="1:13" ht="15.75">
      <c r="A40" s="957"/>
      <c r="B40" s="1028" t="s">
        <v>3328</v>
      </c>
      <c r="C40" s="1038">
        <f>C36/H18</f>
        <v>0.64064193990567453</v>
      </c>
      <c r="D40" s="957"/>
      <c r="E40" s="957"/>
      <c r="F40" s="960"/>
      <c r="G40" s="960" t="s">
        <v>3329</v>
      </c>
      <c r="H40" s="957"/>
      <c r="I40" s="957"/>
      <c r="K40" s="1036">
        <f>C30/C18</f>
        <v>0.57501821245096441</v>
      </c>
      <c r="L40" s="957"/>
      <c r="M40" s="957"/>
    </row>
    <row r="46" spans="1:13" ht="15.75">
      <c r="A46" s="1039" t="s">
        <v>3330</v>
      </c>
      <c r="B46" s="1004"/>
      <c r="C46" s="1004"/>
      <c r="D46" s="1004"/>
      <c r="E46" s="1004"/>
      <c r="F46" s="1004"/>
      <c r="G46" s="1004"/>
      <c r="H46" s="1004"/>
      <c r="I46" s="1004"/>
      <c r="J46" s="1004"/>
      <c r="K46" s="1004"/>
      <c r="L46" s="1004"/>
      <c r="M46" s="957"/>
    </row>
    <row r="47" spans="1:13" ht="15.75">
      <c r="A47" s="1039" t="str">
        <f>C8</f>
        <v>Gateway Capitol View</v>
      </c>
      <c r="B47" s="1004"/>
      <c r="C47" s="1004"/>
      <c r="D47" s="1004"/>
      <c r="E47" s="1004"/>
      <c r="F47" s="1004"/>
      <c r="G47" s="1004"/>
      <c r="H47" s="1004"/>
      <c r="I47" s="1004"/>
      <c r="J47" s="1004"/>
      <c r="K47" s="1004"/>
      <c r="L47" s="1004"/>
      <c r="M47" s="957"/>
    </row>
    <row r="50" spans="1:14" s="957" customFormat="1" ht="15.75">
      <c r="A50" s="960" t="s">
        <v>3331</v>
      </c>
      <c r="C50" s="1040" t="s">
        <v>3332</v>
      </c>
      <c r="E50" s="1041" t="s">
        <v>4017</v>
      </c>
      <c r="F50" s="1042">
        <v>0.1</v>
      </c>
      <c r="G50" s="1041" t="s">
        <v>4018</v>
      </c>
      <c r="H50" s="1042">
        <v>0.05</v>
      </c>
      <c r="I50" s="1041" t="s">
        <v>4019</v>
      </c>
      <c r="J50" s="1042">
        <v>0.03</v>
      </c>
      <c r="K50" s="2772" t="s">
        <v>3333</v>
      </c>
      <c r="L50" s="2773"/>
      <c r="M50" s="28"/>
      <c r="N50" s="28"/>
    </row>
    <row r="51" spans="1:14" s="957" customFormat="1" ht="15.75">
      <c r="A51" s="960"/>
      <c r="C51" s="1040"/>
      <c r="E51" s="1040"/>
      <c r="F51" s="1043"/>
      <c r="G51" s="1040"/>
      <c r="H51" s="1043"/>
      <c r="I51" s="1040"/>
      <c r="J51" s="1043"/>
      <c r="K51" s="1040"/>
      <c r="M51" s="28"/>
      <c r="N51" s="28"/>
    </row>
    <row r="52" spans="1:14" s="957" customFormat="1" ht="18.75" customHeight="1">
      <c r="B52" s="1044" t="s">
        <v>3334</v>
      </c>
      <c r="C52" s="1045">
        <f>'Part VII-Pro Forma'!$B$14</f>
        <v>1421388</v>
      </c>
      <c r="D52" s="1045"/>
      <c r="E52" s="1045">
        <f>$C$52</f>
        <v>1421388</v>
      </c>
      <c r="F52" s="1045"/>
      <c r="G52" s="1045">
        <f>$C$52</f>
        <v>1421388</v>
      </c>
      <c r="H52" s="1045"/>
      <c r="I52" s="1045">
        <f>$C$52</f>
        <v>1421388</v>
      </c>
      <c r="J52" s="1045"/>
      <c r="K52" s="1045">
        <f>$C$52</f>
        <v>1421388</v>
      </c>
      <c r="L52" s="1046"/>
      <c r="M52" s="28"/>
      <c r="N52" s="28"/>
    </row>
    <row r="53" spans="1:14" s="957" customFormat="1" ht="18.75" customHeight="1">
      <c r="B53" s="1044" t="s">
        <v>3337</v>
      </c>
      <c r="C53" s="1045">
        <f>'Part VII-Pro Forma'!B15</f>
        <v>28427.760000000002</v>
      </c>
      <c r="D53" s="1045"/>
      <c r="E53" s="1045">
        <f>$C$53</f>
        <v>28427.760000000002</v>
      </c>
      <c r="F53" s="1045"/>
      <c r="G53" s="1045">
        <f>$C$53</f>
        <v>28427.760000000002</v>
      </c>
      <c r="H53" s="1045"/>
      <c r="I53" s="1045">
        <f>$C$53</f>
        <v>28427.760000000002</v>
      </c>
      <c r="J53" s="1045"/>
      <c r="K53" s="1045">
        <f>$C$53</f>
        <v>28427.760000000002</v>
      </c>
      <c r="L53" s="1046"/>
      <c r="M53" s="28"/>
      <c r="N53" s="28"/>
    </row>
    <row r="54" spans="1:14" s="957" customFormat="1" ht="18.75" customHeight="1">
      <c r="B54" s="1044" t="s">
        <v>3335</v>
      </c>
      <c r="C54" s="1045">
        <f>-($C$52+C53)*0.07</f>
        <v>-101487.10320000001</v>
      </c>
      <c r="D54" s="1045"/>
      <c r="E54" s="1045">
        <f>-($C$52+E53)*F50</f>
        <v>-144981.576</v>
      </c>
      <c r="F54" s="1047"/>
      <c r="G54" s="1045">
        <f>-($C$52+G53)*0.07</f>
        <v>-101487.10320000001</v>
      </c>
      <c r="H54" s="1045"/>
      <c r="I54" s="1045">
        <f>-($C$52+I53)*0.07</f>
        <v>-101487.10320000001</v>
      </c>
      <c r="J54" s="1045"/>
      <c r="K54" s="1045">
        <f>-($C$52+K53)*L54</f>
        <v>-144981.576</v>
      </c>
      <c r="L54" s="1048">
        <v>0.1</v>
      </c>
      <c r="M54" s="28"/>
      <c r="N54" s="28"/>
    </row>
    <row r="55" spans="1:14" s="957" customFormat="1" ht="18.75" customHeight="1">
      <c r="B55" s="1044" t="s">
        <v>3336</v>
      </c>
      <c r="C55" s="1045" t="e">
        <f>#REF!+#REF!</f>
        <v>#REF!</v>
      </c>
      <c r="D55" s="1045"/>
      <c r="E55" s="1045" t="e">
        <f>$C$55</f>
        <v>#REF!</v>
      </c>
      <c r="F55" s="1047"/>
      <c r="G55" s="1045" t="e">
        <f>$C$55</f>
        <v>#REF!</v>
      </c>
      <c r="H55" s="1045"/>
      <c r="I55" s="1045" t="e">
        <f>$C$55</f>
        <v>#REF!</v>
      </c>
      <c r="J55" s="1045"/>
      <c r="K55" s="1045" t="e">
        <f>$C$55</f>
        <v>#REF!</v>
      </c>
      <c r="L55" s="1049"/>
      <c r="M55" s="28"/>
      <c r="N55" s="28"/>
    </row>
    <row r="56" spans="1:14" s="957" customFormat="1" ht="18.75" customHeight="1">
      <c r="B56" s="1050" t="s">
        <v>3338</v>
      </c>
      <c r="C56" s="1051" t="e">
        <f>SUM(C52:C55)</f>
        <v>#REF!</v>
      </c>
      <c r="D56" s="1045"/>
      <c r="E56" s="1051" t="e">
        <f>SUM(E52:E55)</f>
        <v>#REF!</v>
      </c>
      <c r="F56" s="1045"/>
      <c r="G56" s="1051" t="e">
        <f>SUM(G52:G55)</f>
        <v>#REF!</v>
      </c>
      <c r="H56" s="1045"/>
      <c r="I56" s="1051" t="e">
        <f>SUM(I52:I55)</f>
        <v>#REF!</v>
      </c>
      <c r="J56" s="1045"/>
      <c r="K56" s="1051" t="e">
        <f>SUM(K52:K55)</f>
        <v>#REF!</v>
      </c>
      <c r="L56" s="1046"/>
      <c r="M56" s="28"/>
      <c r="N56" s="28"/>
    </row>
    <row r="57" spans="1:14" s="957" customFormat="1" ht="24" customHeight="1">
      <c r="B57" s="1044"/>
      <c r="C57" s="1052"/>
      <c r="D57" s="1045"/>
      <c r="E57" s="1052"/>
      <c r="F57" s="1045"/>
      <c r="G57" s="1052"/>
      <c r="H57" s="1045"/>
      <c r="I57" s="1052"/>
      <c r="J57" s="1045"/>
      <c r="K57" s="1052"/>
      <c r="L57" s="1046"/>
      <c r="M57" s="28"/>
      <c r="N57" s="28"/>
    </row>
    <row r="58" spans="1:14" s="957" customFormat="1" ht="18.75" customHeight="1">
      <c r="B58" s="1044" t="s">
        <v>3339</v>
      </c>
      <c r="C58" s="1045" t="e">
        <f>#REF!+#REF!+#REF!+#REF!</f>
        <v>#REF!</v>
      </c>
      <c r="D58" s="1045"/>
      <c r="E58" s="1045" t="e">
        <f>$C$58</f>
        <v>#REF!</v>
      </c>
      <c r="F58" s="1045"/>
      <c r="G58" s="1045" t="e">
        <f>$C$58</f>
        <v>#REF!</v>
      </c>
      <c r="H58" s="1045"/>
      <c r="I58" s="1045" t="e">
        <f>$C$58</f>
        <v>#REF!</v>
      </c>
      <c r="J58" s="1045"/>
      <c r="K58" s="1045" t="e">
        <f>$C$58</f>
        <v>#REF!</v>
      </c>
      <c r="L58" s="1046"/>
      <c r="M58" s="28"/>
      <c r="N58" s="28"/>
    </row>
    <row r="59" spans="1:14" s="957" customFormat="1" ht="18.75" customHeight="1">
      <c r="B59" s="1044" t="s">
        <v>3340</v>
      </c>
      <c r="C59" s="1045" t="e">
        <f>#REF!</f>
        <v>#REF!</v>
      </c>
      <c r="D59" s="1045"/>
      <c r="E59" s="1045" t="e">
        <f>$C$59</f>
        <v>#REF!</v>
      </c>
      <c r="F59" s="1045"/>
      <c r="G59" s="1045" t="e">
        <f>$C$59</f>
        <v>#REF!</v>
      </c>
      <c r="H59" s="1045"/>
      <c r="I59" s="1045" t="e">
        <f>$C$59</f>
        <v>#REF!</v>
      </c>
      <c r="J59" s="1045"/>
      <c r="K59" s="1045" t="e">
        <f>$C$59*(1+$L$59)</f>
        <v>#REF!</v>
      </c>
      <c r="L59" s="1053">
        <v>0.04</v>
      </c>
      <c r="M59" s="28"/>
      <c r="N59" s="28"/>
    </row>
    <row r="60" spans="1:14" s="957" customFormat="1" ht="18.75" customHeight="1">
      <c r="B60" s="1044" t="s">
        <v>1432</v>
      </c>
      <c r="C60" s="1045" t="e">
        <f>#REF!</f>
        <v>#REF!</v>
      </c>
      <c r="D60" s="1045"/>
      <c r="E60" s="1045" t="e">
        <f>$C$60</f>
        <v>#REF!</v>
      </c>
      <c r="F60" s="1045"/>
      <c r="G60" s="1045" t="e">
        <f>$C$60</f>
        <v>#REF!</v>
      </c>
      <c r="H60" s="1045"/>
      <c r="I60" s="1045" t="e">
        <f>$C$60*(1+$J$50)</f>
        <v>#REF!</v>
      </c>
      <c r="J60" s="1047"/>
      <c r="K60" s="1045" t="e">
        <f>$C$60*(1+$J$50)</f>
        <v>#REF!</v>
      </c>
      <c r="L60" s="1048">
        <v>0.03</v>
      </c>
      <c r="M60" s="28"/>
      <c r="N60" s="28"/>
    </row>
    <row r="61" spans="1:14" s="957" customFormat="1" ht="18.75" customHeight="1">
      <c r="B61" s="1044" t="s">
        <v>1433</v>
      </c>
      <c r="C61" s="1045" t="e">
        <f>#REF!</f>
        <v>#REF!</v>
      </c>
      <c r="D61" s="1045"/>
      <c r="E61" s="1045" t="e">
        <f>$C$61</f>
        <v>#REF!</v>
      </c>
      <c r="F61" s="1045"/>
      <c r="G61" s="1045" t="e">
        <f>$C$61*(1+H50)</f>
        <v>#REF!</v>
      </c>
      <c r="H61" s="1047"/>
      <c r="I61" s="1045" t="e">
        <f>$C$61</f>
        <v>#REF!</v>
      </c>
      <c r="J61" s="1045"/>
      <c r="K61" s="1045" t="e">
        <f>$C$61*(1+$L$61)</f>
        <v>#REF!</v>
      </c>
      <c r="L61" s="1048">
        <v>0.05</v>
      </c>
      <c r="M61" s="28"/>
      <c r="N61" s="28"/>
    </row>
    <row r="62" spans="1:14" s="957" customFormat="1" ht="18.75" customHeight="1">
      <c r="B62" s="1050" t="s">
        <v>3341</v>
      </c>
      <c r="C62" s="1051" t="e">
        <f>SUM(C58:C61)</f>
        <v>#REF!</v>
      </c>
      <c r="D62" s="1045"/>
      <c r="E62" s="1051" t="e">
        <f>SUM(E58:E61)</f>
        <v>#REF!</v>
      </c>
      <c r="F62" s="1045"/>
      <c r="G62" s="1051" t="e">
        <f>SUM(G58:G61)</f>
        <v>#REF!</v>
      </c>
      <c r="H62" s="1045"/>
      <c r="I62" s="1051" t="e">
        <f>SUM(I58:I61)</f>
        <v>#REF!</v>
      </c>
      <c r="J62" s="1045"/>
      <c r="K62" s="1051" t="e">
        <f>SUM(K58:K61)</f>
        <v>#REF!</v>
      </c>
      <c r="L62" s="1054"/>
      <c r="M62" s="28"/>
      <c r="N62" s="28"/>
    </row>
    <row r="63" spans="1:14" s="957" customFormat="1" ht="24" customHeight="1">
      <c r="B63" s="1055"/>
      <c r="C63" s="1052"/>
      <c r="D63" s="1052"/>
      <c r="E63" s="1052"/>
      <c r="F63" s="1052"/>
      <c r="G63" s="1052"/>
      <c r="H63" s="1052"/>
      <c r="I63" s="1052"/>
      <c r="J63" s="1052"/>
      <c r="K63" s="1052"/>
      <c r="L63" s="1054"/>
      <c r="M63" s="28"/>
      <c r="N63" s="28"/>
    </row>
    <row r="64" spans="1:14" s="957" customFormat="1" ht="15.75">
      <c r="A64" s="28"/>
      <c r="B64" s="1056" t="s">
        <v>3342</v>
      </c>
      <c r="C64" s="1057" t="e">
        <f>C56-C62</f>
        <v>#REF!</v>
      </c>
      <c r="D64" s="1057"/>
      <c r="E64" s="1057" t="e">
        <f>E56-E62</f>
        <v>#REF!</v>
      </c>
      <c r="F64" s="1057"/>
      <c r="G64" s="1057" t="e">
        <f>G56-G62</f>
        <v>#REF!</v>
      </c>
      <c r="H64" s="1057"/>
      <c r="I64" s="1057" t="e">
        <f>I56-I62</f>
        <v>#REF!</v>
      </c>
      <c r="J64" s="1057"/>
      <c r="K64" s="1057" t="e">
        <f>K56-K62</f>
        <v>#REF!</v>
      </c>
      <c r="L64" s="34"/>
      <c r="M64" s="28"/>
      <c r="N64" s="28"/>
    </row>
    <row r="65" spans="1:14" s="957" customFormat="1" ht="24" customHeight="1">
      <c r="A65" s="28"/>
      <c r="B65" s="1055"/>
      <c r="C65" s="1052"/>
      <c r="D65" s="1052"/>
      <c r="E65" s="1052"/>
      <c r="F65" s="1052"/>
      <c r="G65" s="1052"/>
      <c r="H65" s="1052"/>
      <c r="I65" s="1052"/>
      <c r="J65" s="1052"/>
      <c r="K65" s="1052"/>
      <c r="L65" s="34"/>
      <c r="M65" s="28"/>
      <c r="N65" s="28"/>
    </row>
    <row r="66" spans="1:14" s="957" customFormat="1" ht="15">
      <c r="A66" s="28"/>
      <c r="B66" s="1055" t="s">
        <v>3343</v>
      </c>
      <c r="C66" s="1052" t="e">
        <f>#REF!</f>
        <v>#REF!</v>
      </c>
      <c r="D66" s="1052"/>
      <c r="E66" s="1052" t="e">
        <f>$C$66</f>
        <v>#REF!</v>
      </c>
      <c r="F66" s="1052"/>
      <c r="G66" s="1052" t="e">
        <f>$C$66</f>
        <v>#REF!</v>
      </c>
      <c r="H66" s="1052"/>
      <c r="I66" s="1052" t="e">
        <f>$C$66</f>
        <v>#REF!</v>
      </c>
      <c r="J66" s="1052"/>
      <c r="K66" s="1052" t="e">
        <f>$C$66</f>
        <v>#REF!</v>
      </c>
      <c r="L66" s="34"/>
      <c r="M66" s="28"/>
      <c r="N66" s="28"/>
    </row>
    <row r="67" spans="1:14" s="957" customFormat="1" ht="6" customHeight="1">
      <c r="A67" s="28"/>
      <c r="B67" s="1055"/>
      <c r="C67" s="1052"/>
      <c r="D67" s="1052"/>
      <c r="E67" s="1052"/>
      <c r="F67" s="1052"/>
      <c r="G67" s="1052"/>
      <c r="H67" s="1052"/>
      <c r="I67" s="1052"/>
      <c r="J67" s="1052"/>
      <c r="K67" s="1052"/>
      <c r="L67" s="34"/>
      <c r="M67" s="28"/>
      <c r="N67" s="28"/>
    </row>
    <row r="68" spans="1:14" s="957" customFormat="1" ht="15">
      <c r="A68" s="28"/>
      <c r="B68" s="1055" t="s">
        <v>3344</v>
      </c>
      <c r="C68" s="1052" t="e">
        <f>#REF!</f>
        <v>#REF!</v>
      </c>
      <c r="D68" s="1052"/>
      <c r="E68" s="1052" t="e">
        <f>$C$68</f>
        <v>#REF!</v>
      </c>
      <c r="F68" s="1052"/>
      <c r="G68" s="1052" t="e">
        <f>$C$68</f>
        <v>#REF!</v>
      </c>
      <c r="H68" s="1052"/>
      <c r="I68" s="1052" t="e">
        <f>$C$68</f>
        <v>#REF!</v>
      </c>
      <c r="J68" s="1052"/>
      <c r="K68" s="1052" t="e">
        <f>$C$68</f>
        <v>#REF!</v>
      </c>
      <c r="L68" s="34"/>
      <c r="M68" s="28"/>
      <c r="N68" s="28"/>
    </row>
    <row r="69" spans="1:14" s="957" customFormat="1" ht="24" customHeight="1">
      <c r="A69" s="28"/>
      <c r="B69" s="1058"/>
      <c r="C69" s="1052"/>
      <c r="D69" s="1045"/>
      <c r="E69" s="1052"/>
      <c r="F69" s="1045"/>
      <c r="G69" s="1052"/>
      <c r="H69" s="1045"/>
      <c r="I69" s="1052"/>
      <c r="J69" s="1045"/>
      <c r="K69" s="1052"/>
      <c r="L69" s="34"/>
      <c r="M69" s="28"/>
      <c r="N69" s="28"/>
    </row>
    <row r="70" spans="1:14" s="957" customFormat="1" ht="15.75">
      <c r="A70" s="28"/>
      <c r="B70" s="1059" t="s">
        <v>3345</v>
      </c>
      <c r="C70" s="1060" t="e">
        <f>C64-C66-C68</f>
        <v>#REF!</v>
      </c>
      <c r="D70" s="1061"/>
      <c r="E70" s="1060" t="e">
        <f>E64-E66-E68</f>
        <v>#REF!</v>
      </c>
      <c r="F70" s="1061"/>
      <c r="G70" s="1060" t="e">
        <f>G64-G66-G68</f>
        <v>#REF!</v>
      </c>
      <c r="H70" s="1061"/>
      <c r="I70" s="1060" t="e">
        <f>I64-I66-I68</f>
        <v>#REF!</v>
      </c>
      <c r="J70" s="1061"/>
      <c r="K70" s="1060" t="e">
        <f>K64-K66-K68</f>
        <v>#REF!</v>
      </c>
      <c r="L70" s="34"/>
      <c r="M70" s="28"/>
      <c r="N70" s="28"/>
    </row>
    <row r="71" spans="1:14" s="957" customFormat="1" ht="30" customHeight="1">
      <c r="A71" s="28"/>
      <c r="B71" s="1044"/>
      <c r="C71" s="1045"/>
      <c r="D71" s="1045"/>
      <c r="E71" s="1045"/>
      <c r="F71" s="1045"/>
      <c r="G71" s="1045"/>
      <c r="H71" s="1045"/>
      <c r="I71" s="1045"/>
      <c r="J71" s="1045"/>
      <c r="K71" s="1045"/>
      <c r="L71" s="34"/>
      <c r="M71" s="28"/>
      <c r="N71" s="28"/>
    </row>
    <row r="72" spans="1:14" s="960" customFormat="1" ht="18.75" customHeight="1">
      <c r="A72" s="266"/>
      <c r="B72" s="1062" t="s">
        <v>3346</v>
      </c>
      <c r="C72" s="1063" t="e">
        <f>-C70/C75</f>
        <v>#REF!</v>
      </c>
      <c r="D72" s="1063"/>
      <c r="E72" s="1063" t="e">
        <f>-E70/E75</f>
        <v>#REF!</v>
      </c>
      <c r="F72" s="1063"/>
      <c r="G72" s="1063" t="e">
        <f>-G70/G75</f>
        <v>#REF!</v>
      </c>
      <c r="H72" s="1063"/>
      <c r="I72" s="1063" t="e">
        <f>-I70/I75</f>
        <v>#REF!</v>
      </c>
      <c r="J72" s="1063"/>
      <c r="K72" s="1063" t="e">
        <f>-K70/K75</f>
        <v>#REF!</v>
      </c>
      <c r="L72" s="1064"/>
      <c r="M72" s="266"/>
      <c r="N72" s="266"/>
    </row>
    <row r="73" spans="1:14" s="957" customFormat="1" ht="18.75" customHeight="1">
      <c r="A73" s="28"/>
      <c r="B73" s="1044" t="s">
        <v>3347</v>
      </c>
      <c r="C73" s="1065" t="e">
        <f>C76/C62</f>
        <v>#REF!</v>
      </c>
      <c r="D73" s="1065"/>
      <c r="E73" s="1065" t="e">
        <f>E76/E62</f>
        <v>#REF!</v>
      </c>
      <c r="F73" s="1065"/>
      <c r="G73" s="1065" t="e">
        <f>G76/G62</f>
        <v>#REF!</v>
      </c>
      <c r="H73" s="1065"/>
      <c r="I73" s="1065" t="e">
        <f>I76/I62</f>
        <v>#REF!</v>
      </c>
      <c r="J73" s="1065"/>
      <c r="K73" s="1065" t="e">
        <f>K76/K62</f>
        <v>#REF!</v>
      </c>
      <c r="L73" s="34"/>
      <c r="M73" s="28"/>
      <c r="N73" s="28"/>
    </row>
    <row r="74" spans="1:14" s="957" customFormat="1" ht="24" customHeight="1">
      <c r="A74" s="28"/>
      <c r="B74" s="1044"/>
      <c r="C74" s="1045"/>
      <c r="D74" s="1045"/>
      <c r="E74" s="1045"/>
      <c r="F74" s="1045"/>
      <c r="G74" s="1045"/>
      <c r="H74" s="1045"/>
      <c r="I74" s="1045"/>
      <c r="J74" s="1045"/>
      <c r="K74" s="1045"/>
      <c r="L74" s="34"/>
      <c r="M74" s="28"/>
      <c r="N74" s="28"/>
    </row>
    <row r="75" spans="1:14" s="957" customFormat="1" ht="18.75" customHeight="1">
      <c r="A75" s="28"/>
      <c r="B75" s="1044" t="s">
        <v>3348</v>
      </c>
      <c r="C75" s="1045">
        <f>'Part VII-Pro Forma'!$B$23+'Part VII-Pro Forma'!$B$24+'Part VII-Pro Forma'!$B$25+'Part VII-Pro Forma'!$B$26</f>
        <v>-463610.19543297333</v>
      </c>
      <c r="D75" s="1045"/>
      <c r="E75" s="1045">
        <f>$C$75</f>
        <v>-463610.19543297333</v>
      </c>
      <c r="F75" s="1045"/>
      <c r="G75" s="1045">
        <f>$C$75</f>
        <v>-463610.19543297333</v>
      </c>
      <c r="H75" s="1045"/>
      <c r="I75" s="1045">
        <f>$C$75</f>
        <v>-463610.19543297333</v>
      </c>
      <c r="J75" s="1045"/>
      <c r="K75" s="1045">
        <f>$C$75</f>
        <v>-463610.19543297333</v>
      </c>
      <c r="L75" s="34"/>
      <c r="M75" s="28"/>
      <c r="N75" s="28"/>
    </row>
    <row r="76" spans="1:14" s="957" customFormat="1" ht="18.75" customHeight="1">
      <c r="A76" s="28"/>
      <c r="B76" s="1044" t="s">
        <v>1214</v>
      </c>
      <c r="C76" s="1045" t="e">
        <f>C70+C75</f>
        <v>#REF!</v>
      </c>
      <c r="D76" s="1045"/>
      <c r="E76" s="1045" t="e">
        <f>E70+E75</f>
        <v>#REF!</v>
      </c>
      <c r="F76" s="1045"/>
      <c r="G76" s="1045" t="e">
        <f>G70+G75</f>
        <v>#REF!</v>
      </c>
      <c r="H76" s="1045"/>
      <c r="I76" s="1045" t="e">
        <f>I70+I75</f>
        <v>#REF!</v>
      </c>
      <c r="J76" s="1045"/>
      <c r="K76" s="1045" t="e">
        <f>K70+K75</f>
        <v>#REF!</v>
      </c>
      <c r="L76" s="34"/>
      <c r="M76" s="28"/>
      <c r="N76" s="28"/>
    </row>
    <row r="77" spans="1:14" s="957" customFormat="1" ht="15" hidden="1">
      <c r="A77" s="28"/>
      <c r="B77" s="1044" t="s">
        <v>3349</v>
      </c>
      <c r="C77" s="1066" t="e">
        <f>PV(intrate/12,30*12,C75/12,0)</f>
        <v>#NAME?</v>
      </c>
      <c r="D77" s="1044"/>
      <c r="E77" s="1066" t="e">
        <f>PV(intrate/12,30*12,E75/12,0)</f>
        <v>#NAME?</v>
      </c>
      <c r="F77" s="1044"/>
      <c r="G77" s="1066" t="e">
        <f>PV(intrate/12,30*12,G75/12,0)</f>
        <v>#NAME?</v>
      </c>
      <c r="H77" s="1044"/>
      <c r="I77" s="1066" t="e">
        <f>PV(intrate/12,30*12,I75/12,0)</f>
        <v>#NAME?</v>
      </c>
      <c r="J77" s="1044"/>
      <c r="K77" s="1066" t="e">
        <f>PV(intrate/12,30*12,K75/12,0)</f>
        <v>#NAME?</v>
      </c>
      <c r="L77" s="34"/>
      <c r="M77" s="28"/>
      <c r="N77" s="28"/>
    </row>
    <row r="78" spans="1:14" s="957" customFormat="1" ht="15" hidden="1">
      <c r="A78" s="28"/>
      <c r="B78" s="1067" t="s">
        <v>3350</v>
      </c>
      <c r="C78" s="1054"/>
      <c r="D78" s="1054"/>
      <c r="E78" s="1054"/>
      <c r="F78" s="1054"/>
      <c r="G78" s="1054"/>
      <c r="H78" s="1054"/>
      <c r="I78" s="1054"/>
      <c r="J78" s="1054"/>
      <c r="K78" s="1054"/>
      <c r="L78" s="34"/>
      <c r="M78" s="28"/>
      <c r="N78" s="28"/>
    </row>
    <row r="79" spans="1:14" s="957" customFormat="1" ht="15" hidden="1">
      <c r="A79" s="28"/>
      <c r="B79" s="1054"/>
      <c r="C79" s="1054"/>
      <c r="D79" s="1054"/>
      <c r="E79" s="1054"/>
      <c r="F79" s="1054"/>
      <c r="G79" s="1054"/>
      <c r="H79" s="1054"/>
      <c r="I79" s="1054"/>
      <c r="J79" s="1054"/>
      <c r="K79" s="1054"/>
      <c r="L79" s="34"/>
      <c r="M79" s="28"/>
      <c r="N79" s="28"/>
    </row>
    <row r="80" spans="1:14" s="957" customFormat="1" ht="15.75" hidden="1" thickBot="1">
      <c r="A80" s="28"/>
      <c r="B80" s="1054" t="s">
        <v>3351</v>
      </c>
      <c r="C80" s="1068" t="e">
        <f>MIN(C77,E77,G77,I77,K77)</f>
        <v>#NAME?</v>
      </c>
      <c r="D80" s="1054"/>
      <c r="E80" s="1054" t="s">
        <v>3352</v>
      </c>
      <c r="F80" s="1069">
        <v>0.06</v>
      </c>
      <c r="G80" s="34"/>
      <c r="H80" s="34"/>
      <c r="I80" s="34"/>
      <c r="J80" s="34"/>
      <c r="K80" s="34"/>
      <c r="L80" s="34"/>
      <c r="M80" s="28"/>
      <c r="N80" s="28"/>
    </row>
    <row r="81" spans="1:14" s="957" customFormat="1" ht="15" hidden="1">
      <c r="A81" s="28"/>
      <c r="B81" s="1054" t="s">
        <v>1806</v>
      </c>
      <c r="C81" s="1068" t="e">
        <f>MAX(C77,E77,G77,I77,K77)</f>
        <v>#NAME?</v>
      </c>
      <c r="D81" s="1054"/>
      <c r="E81" s="1054"/>
      <c r="F81" s="1054"/>
      <c r="G81" s="34"/>
      <c r="H81" s="34"/>
      <c r="I81" s="34"/>
      <c r="J81" s="34"/>
      <c r="K81" s="34"/>
      <c r="L81" s="34"/>
      <c r="M81" s="28"/>
      <c r="N81" s="28"/>
    </row>
    <row r="82" spans="1:14" s="957" customFormat="1" ht="15">
      <c r="A82" s="28"/>
      <c r="B82" s="1054"/>
      <c r="C82" s="1054"/>
      <c r="D82" s="1054"/>
      <c r="E82" s="1054" t="s">
        <v>255</v>
      </c>
      <c r="F82" s="1054"/>
      <c r="G82" s="34"/>
      <c r="H82" s="34"/>
      <c r="I82" s="34"/>
      <c r="J82" s="34"/>
      <c r="K82" s="34"/>
      <c r="L82" s="34"/>
      <c r="M82" s="28"/>
      <c r="N82" s="28"/>
    </row>
    <row r="83" spans="1:14" s="95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71" customWidth="1"/>
    <col min="2" max="2" width="1.7109375" style="971" customWidth="1"/>
    <col min="3" max="3" width="13" style="971" customWidth="1"/>
    <col min="4" max="4" width="11.28515625" style="971" customWidth="1"/>
    <col min="5" max="5" width="14.7109375" style="971" customWidth="1"/>
    <col min="6" max="6" width="15.140625" style="971" customWidth="1"/>
    <col min="7" max="7" width="11.7109375" style="971" customWidth="1"/>
    <col min="8" max="8" width="11.42578125" style="971" customWidth="1"/>
    <col min="9" max="9" width="10.5703125" style="971" customWidth="1"/>
    <col min="10" max="10" width="6" style="971" customWidth="1"/>
    <col min="11" max="11" width="12.7109375" style="971" customWidth="1"/>
    <col min="12" max="12" width="10.85546875" style="971" customWidth="1"/>
    <col min="13" max="13" width="26.28515625" style="971" customWidth="1"/>
    <col min="14" max="14" width="9.140625" style="971"/>
    <col min="15" max="15" width="12.42578125" style="971" customWidth="1"/>
    <col min="16" max="16" width="9.140625" style="971"/>
    <col min="17" max="17" width="11.7109375" style="971" bestFit="1" customWidth="1"/>
    <col min="18" max="16384" width="9.140625" style="971"/>
  </cols>
  <sheetData>
    <row r="1" spans="1:15" ht="13.5" customHeight="1">
      <c r="A1" s="972" t="s">
        <v>3353</v>
      </c>
      <c r="B1" s="1070"/>
      <c r="C1" s="971" t="str">
        <f>'Part I-Project Information'!F24</f>
        <v>Gateway Capitol View</v>
      </c>
    </row>
    <row r="2" spans="1:15" ht="13.5" customHeight="1"/>
    <row r="3" spans="1:15" ht="13.5" customHeight="1">
      <c r="A3" s="972" t="s">
        <v>3354</v>
      </c>
      <c r="C3" s="971" t="s">
        <v>3355</v>
      </c>
      <c r="E3" s="1071">
        <f>SUM('Part IV-Uses of Funds'!J148,'Part IV-Uses of Funds'!M148,'Part IV-Uses of Funds'!P148)</f>
        <v>20581941.5</v>
      </c>
      <c r="G3" s="1072" t="s">
        <v>3356</v>
      </c>
      <c r="H3" s="972">
        <v>27.5</v>
      </c>
      <c r="I3" s="971" t="s">
        <v>2567</v>
      </c>
      <c r="K3" s="978" t="s">
        <v>3378</v>
      </c>
      <c r="M3" s="974"/>
      <c r="O3" s="1073"/>
    </row>
    <row r="4" spans="1:15" ht="13.5" customHeight="1">
      <c r="C4" s="971" t="s">
        <v>4080</v>
      </c>
      <c r="E4" s="1071">
        <f>SUM('Part IV-Uses of Funds'!G85:H89)</f>
        <v>602620</v>
      </c>
      <c r="G4" s="1072" t="s">
        <v>3357</v>
      </c>
      <c r="H4" s="972">
        <f>'Part III-Sources of Funds'!M37</f>
        <v>35</v>
      </c>
      <c r="I4" s="971" t="s">
        <v>2567</v>
      </c>
      <c r="K4" s="1074" t="s">
        <v>3641</v>
      </c>
      <c r="M4" s="974"/>
    </row>
    <row r="5" spans="1:15" ht="13.5" customHeight="1">
      <c r="C5" s="971" t="s">
        <v>4081</v>
      </c>
      <c r="E5" s="1071">
        <f>SUM('Part IV-Uses of Funds'!G96:H102)</f>
        <v>208383</v>
      </c>
      <c r="G5" s="1072" t="s">
        <v>3357</v>
      </c>
      <c r="H5" s="972">
        <v>15</v>
      </c>
      <c r="I5" s="971" t="s">
        <v>2567</v>
      </c>
      <c r="K5" s="1073">
        <f>-E6</f>
        <v>-13655634</v>
      </c>
    </row>
    <row r="6" spans="1:15" ht="13.5" customHeight="1">
      <c r="C6" s="971" t="s">
        <v>3358</v>
      </c>
      <c r="E6" s="1075">
        <f>'Part III-Sources of Funds'!$I$45+'Part III-Sources of Funds'!$I$46</f>
        <v>13655634</v>
      </c>
      <c r="G6" s="1072" t="s">
        <v>3359</v>
      </c>
      <c r="H6" s="1076">
        <v>0.35</v>
      </c>
      <c r="K6" s="1073">
        <f>C24</f>
        <v>1911218.0486336499</v>
      </c>
      <c r="M6" s="971" t="s">
        <v>3360</v>
      </c>
      <c r="O6" s="1077">
        <f>Overview!K32</f>
        <v>0</v>
      </c>
    </row>
    <row r="7" spans="1:15" ht="13.5" customHeight="1">
      <c r="K7" s="1073">
        <f>D24</f>
        <v>1910958.2749237141</v>
      </c>
      <c r="O7" s="1078"/>
    </row>
    <row r="8" spans="1:15" ht="13.5" customHeight="1">
      <c r="A8" s="972" t="s">
        <v>2578</v>
      </c>
      <c r="C8" s="1079">
        <v>1</v>
      </c>
      <c r="D8" s="1079">
        <v>2</v>
      </c>
      <c r="E8" s="1079">
        <v>3</v>
      </c>
      <c r="F8" s="1079">
        <v>4</v>
      </c>
      <c r="G8" s="1079">
        <v>5</v>
      </c>
      <c r="H8" s="1079">
        <v>6</v>
      </c>
      <c r="I8" s="1079">
        <v>7</v>
      </c>
      <c r="K8" s="1073">
        <f>E24</f>
        <v>1910503.8447372965</v>
      </c>
      <c r="M8" s="971" t="s">
        <v>3361</v>
      </c>
      <c r="O8" s="1078">
        <f>'Part VII-Pro Forma'!$K$65+'Part VII-Pro Forma'!$K$66</f>
        <v>5451985.2620717622</v>
      </c>
    </row>
    <row r="9" spans="1:15" ht="13.5" customHeight="1">
      <c r="A9" s="971" t="s">
        <v>3362</v>
      </c>
      <c r="C9" s="1080">
        <f>'Part VII-Pro Forma'!B30</f>
        <v>23879.71136702667</v>
      </c>
      <c r="D9" s="1080">
        <f>'Part VII-Pro Forma'!C30</f>
        <v>26494.684503026656</v>
      </c>
      <c r="E9" s="1080">
        <f>'Part VII-Pro Forma'!D30</f>
        <v>28917.101101746899</v>
      </c>
      <c r="F9" s="1080">
        <f>'Part VII-Pro Forma'!E30</f>
        <v>31138.651152440812</v>
      </c>
      <c r="G9" s="1080">
        <f>'Part VII-Pro Forma'!F30</f>
        <v>33145.63747774926</v>
      </c>
      <c r="H9" s="1080">
        <f>'Part VII-Pro Forma'!G30</f>
        <v>34925.961961371824</v>
      </c>
      <c r="I9" s="1080">
        <f>'Part VII-Pro Forma'!H30</f>
        <v>36469.111319429008</v>
      </c>
      <c r="K9" s="1073">
        <f>F24</f>
        <v>1909846.6559114668</v>
      </c>
      <c r="N9" s="1081" t="s">
        <v>3364</v>
      </c>
    </row>
    <row r="10" spans="1:15" ht="13.5" customHeight="1">
      <c r="A10" s="971" t="s">
        <v>3363</v>
      </c>
      <c r="C10" s="1082">
        <f>'Part III-Sources of Funds'!I37-'Part VII-Pro Forma'!B36</f>
        <v>86545.831923063844</v>
      </c>
      <c r="D10" s="1082">
        <f>'Part VII-Pro Forma'!B36-'Part VII-Pro Forma'!C36</f>
        <v>90206.59385861177</v>
      </c>
      <c r="E10" s="1082">
        <f>'Part VII-Pro Forma'!C36-'Part VII-Pro Forma'!D36</f>
        <v>94022.200662490912</v>
      </c>
      <c r="F10" s="1082">
        <f>'Part VII-Pro Forma'!D36-'Part VII-Pro Forma'!E36</f>
        <v>97999.20204584673</v>
      </c>
      <c r="G10" s="1082">
        <f>'Part VII-Pro Forma'!E36-'Part VII-Pro Forma'!F36</f>
        <v>102144.42476301175</v>
      </c>
      <c r="H10" s="1082">
        <f>'Part VII-Pro Forma'!F36-'Part VII-Pro Forma'!G36</f>
        <v>106464.98433003202</v>
      </c>
      <c r="I10" s="1082">
        <f>'Part VII-Pro Forma'!G36-'Part VII-Pro Forma'!H36</f>
        <v>110968.29723885655</v>
      </c>
      <c r="K10" s="1073">
        <f>G24</f>
        <v>1908974.9959216376</v>
      </c>
      <c r="N10" s="1081" t="s">
        <v>3365</v>
      </c>
      <c r="O10" s="1078"/>
    </row>
    <row r="11" spans="1:15" ht="13.5" customHeight="1">
      <c r="A11" s="971" t="s">
        <v>3363</v>
      </c>
      <c r="C11" s="1082">
        <f>'Part III-Sources of Funds'!I38-'Part VII-Pro Forma'!B37</f>
        <v>71952.0365974796</v>
      </c>
      <c r="D11" s="1082">
        <f>'Part VII-Pro Forma'!B37-'Part VII-Pro Forma'!C37</f>
        <v>72674.863942890894</v>
      </c>
      <c r="E11" s="1082">
        <f>'Part VII-Pro Forma'!C37-'Part VII-Pro Forma'!D37</f>
        <v>73404.952783542685</v>
      </c>
      <c r="F11" s="1082">
        <f>'Part VII-Pro Forma'!D37-'Part VII-Pro Forma'!E37</f>
        <v>74142.376068131533</v>
      </c>
      <c r="G11" s="1082">
        <f>'Part VII-Pro Forma'!E37-'Part VII-Pro Forma'!F37</f>
        <v>74887.207478194498</v>
      </c>
      <c r="H11" s="1082">
        <f>'Part VII-Pro Forma'!F37-'Part VII-Pro Forma'!G37</f>
        <v>75639.52143547032</v>
      </c>
      <c r="I11" s="1082">
        <f>'Part VII-Pro Forma'!G37-'Part VII-Pro Forma'!H37</f>
        <v>76399.393109336495</v>
      </c>
      <c r="K11" s="1073">
        <f>H24</f>
        <v>1907878.078481036</v>
      </c>
      <c r="O11" s="1078"/>
    </row>
    <row r="12" spans="1:15" ht="13.5" customHeight="1">
      <c r="A12" s="971" t="s">
        <v>3363</v>
      </c>
      <c r="C12" s="1082"/>
      <c r="D12" s="1082"/>
      <c r="E12" s="1082"/>
      <c r="F12" s="1082"/>
      <c r="G12" s="1082"/>
      <c r="H12" s="1082"/>
      <c r="I12" s="1082"/>
      <c r="K12" s="1073">
        <f>I24</f>
        <v>1906546.0296597355</v>
      </c>
      <c r="M12" s="971" t="s">
        <v>3367</v>
      </c>
      <c r="N12" s="1083">
        <v>0.06</v>
      </c>
      <c r="O12" s="1078">
        <f>N12*O6</f>
        <v>0</v>
      </c>
    </row>
    <row r="13" spans="1:15" ht="13.5" customHeight="1">
      <c r="A13" s="1084" t="s">
        <v>4083</v>
      </c>
      <c r="B13" s="1085"/>
      <c r="C13" s="1086">
        <f>-SUMIF('Part VII-Pro Forma'!$A$13:$L$13,C$8,'Part VII-Pro Forma'!$A$21:$L$21)-SUMIF('Part VII-Pro Forma'!$A$42:$L$42,C$8,'Part VII-Pro Forma'!$A$50:$L$50)-SUMIF('Part VII-Pro Forma'!$A$71:$L$71,C$8,'Part VII-Pro Forma'!$A$79:$L$79)</f>
        <v>40500</v>
      </c>
      <c r="D13" s="1086">
        <f>-SUMIF('Part VII-Pro Forma'!$A$13:$L$13,D$8,'Part VII-Pro Forma'!$A$21:$L$21)-SUMIF('Part VII-Pro Forma'!$A$42:$L$42,D$8,'Part VII-Pro Forma'!$A$50:$L$50)-SUMIF('Part VII-Pro Forma'!$A$71:$L$71,D$8,'Part VII-Pro Forma'!$A$79:$L$79)</f>
        <v>41715</v>
      </c>
      <c r="E13" s="1086">
        <f>-SUMIF('Part VII-Pro Forma'!$A$13:$L$13,E$8,'Part VII-Pro Forma'!$A$21:$L$21)-SUMIF('Part VII-Pro Forma'!$A$42:$L$42,E$8,'Part VII-Pro Forma'!$A$50:$L$50)-SUMIF('Part VII-Pro Forma'!$A$71:$L$71,E$8,'Part VII-Pro Forma'!$A$79:$L$79)</f>
        <v>42966.45</v>
      </c>
      <c r="F13" s="1086">
        <f>-SUMIF('Part VII-Pro Forma'!$A$13:$L$13,F$8,'Part VII-Pro Forma'!$A$21:$L$21)-SUMIF('Part VII-Pro Forma'!$A$42:$L$42,F$8,'Part VII-Pro Forma'!$A$50:$L$50)-SUMIF('Part VII-Pro Forma'!$A$71:$L$71,F$8,'Part VII-Pro Forma'!$A$79:$L$79)</f>
        <v>44255.443500000001</v>
      </c>
      <c r="G13" s="1086">
        <f>-SUMIF('Part VII-Pro Forma'!$A$13:$L$13,G$8,'Part VII-Pro Forma'!$A$21:$L$21)-SUMIF('Part VII-Pro Forma'!$A$42:$L$42,G$8,'Part VII-Pro Forma'!$A$50:$L$50)-SUMIF('Part VII-Pro Forma'!$A$71:$L$71,G$8,'Part VII-Pro Forma'!$A$79:$L$79)</f>
        <v>45583.106804999996</v>
      </c>
      <c r="H13" s="1086">
        <f>-SUMIF('Part VII-Pro Forma'!$A$13:$L$13,H$8,'Part VII-Pro Forma'!$A$21:$L$21)-SUMIF('Part VII-Pro Forma'!$A$42:$L$42,H$8,'Part VII-Pro Forma'!$A$50:$L$50)-SUMIF('Part VII-Pro Forma'!$A$71:$L$71,H$8,'Part VII-Pro Forma'!$A$79:$L$79)</f>
        <v>46950.600009149995</v>
      </c>
      <c r="I13" s="1086">
        <f>-SUMIF('Part VII-Pro Forma'!$A$13:$L$13,I$8,'Part VII-Pro Forma'!$A$21:$L$21)-SUMIF('Part VII-Pro Forma'!$A$42:$L$42,I$8,'Part VII-Pro Forma'!$A$50:$L$50)-SUMIF('Part VII-Pro Forma'!$A$71:$L$71,I$8,'Part VII-Pro Forma'!$A$79:$L$79)</f>
        <v>48359.118009424499</v>
      </c>
      <c r="K13" s="1073">
        <f>C44</f>
        <v>1904965.9735061186</v>
      </c>
      <c r="O13" s="1078"/>
    </row>
    <row r="14" spans="1:15" ht="13.5" customHeight="1">
      <c r="A14" s="1084" t="s">
        <v>4084</v>
      </c>
      <c r="B14" s="1085"/>
      <c r="C14" s="1086">
        <f>-SUMIF('Part VII-Pro Forma'!$A$13:$L$13,C$8,'Part VII-Pro Forma'!$A$29:$L$29)-SUMIF('Part VII-Pro Forma'!$A$42:$L$42,C$8,'Part VII-Pro Forma'!$A$58:$L$58)-SUMIF('Part VII-Pro Forma'!$A$71:$L$71,C$8,'Part VII-Pro Forma'!$A$87:$L$87)</f>
        <v>41602.75</v>
      </c>
      <c r="D14" s="1086">
        <f>-SUMIF('Part VII-Pro Forma'!$A$13:$L$13,D$8,'Part VII-Pro Forma'!$A$29:$L$29)-SUMIF('Part VII-Pro Forma'!$A$42:$L$42,D$8,'Part VII-Pro Forma'!$A$58:$L$58)-SUMIF('Part VII-Pro Forma'!$A$71:$L$71,D$8,'Part VII-Pro Forma'!$A$87:$L$87)</f>
        <v>41602.75</v>
      </c>
      <c r="E14" s="1086">
        <f>-SUMIF('Part VII-Pro Forma'!$A$13:$L$13,E$8,'Part VII-Pro Forma'!$A$29:$L$29)-SUMIF('Part VII-Pro Forma'!$A$42:$L$42,E$8,'Part VII-Pro Forma'!$A$58:$L$58)-SUMIF('Part VII-Pro Forma'!$A$71:$L$71,E$8,'Part VII-Pro Forma'!$A$87:$L$87)</f>
        <v>41602.75</v>
      </c>
      <c r="F14" s="1086">
        <f>-SUMIF('Part VII-Pro Forma'!$A$13:$L$13,F$8,'Part VII-Pro Forma'!$A$29:$L$29)-SUMIF('Part VII-Pro Forma'!$A$42:$L$42,F$8,'Part VII-Pro Forma'!$A$58:$L$58)-SUMIF('Part VII-Pro Forma'!$A$71:$L$71,F$8,'Part VII-Pro Forma'!$A$87:$L$87)</f>
        <v>41602.75</v>
      </c>
      <c r="G14" s="1086">
        <f>-SUMIF('Part VII-Pro Forma'!$A$13:$L$13,G$8,'Part VII-Pro Forma'!$A$29:$L$29)-SUMIF('Part VII-Pro Forma'!$A$42:$L$42,G$8,'Part VII-Pro Forma'!$A$58:$L$58)-SUMIF('Part VII-Pro Forma'!$A$71:$L$71,G$8,'Part VII-Pro Forma'!$A$87:$L$87)</f>
        <v>41602.75</v>
      </c>
      <c r="H14" s="1086">
        <f>-SUMIF('Part VII-Pro Forma'!$A$13:$L$13,H$8,'Part VII-Pro Forma'!$A$29:$L$29)-SUMIF('Part VII-Pro Forma'!$A$42:$L$42,H$8,'Part VII-Pro Forma'!$A$58:$L$58)-SUMIF('Part VII-Pro Forma'!$A$71:$L$71,H$8,'Part VII-Pro Forma'!$A$87:$L$87)</f>
        <v>41602.75</v>
      </c>
      <c r="I14" s="1086">
        <f>-SUMIF('Part VII-Pro Forma'!$A$13:$L$13,I$8,'Part VII-Pro Forma'!$A$29:$L$29)-SUMIF('Part VII-Pro Forma'!$A$42:$L$42,I$8,'Part VII-Pro Forma'!$A$58:$L$58)-SUMIF('Part VII-Pro Forma'!$A$71:$L$71,I$8,'Part VII-Pro Forma'!$A$87:$L$87)</f>
        <v>41602.75</v>
      </c>
      <c r="K14" s="1073">
        <f>D44</f>
        <v>1903125.9171530646</v>
      </c>
      <c r="M14" s="971" t="s">
        <v>3370</v>
      </c>
      <c r="O14" s="1078">
        <f>O6-O8-O12</f>
        <v>-5451985.2620717622</v>
      </c>
    </row>
    <row r="15" spans="1:15" ht="13.5" customHeight="1">
      <c r="A15" s="1087" t="s">
        <v>3366</v>
      </c>
      <c r="C15" s="1088">
        <f t="shared" ref="C15:I15" si="0">$E$3/$H$3</f>
        <v>748434.23636363633</v>
      </c>
      <c r="D15" s="1088">
        <f t="shared" si="0"/>
        <v>748434.23636363633</v>
      </c>
      <c r="E15" s="1088">
        <f t="shared" si="0"/>
        <v>748434.23636363633</v>
      </c>
      <c r="F15" s="1088">
        <f t="shared" si="0"/>
        <v>748434.23636363633</v>
      </c>
      <c r="G15" s="1088">
        <f t="shared" si="0"/>
        <v>748434.23636363633</v>
      </c>
      <c r="H15" s="1088">
        <f t="shared" si="0"/>
        <v>748434.23636363633</v>
      </c>
      <c r="I15" s="1088">
        <f t="shared" si="0"/>
        <v>748434.23636363633</v>
      </c>
      <c r="K15" s="1073">
        <f>E44</f>
        <v>1901014.0853904902</v>
      </c>
      <c r="O15" s="1078"/>
    </row>
    <row r="16" spans="1:15" ht="13.5" customHeight="1">
      <c r="A16" s="1087" t="s">
        <v>3368</v>
      </c>
      <c r="C16" s="1088">
        <f>IF(C$8&lt;=$H$4,($E$4/$H$4),0)+IF(C$8&lt;=$H$5,($E$5/$H$5),0)</f>
        <v>31109.914285714287</v>
      </c>
      <c r="D16" s="1088">
        <f t="shared" ref="D16:I16" si="1">IF(D$8&lt;=$H$4,($E$4/$H$4),0)+IF(D$8&lt;=$H$5,($E$5/$H$5),0)</f>
        <v>31109.914285714287</v>
      </c>
      <c r="E16" s="1088">
        <f t="shared" si="1"/>
        <v>31109.914285714287</v>
      </c>
      <c r="F16" s="1088">
        <f t="shared" si="1"/>
        <v>31109.914285714287</v>
      </c>
      <c r="G16" s="1088">
        <f t="shared" si="1"/>
        <v>31109.914285714287</v>
      </c>
      <c r="H16" s="1088">
        <f t="shared" si="1"/>
        <v>31109.914285714287</v>
      </c>
      <c r="I16" s="1088">
        <f t="shared" si="1"/>
        <v>31109.914285714287</v>
      </c>
      <c r="K16" s="1073">
        <f>F44</f>
        <v>233154.35468523638</v>
      </c>
      <c r="M16" s="971" t="s">
        <v>3372</v>
      </c>
      <c r="O16" s="1078">
        <f>E3</f>
        <v>20581941.5</v>
      </c>
    </row>
    <row r="17" spans="1:17" ht="13.5" customHeight="1">
      <c r="A17" s="1087" t="s">
        <v>3369</v>
      </c>
      <c r="C17" s="1082">
        <f t="shared" ref="C17:I17" si="2">C9+C10+C11+C12+C13+C14-C15-C16</f>
        <v>-515063.82076178049</v>
      </c>
      <c r="D17" s="1082">
        <f t="shared" si="2"/>
        <v>-506850.25834482128</v>
      </c>
      <c r="E17" s="1082">
        <f t="shared" si="2"/>
        <v>-498630.69610157009</v>
      </c>
      <c r="F17" s="1082">
        <f t="shared" si="2"/>
        <v>-490405.72788293153</v>
      </c>
      <c r="G17" s="1082">
        <f t="shared" si="2"/>
        <v>-482181.02412539511</v>
      </c>
      <c r="H17" s="1082">
        <f t="shared" si="2"/>
        <v>-473960.33291332645</v>
      </c>
      <c r="I17" s="1082">
        <f t="shared" si="2"/>
        <v>-465745.48097230407</v>
      </c>
      <c r="K17" s="1073">
        <f>G44</f>
        <v>230457.93662858268</v>
      </c>
      <c r="M17" s="971" t="s">
        <v>3366</v>
      </c>
      <c r="O17" s="1078">
        <f>20*(E3/H3)</f>
        <v>14968684.727272727</v>
      </c>
    </row>
    <row r="18" spans="1:17" ht="13.5" customHeight="1">
      <c r="A18" s="1087" t="s">
        <v>3371</v>
      </c>
      <c r="C18" s="1089">
        <f t="shared" ref="C18:I18" si="3">C17*$H$6</f>
        <v>-180272.33726662316</v>
      </c>
      <c r="D18" s="1089">
        <f t="shared" si="3"/>
        <v>-177397.59042068743</v>
      </c>
      <c r="E18" s="1089">
        <f t="shared" si="3"/>
        <v>-174520.74363554953</v>
      </c>
      <c r="F18" s="1089">
        <f t="shared" si="3"/>
        <v>-171642.00475902602</v>
      </c>
      <c r="G18" s="1089">
        <f t="shared" si="3"/>
        <v>-168763.35844388828</v>
      </c>
      <c r="H18" s="1089">
        <f t="shared" si="3"/>
        <v>-165886.11651966424</v>
      </c>
      <c r="I18" s="1089">
        <f t="shared" si="3"/>
        <v>-163010.91834030641</v>
      </c>
      <c r="K18" s="1073">
        <f>H44</f>
        <v>227449.71079098812</v>
      </c>
      <c r="O18" s="1078"/>
    </row>
    <row r="19" spans="1:17" ht="13.5" customHeight="1">
      <c r="A19" s="1087"/>
      <c r="C19" s="1080"/>
      <c r="D19" s="1080"/>
      <c r="E19" s="1080"/>
      <c r="F19" s="1080"/>
      <c r="G19" s="1080"/>
      <c r="H19" s="1080"/>
      <c r="I19" s="1080"/>
      <c r="K19" s="1073">
        <f>I44</f>
        <v>224113.40696289614</v>
      </c>
      <c r="M19" s="971" t="s">
        <v>3376</v>
      </c>
      <c r="O19" s="1078">
        <f>O16-O17</f>
        <v>5613256.7727272734</v>
      </c>
    </row>
    <row r="20" spans="1:17" ht="13.5" customHeight="1">
      <c r="A20" s="971" t="s">
        <v>3373</v>
      </c>
      <c r="C20" s="1082">
        <f t="shared" ref="C20:I20" si="4">C9-C18</f>
        <v>204152.04863364983</v>
      </c>
      <c r="D20" s="1082">
        <f t="shared" si="4"/>
        <v>203892.27492371408</v>
      </c>
      <c r="E20" s="1082">
        <f t="shared" si="4"/>
        <v>203437.84473729643</v>
      </c>
      <c r="F20" s="1082">
        <f t="shared" si="4"/>
        <v>202780.65591146683</v>
      </c>
      <c r="G20" s="1082">
        <f t="shared" si="4"/>
        <v>201908.99592163754</v>
      </c>
      <c r="H20" s="1082">
        <f t="shared" si="4"/>
        <v>200812.07848103606</v>
      </c>
      <c r="I20" s="1082">
        <f t="shared" si="4"/>
        <v>199480.02965973542</v>
      </c>
      <c r="K20" s="1073">
        <f>C64</f>
        <v>220434.83675969875</v>
      </c>
      <c r="O20" s="1078"/>
    </row>
    <row r="21" spans="1:17" ht="13.5" customHeight="1">
      <c r="A21" s="971" t="s">
        <v>3374</v>
      </c>
      <c r="C21" s="1089">
        <f>'Part IV-Uses of Funds'!$J$174</f>
        <v>853533</v>
      </c>
      <c r="D21" s="1089">
        <f t="shared" ref="D21:I21" si="5">C21</f>
        <v>853533</v>
      </c>
      <c r="E21" s="1089">
        <f t="shared" si="5"/>
        <v>853533</v>
      </c>
      <c r="F21" s="1089">
        <f t="shared" si="5"/>
        <v>853533</v>
      </c>
      <c r="G21" s="1089">
        <f t="shared" si="5"/>
        <v>853533</v>
      </c>
      <c r="H21" s="1089">
        <f t="shared" si="5"/>
        <v>853533</v>
      </c>
      <c r="I21" s="1089">
        <f t="shared" si="5"/>
        <v>853533</v>
      </c>
      <c r="J21" s="971" t="s">
        <v>255</v>
      </c>
      <c r="K21" s="1073">
        <f>D64</f>
        <v>211535.70456815494</v>
      </c>
      <c r="O21" s="1078"/>
    </row>
    <row r="22" spans="1:17" ht="13.5" customHeight="1">
      <c r="A22" s="971" t="s">
        <v>3375</v>
      </c>
      <c r="C22" s="1089">
        <f>C21</f>
        <v>853533</v>
      </c>
      <c r="D22" s="1089">
        <f t="shared" ref="D22:I22" si="6">D21</f>
        <v>853533</v>
      </c>
      <c r="E22" s="1089">
        <f t="shared" si="6"/>
        <v>853533</v>
      </c>
      <c r="F22" s="1089">
        <f t="shared" si="6"/>
        <v>853533</v>
      </c>
      <c r="G22" s="1089">
        <f t="shared" si="6"/>
        <v>853533</v>
      </c>
      <c r="H22" s="1089">
        <f t="shared" si="6"/>
        <v>853533</v>
      </c>
      <c r="I22" s="1089">
        <f t="shared" si="6"/>
        <v>853533</v>
      </c>
      <c r="K22" s="1073">
        <f>E64</f>
        <v>207123.96781073723</v>
      </c>
      <c r="M22" s="971" t="s">
        <v>3360</v>
      </c>
      <c r="O22" s="1078">
        <f>O6</f>
        <v>0</v>
      </c>
    </row>
    <row r="23" spans="1:17" ht="13.5" customHeight="1">
      <c r="A23" s="971" t="s">
        <v>3377</v>
      </c>
      <c r="C23" s="1080">
        <v>0</v>
      </c>
      <c r="D23" s="1080">
        <v>0</v>
      </c>
      <c r="E23" s="1080">
        <v>0</v>
      </c>
      <c r="F23" s="1080">
        <v>0</v>
      </c>
      <c r="G23" s="1080">
        <v>0</v>
      </c>
      <c r="H23" s="1080">
        <v>0</v>
      </c>
      <c r="I23" s="1080">
        <v>0</v>
      </c>
      <c r="K23" s="1073">
        <f>F64</f>
        <v>202320.84650352772</v>
      </c>
      <c r="M23" s="971" t="s">
        <v>3379</v>
      </c>
      <c r="O23" s="1078">
        <f>O19</f>
        <v>5613256.7727272734</v>
      </c>
    </row>
    <row r="24" spans="1:17" ht="13.5" customHeight="1">
      <c r="A24" s="971" t="s">
        <v>3378</v>
      </c>
      <c r="C24" s="1082">
        <f t="shared" ref="C24:I24" si="7">SUM(C20:C23)</f>
        <v>1911218.0486336499</v>
      </c>
      <c r="D24" s="1082">
        <f t="shared" si="7"/>
        <v>1910958.2749237141</v>
      </c>
      <c r="E24" s="1082">
        <f t="shared" si="7"/>
        <v>1910503.8447372965</v>
      </c>
      <c r="F24" s="1082">
        <f t="shared" si="7"/>
        <v>1909846.6559114668</v>
      </c>
      <c r="G24" s="1082">
        <f t="shared" si="7"/>
        <v>1908974.9959216376</v>
      </c>
      <c r="H24" s="1082">
        <f t="shared" si="7"/>
        <v>1907878.078481036</v>
      </c>
      <c r="I24" s="1082">
        <f t="shared" si="7"/>
        <v>1906546.0296597355</v>
      </c>
      <c r="K24" s="1073">
        <f>G64</f>
        <v>197107.93208242161</v>
      </c>
      <c r="O24" s="1078"/>
    </row>
    <row r="25" spans="1:17" ht="13.5" customHeight="1">
      <c r="K25" s="1073">
        <f>H64</f>
        <v>-4137866.4120548526</v>
      </c>
      <c r="M25" s="971" t="s">
        <v>3380</v>
      </c>
      <c r="O25" s="1078">
        <f>O22-O23</f>
        <v>-5613256.7727272734</v>
      </c>
      <c r="Q25" s="1090"/>
    </row>
    <row r="26" spans="1:17" ht="13.5" customHeight="1">
      <c r="A26" s="1091"/>
      <c r="B26" s="1091"/>
      <c r="C26" s="1091"/>
      <c r="D26" s="1091"/>
      <c r="E26" s="1091"/>
      <c r="F26" s="1091"/>
      <c r="G26" s="1091"/>
      <c r="H26" s="1091"/>
      <c r="I26" s="1091"/>
      <c r="K26" s="1073"/>
      <c r="O26" s="1078"/>
    </row>
    <row r="27" spans="1:17" ht="13.5" customHeight="1">
      <c r="K27" s="1073"/>
      <c r="M27" s="971" t="s">
        <v>3381</v>
      </c>
      <c r="N27" s="1092"/>
      <c r="O27" s="1083">
        <v>0.2</v>
      </c>
    </row>
    <row r="28" spans="1:17" ht="13.5" customHeight="1">
      <c r="A28" s="972" t="s">
        <v>2578</v>
      </c>
      <c r="B28" s="972"/>
      <c r="C28" s="1079">
        <v>8</v>
      </c>
      <c r="D28" s="1079">
        <v>9</v>
      </c>
      <c r="E28" s="1079">
        <v>10</v>
      </c>
      <c r="F28" s="1079">
        <v>11</v>
      </c>
      <c r="G28" s="1079">
        <v>12</v>
      </c>
      <c r="H28" s="1079">
        <v>13</v>
      </c>
      <c r="I28" s="1079">
        <v>14</v>
      </c>
      <c r="N28" s="1092"/>
      <c r="O28" s="1092"/>
    </row>
    <row r="29" spans="1:17" ht="13.5" customHeight="1">
      <c r="A29" s="971" t="s">
        <v>3362</v>
      </c>
      <c r="C29" s="1080">
        <f>'Part VII-Pro Forma'!I30</f>
        <v>37760.14240095194</v>
      </c>
      <c r="D29" s="1080">
        <f>'Part VII-Pro Forma'!J30</f>
        <v>38785.667002500501</v>
      </c>
      <c r="E29" s="1080">
        <f>'Part VII-Pro Forma'!K30</f>
        <v>39532.836181425489</v>
      </c>
      <c r="F29" s="1080">
        <f>'Part VII-Pro Forma'!B59</f>
        <v>81590.074051835923</v>
      </c>
      <c r="G29" s="1080">
        <f>'Part VII-Pro Forma'!C59</f>
        <v>81734.061046797666</v>
      </c>
      <c r="H29" s="1080">
        <f>'Part VII-Pro Forma'!D59</f>
        <v>81555.216629817151</v>
      </c>
      <c r="I29" s="1080">
        <f>'Part VII-Pro Forma'!E59</f>
        <v>81034.681438099709</v>
      </c>
      <c r="N29" s="1092"/>
      <c r="O29" s="1092"/>
    </row>
    <row r="30" spans="1:17" ht="13.5" customHeight="1">
      <c r="A30" s="971" t="s">
        <v>3363</v>
      </c>
      <c r="C30" s="1082">
        <f>'Part VII-Pro Forma'!H36-'Part VII-Pro Forma'!I36</f>
        <v>115662.09368818346</v>
      </c>
      <c r="D30" s="1082">
        <f>'Part VII-Pro Forma'!I36-'Part VII-Pro Forma'!J36</f>
        <v>120554.43085279595</v>
      </c>
      <c r="E30" s="1082">
        <f>'Part VII-Pro Forma'!J36-'Part VII-Pro Forma'!K36</f>
        <v>125653.70671416633</v>
      </c>
      <c r="F30" s="1082">
        <f>'Part VII-Pro Forma'!K36-'Part VII-Pro Forma'!B65</f>
        <v>130968.67447608709</v>
      </c>
      <c r="G30" s="1082">
        <f>'Part VII-Pro Forma'!B65-'Part VII-Pro Forma'!C65</f>
        <v>136508.45759005006</v>
      </c>
      <c r="H30" s="1082">
        <f>'Part VII-Pro Forma'!C65-'Part VII-Pro Forma'!D65</f>
        <v>142282.56541618146</v>
      </c>
      <c r="I30" s="1082">
        <f>'Part VII-Pro Forma'!D65-'Part VII-Pro Forma'!E65</f>
        <v>148300.90954661462</v>
      </c>
    </row>
    <row r="31" spans="1:17" ht="13.5" customHeight="1">
      <c r="A31" s="971" t="s">
        <v>3363</v>
      </c>
      <c r="C31" s="1082">
        <f>'Part VII-Pro Forma'!H37-'Part VII-Pro Forma'!I37</f>
        <v>77166.898424317129</v>
      </c>
      <c r="D31" s="1082">
        <f>'Part VII-Pro Forma'!I37-'Part VII-Pro Forma'!J37</f>
        <v>77942.114067672752</v>
      </c>
      <c r="E31" s="1082">
        <f>'Part VII-Pro Forma'!J37-'Part VII-Pro Forma'!K37</f>
        <v>78725.117497060914</v>
      </c>
      <c r="F31" s="1082">
        <f>'Part VII-Pro Forma'!K37-'Part VII-Pro Forma'!B66</f>
        <v>79515.986948275007</v>
      </c>
      <c r="G31" s="1082">
        <f>'Part VII-Pro Forma'!B66-'Part VII-Pro Forma'!C66</f>
        <v>80314.801443062723</v>
      </c>
      <c r="H31" s="1082">
        <f>'Part VII-Pro Forma'!C66-'Part VII-Pro Forma'!D66</f>
        <v>81121.640797021799</v>
      </c>
      <c r="I31" s="1082">
        <f>'Part VII-Pro Forma'!D66-'Part VII-Pro Forma'!E66</f>
        <v>81936.585627572378</v>
      </c>
      <c r="K31" s="971" t="s">
        <v>255</v>
      </c>
      <c r="M31" s="971" t="s">
        <v>3382</v>
      </c>
      <c r="O31" s="1080">
        <f>O25*O27</f>
        <v>-1122651.3545454547</v>
      </c>
    </row>
    <row r="32" spans="1:17" ht="13.5" customHeight="1">
      <c r="A32" s="971" t="s">
        <v>3363</v>
      </c>
      <c r="C32" s="1080"/>
      <c r="D32" s="1080"/>
      <c r="E32" s="1080"/>
      <c r="F32" s="1080"/>
      <c r="G32" s="1080"/>
      <c r="H32" s="1080"/>
      <c r="I32" s="1080"/>
    </row>
    <row r="33" spans="1:15" ht="13.5" customHeight="1">
      <c r="A33" s="1084" t="s">
        <v>4083</v>
      </c>
      <c r="B33" s="1085"/>
      <c r="C33" s="1086">
        <f>-SUMIF('Part VII-Pro Forma'!$A$13:$L$13,C$28,'Part VII-Pro Forma'!$A$21:$L$21)-SUMIF('Part VII-Pro Forma'!$A$42:$L$42,C$28,'Part VII-Pro Forma'!$A$50:$L$50)-SUMIF('Part VII-Pro Forma'!$A$71:$L$71,C$28,'Part VII-Pro Forma'!$A$79:$L$79)</f>
        <v>49809.891549707238</v>
      </c>
      <c r="D33" s="1086">
        <f>-SUMIF('Part VII-Pro Forma'!$A$13:$L$13,D$28,'Part VII-Pro Forma'!$A$21:$L$21)-SUMIF('Part VII-Pro Forma'!$A$42:$L$42,D$28,'Part VII-Pro Forma'!$A$50:$L$50)-SUMIF('Part VII-Pro Forma'!$A$71:$L$71,D$28,'Part VII-Pro Forma'!$A$79:$L$79)</f>
        <v>51304.188296198445</v>
      </c>
      <c r="E33" s="1086">
        <f>-SUMIF('Part VII-Pro Forma'!$A$13:$L$13,E$28,'Part VII-Pro Forma'!$A$21:$L$21)-SUMIF('Part VII-Pro Forma'!$A$42:$L$42,E$28,'Part VII-Pro Forma'!$A$50:$L$50)-SUMIF('Part VII-Pro Forma'!$A$71:$L$71,E$28,'Part VII-Pro Forma'!$A$79:$L$79)</f>
        <v>52843.313945084403</v>
      </c>
      <c r="F33" s="1086">
        <f>-SUMIF('Part VII-Pro Forma'!$A$13:$L$13,F$28,'Part VII-Pro Forma'!$A$21:$L$21)-SUMIF('Part VII-Pro Forma'!$A$42:$L$42,F$28,'Part VII-Pro Forma'!$A$50:$L$50)-SUMIF('Part VII-Pro Forma'!$A$71:$L$71,F$28,'Part VII-Pro Forma'!$A$79:$L$79)</f>
        <v>54428.613363436933</v>
      </c>
      <c r="G33" s="1086">
        <f>-SUMIF('Part VII-Pro Forma'!$A$13:$L$13,G$28,'Part VII-Pro Forma'!$A$21:$L$21)-SUMIF('Part VII-Pro Forma'!$A$42:$L$42,G$28,'Part VII-Pro Forma'!$A$50:$L$50)-SUMIF('Part VII-Pro Forma'!$A$71:$L$71,G$28,'Part VII-Pro Forma'!$A$79:$L$79)</f>
        <v>56061.471764340044</v>
      </c>
      <c r="H33" s="1086">
        <f>-SUMIF('Part VII-Pro Forma'!$A$13:$L$13,H$28,'Part VII-Pro Forma'!$A$21:$L$21)-SUMIF('Part VII-Pro Forma'!$A$42:$L$42,H$28,'Part VII-Pro Forma'!$A$50:$L$50)-SUMIF('Part VII-Pro Forma'!$A$71:$L$71,H$28,'Part VII-Pro Forma'!$A$79:$L$79)</f>
        <v>57743.315917270236</v>
      </c>
      <c r="I33" s="1086">
        <f>-SUMIF('Part VII-Pro Forma'!$A$13:$L$13,I$28,'Part VII-Pro Forma'!$A$21:$L$21)-SUMIF('Part VII-Pro Forma'!$A$42:$L$42,I$28,'Part VII-Pro Forma'!$A$50:$L$50)-SUMIF('Part VII-Pro Forma'!$A$71:$L$71,I$28,'Part VII-Pro Forma'!$A$79:$L$79)</f>
        <v>59475.615394788336</v>
      </c>
      <c r="K33" s="971" t="s">
        <v>255</v>
      </c>
      <c r="M33" s="971" t="s">
        <v>3383</v>
      </c>
      <c r="O33" s="1080">
        <f>O14-O31</f>
        <v>-4329333.9075263077</v>
      </c>
    </row>
    <row r="34" spans="1:15" ht="13.5" customHeight="1">
      <c r="A34" s="1084" t="s">
        <v>4084</v>
      </c>
      <c r="B34" s="1085"/>
      <c r="C34" s="1086">
        <f>-SUMIF('Part VII-Pro Forma'!$A$13:$L$13,C$28,'Part VII-Pro Forma'!$A$29:$L$29)-SUMIF('Part VII-Pro Forma'!$A$42:$L$42,C$28,'Part VII-Pro Forma'!$A$58:$L$58)-SUMIF('Part VII-Pro Forma'!$A$71:$L$71,C$28,'Part VII-Pro Forma'!$A$87:$L$87)</f>
        <v>41602.75</v>
      </c>
      <c r="D34" s="1086">
        <f>-SUMIF('Part VII-Pro Forma'!$A$13:$L$13,D$28,'Part VII-Pro Forma'!$A$29:$L$29)-SUMIF('Part VII-Pro Forma'!$A$42:$L$42,D$28,'Part VII-Pro Forma'!$A$58:$L$58)-SUMIF('Part VII-Pro Forma'!$A$71:$L$71,D$28,'Part VII-Pro Forma'!$A$87:$L$87)</f>
        <v>41602.75</v>
      </c>
      <c r="E34" s="1086">
        <f>-SUMIF('Part VII-Pro Forma'!$A$13:$L$13,E$28,'Part VII-Pro Forma'!$A$29:$L$29)-SUMIF('Part VII-Pro Forma'!$A$42:$L$42,E$28,'Part VII-Pro Forma'!$A$58:$L$58)-SUMIF('Part VII-Pro Forma'!$A$71:$L$71,E$28,'Part VII-Pro Forma'!$A$87:$L$87)</f>
        <v>41602.75</v>
      </c>
      <c r="F34" s="1086">
        <f>-SUMIF('Part VII-Pro Forma'!$A$13:$L$13,F$28,'Part VII-Pro Forma'!$A$29:$L$29)-SUMIF('Part VII-Pro Forma'!$A$42:$L$42,F$28,'Part VII-Pro Forma'!$A$58:$L$58)-SUMIF('Part VII-Pro Forma'!$A$71:$L$71,F$28,'Part VII-Pro Forma'!$A$87:$L$87)</f>
        <v>0</v>
      </c>
      <c r="G34" s="1086">
        <f>-SUMIF('Part VII-Pro Forma'!$A$13:$L$13,G$28,'Part VII-Pro Forma'!$A$29:$L$29)-SUMIF('Part VII-Pro Forma'!$A$42:$L$42,G$28,'Part VII-Pro Forma'!$A$58:$L$58)-SUMIF('Part VII-Pro Forma'!$A$71:$L$71,G$28,'Part VII-Pro Forma'!$A$87:$L$87)</f>
        <v>0</v>
      </c>
      <c r="H34" s="1086">
        <f>-SUMIF('Part VII-Pro Forma'!$A$13:$L$13,H$28,'Part VII-Pro Forma'!$A$29:$L$29)-SUMIF('Part VII-Pro Forma'!$A$42:$L$42,H$28,'Part VII-Pro Forma'!$A$58:$L$58)-SUMIF('Part VII-Pro Forma'!$A$71:$L$71,H$28,'Part VII-Pro Forma'!$A$87:$L$87)</f>
        <v>0</v>
      </c>
      <c r="I34" s="1086">
        <f>-SUMIF('Part VII-Pro Forma'!$A$13:$L$13,I$28,'Part VII-Pro Forma'!$A$29:$L$29)-SUMIF('Part VII-Pro Forma'!$A$42:$L$42,I$28,'Part VII-Pro Forma'!$A$58:$L$58)-SUMIF('Part VII-Pro Forma'!$A$71:$L$71,I$28,'Part VII-Pro Forma'!$A$87:$L$87)</f>
        <v>0</v>
      </c>
    </row>
    <row r="35" spans="1:15" ht="13.5" customHeight="1">
      <c r="A35" s="1087" t="s">
        <v>3366</v>
      </c>
      <c r="C35" s="1088">
        <f t="shared" ref="C35:I35" si="8">$E$3/$H$3</f>
        <v>748434.23636363633</v>
      </c>
      <c r="D35" s="1088">
        <f t="shared" si="8"/>
        <v>748434.23636363633</v>
      </c>
      <c r="E35" s="1088">
        <f t="shared" si="8"/>
        <v>748434.23636363633</v>
      </c>
      <c r="F35" s="1088">
        <f t="shared" si="8"/>
        <v>748434.23636363633</v>
      </c>
      <c r="G35" s="1088">
        <f t="shared" si="8"/>
        <v>748434.23636363633</v>
      </c>
      <c r="H35" s="1088">
        <f t="shared" si="8"/>
        <v>748434.23636363633</v>
      </c>
      <c r="I35" s="1088">
        <f t="shared" si="8"/>
        <v>748434.23636363633</v>
      </c>
    </row>
    <row r="36" spans="1:15" ht="13.5" customHeight="1">
      <c r="A36" s="1087" t="s">
        <v>3368</v>
      </c>
      <c r="C36" s="1080">
        <f>IF(C$28&lt;=$H$4,($E$4/$H$4),0)+IF(C$28&lt;=$H$5,($E$5/$H$5),0)</f>
        <v>31109.914285714287</v>
      </c>
      <c r="D36" s="1080">
        <f t="shared" ref="D36:I36" si="9">IF(D$28&lt;=$H$4,($E$4/$H$4),0)+IF(D$28&lt;=$H$5,($E$5/$H$5),0)</f>
        <v>31109.914285714287</v>
      </c>
      <c r="E36" s="1080">
        <f t="shared" si="9"/>
        <v>31109.914285714287</v>
      </c>
      <c r="F36" s="1080">
        <f t="shared" si="9"/>
        <v>31109.914285714287</v>
      </c>
      <c r="G36" s="1080">
        <f t="shared" si="9"/>
        <v>31109.914285714287</v>
      </c>
      <c r="H36" s="1080">
        <f t="shared" si="9"/>
        <v>31109.914285714287</v>
      </c>
      <c r="I36" s="1080">
        <f t="shared" si="9"/>
        <v>31109.914285714287</v>
      </c>
    </row>
    <row r="37" spans="1:15" ht="13.5" customHeight="1">
      <c r="A37" s="1087" t="s">
        <v>3369</v>
      </c>
      <c r="C37" s="1082">
        <f t="shared" ref="C37:I37" si="10">C29+C30+C31+C32+C33+C34-C35-C36</f>
        <v>-457542.37458619085</v>
      </c>
      <c r="D37" s="1082">
        <f t="shared" si="10"/>
        <v>-449355.00043018296</v>
      </c>
      <c r="E37" s="1082">
        <f t="shared" si="10"/>
        <v>-441186.42631161347</v>
      </c>
      <c r="F37" s="1082">
        <f t="shared" si="10"/>
        <v>-433040.80180971563</v>
      </c>
      <c r="G37" s="1082">
        <f t="shared" si="10"/>
        <v>-424925.35880510008</v>
      </c>
      <c r="H37" s="1082">
        <f t="shared" si="10"/>
        <v>-416841.41188905993</v>
      </c>
      <c r="I37" s="1082">
        <f t="shared" si="10"/>
        <v>-408796.35864227556</v>
      </c>
    </row>
    <row r="38" spans="1:15" ht="13.5" customHeight="1">
      <c r="A38" s="971" t="s">
        <v>3371</v>
      </c>
      <c r="C38" s="1089">
        <f t="shared" ref="C38:I38" si="11">C37*$H$6</f>
        <v>-160139.83110516678</v>
      </c>
      <c r="D38" s="1089">
        <f t="shared" si="11"/>
        <v>-157274.25015056404</v>
      </c>
      <c r="E38" s="1089">
        <f t="shared" si="11"/>
        <v>-154415.2492090647</v>
      </c>
      <c r="F38" s="1089">
        <f t="shared" si="11"/>
        <v>-151564.28063340046</v>
      </c>
      <c r="G38" s="1089">
        <f t="shared" si="11"/>
        <v>-148723.87558178502</v>
      </c>
      <c r="H38" s="1089">
        <f t="shared" si="11"/>
        <v>-145894.49416117097</v>
      </c>
      <c r="I38" s="1089">
        <f t="shared" si="11"/>
        <v>-143078.72552479643</v>
      </c>
    </row>
    <row r="39" spans="1:15" ht="13.5" customHeight="1">
      <c r="C39" s="1082"/>
      <c r="D39" s="1082"/>
      <c r="E39" s="1082"/>
      <c r="F39" s="1082"/>
      <c r="G39" s="1082"/>
      <c r="H39" s="1082"/>
      <c r="I39" s="1082"/>
    </row>
    <row r="40" spans="1:15" ht="13.5" customHeight="1">
      <c r="A40" s="971" t="s">
        <v>3373</v>
      </c>
      <c r="C40" s="1082">
        <f t="shared" ref="C40:I40" si="12">C29-C38</f>
        <v>197899.97350611872</v>
      </c>
      <c r="D40" s="1082">
        <f t="shared" si="12"/>
        <v>196059.91715306454</v>
      </c>
      <c r="E40" s="1082">
        <f t="shared" si="12"/>
        <v>193948.08539049019</v>
      </c>
      <c r="F40" s="1082">
        <f t="shared" si="12"/>
        <v>233154.35468523638</v>
      </c>
      <c r="G40" s="1082">
        <f t="shared" si="12"/>
        <v>230457.93662858268</v>
      </c>
      <c r="H40" s="1082">
        <f t="shared" si="12"/>
        <v>227449.71079098812</v>
      </c>
      <c r="I40" s="1082">
        <f t="shared" si="12"/>
        <v>224113.40696289614</v>
      </c>
    </row>
    <row r="41" spans="1:15" ht="13.5" customHeight="1">
      <c r="A41" s="971" t="s">
        <v>3374</v>
      </c>
      <c r="C41" s="1089">
        <f>C21</f>
        <v>853533</v>
      </c>
      <c r="D41" s="1089">
        <f>C41</f>
        <v>853533</v>
      </c>
      <c r="E41" s="1089">
        <f>D41</f>
        <v>853533</v>
      </c>
      <c r="F41" s="1089">
        <v>0</v>
      </c>
      <c r="G41" s="1089">
        <v>0</v>
      </c>
      <c r="H41" s="1089">
        <v>0</v>
      </c>
      <c r="I41" s="1089">
        <v>0</v>
      </c>
    </row>
    <row r="42" spans="1:15" ht="13.5" customHeight="1">
      <c r="A42" s="971" t="s">
        <v>3375</v>
      </c>
      <c r="C42" s="1089">
        <f>C22</f>
        <v>853533</v>
      </c>
      <c r="D42" s="1089">
        <f>C42</f>
        <v>853533</v>
      </c>
      <c r="E42" s="1089">
        <f>D42</f>
        <v>853533</v>
      </c>
      <c r="F42" s="1089">
        <v>0</v>
      </c>
      <c r="G42" s="1089">
        <v>0</v>
      </c>
      <c r="H42" s="1089">
        <v>0</v>
      </c>
      <c r="I42" s="1089">
        <v>0</v>
      </c>
    </row>
    <row r="43" spans="1:15" ht="13.5" customHeight="1">
      <c r="A43" s="971" t="s">
        <v>3377</v>
      </c>
      <c r="C43" s="1082">
        <v>0</v>
      </c>
      <c r="D43" s="1082">
        <v>0</v>
      </c>
      <c r="E43" s="1082">
        <v>0</v>
      </c>
      <c r="F43" s="1082">
        <v>0</v>
      </c>
      <c r="G43" s="1082">
        <v>0</v>
      </c>
      <c r="H43" s="1082">
        <v>0</v>
      </c>
      <c r="I43" s="1082">
        <v>0</v>
      </c>
    </row>
    <row r="44" spans="1:15" ht="13.5" customHeight="1">
      <c r="A44" s="971" t="s">
        <v>3378</v>
      </c>
      <c r="C44" s="1082">
        <f t="shared" ref="C44:I44" si="13">SUM(C40:C43)</f>
        <v>1904965.9735061186</v>
      </c>
      <c r="D44" s="1082">
        <f t="shared" si="13"/>
        <v>1903125.9171530646</v>
      </c>
      <c r="E44" s="1082">
        <f t="shared" si="13"/>
        <v>1901014.0853904902</v>
      </c>
      <c r="F44" s="1082">
        <f t="shared" si="13"/>
        <v>233154.35468523638</v>
      </c>
      <c r="G44" s="1082">
        <f t="shared" si="13"/>
        <v>230457.93662858268</v>
      </c>
      <c r="H44" s="1082">
        <f t="shared" si="13"/>
        <v>227449.71079098812</v>
      </c>
      <c r="I44" s="1082">
        <f t="shared" si="13"/>
        <v>224113.40696289614</v>
      </c>
    </row>
    <row r="45" spans="1:15" ht="13.5" customHeight="1"/>
    <row r="46" spans="1:15" ht="13.5" customHeight="1">
      <c r="A46" s="1091"/>
      <c r="B46" s="1091"/>
      <c r="C46" s="1091"/>
      <c r="D46" s="1091"/>
      <c r="E46" s="1091"/>
      <c r="F46" s="1091"/>
      <c r="G46" s="1091"/>
      <c r="H46" s="1091"/>
      <c r="I46" s="1091"/>
    </row>
    <row r="47" spans="1:15" ht="13.5" customHeight="1">
      <c r="I47" s="978"/>
    </row>
    <row r="48" spans="1:15" ht="13.5" customHeight="1">
      <c r="A48" s="972" t="s">
        <v>2578</v>
      </c>
      <c r="B48" s="972"/>
      <c r="C48" s="1079">
        <v>15</v>
      </c>
      <c r="D48" s="972">
        <v>16</v>
      </c>
      <c r="E48" s="972">
        <v>17</v>
      </c>
      <c r="F48" s="972">
        <v>18</v>
      </c>
      <c r="G48" s="972">
        <v>19</v>
      </c>
      <c r="H48" s="972">
        <v>20</v>
      </c>
    </row>
    <row r="49" spans="1:10" ht="13.5" customHeight="1">
      <c r="A49" s="971" t="s">
        <v>3362</v>
      </c>
      <c r="C49" s="1080">
        <f>'Part VII-Pro Forma'!F59</f>
        <v>80157.048839558382</v>
      </c>
      <c r="D49" s="1080">
        <f>'Part VII-Pro Forma'!G59</f>
        <v>78904.34588496678</v>
      </c>
      <c r="E49" s="1080">
        <f>'Part VII-Pro Forma'!H59</f>
        <v>77258.013636083575</v>
      </c>
      <c r="F49" s="1080">
        <f>'Part VII-Pro Forma'!I59</f>
        <v>75199.886849964503</v>
      </c>
      <c r="G49" s="1080">
        <f>'Part VII-Pro Forma'!J59</f>
        <v>72709.172999097966</v>
      </c>
      <c r="H49" s="1080">
        <f>'Part VII-Pro Forma'!K59</f>
        <v>69766.430606318288</v>
      </c>
    </row>
    <row r="50" spans="1:10" ht="13.5" customHeight="1">
      <c r="A50" s="971" t="s">
        <v>3363</v>
      </c>
      <c r="C50" s="1080">
        <f>'Part VII-Pro Forma'!E65-'Part VII-Pro Forma'!F65</f>
        <v>154573.82081931457</v>
      </c>
      <c r="D50" s="1080">
        <f>'Part VII-Pro Forma'!F65-'Part VII-Pro Forma'!G65</f>
        <v>161112.06705156062</v>
      </c>
      <c r="E50" s="1080">
        <f>'Part VII-Pro Forma'!G65-'Part VII-Pro Forma'!H65</f>
        <v>167926.87152353209</v>
      </c>
      <c r="F50" s="1080">
        <f>'Part VII-Pro Forma'!H65-'Part VII-Pro Forma'!I65</f>
        <v>175029.93224372249</v>
      </c>
      <c r="G50" s="1080">
        <f>'Part VII-Pro Forma'!I65-'Part VII-Pro Forma'!J65</f>
        <v>182433.44202925358</v>
      </c>
      <c r="H50" s="1080">
        <f>'Part VII-Pro Forma'!J65-'Part VII-Pro Forma'!K65</f>
        <v>190150.10943555133</v>
      </c>
    </row>
    <row r="51" spans="1:10" ht="13.5" customHeight="1">
      <c r="A51" s="971" t="s">
        <v>3363</v>
      </c>
      <c r="C51" s="1080">
        <f>'Part VII-Pro Forma'!E66-'Part VII-Pro Forma'!F66</f>
        <v>82759.717362015974</v>
      </c>
      <c r="D51" s="1080">
        <f>'Part VII-Pro Forma'!F66-'Part VII-Pro Forma'!G66</f>
        <v>83591.118245668942</v>
      </c>
      <c r="E51" s="1080">
        <f>'Part VII-Pro Forma'!G66-'Part VII-Pro Forma'!H66</f>
        <v>84430.871350080706</v>
      </c>
      <c r="F51" s="1080">
        <f>'Part VII-Pro Forma'!H66-'Part VII-Pro Forma'!I66</f>
        <v>85279.060581334168</v>
      </c>
      <c r="G51" s="1080">
        <f>'Part VII-Pro Forma'!I66-'Part VII-Pro Forma'!J66</f>
        <v>86135.770688429708</v>
      </c>
      <c r="H51" s="1080">
        <f>'Part VII-Pro Forma'!J66-'Part VII-Pro Forma'!K66</f>
        <v>87001.087271752767</v>
      </c>
    </row>
    <row r="52" spans="1:10" ht="13.5" customHeight="1">
      <c r="A52" s="971" t="s">
        <v>3363</v>
      </c>
      <c r="C52" s="1093"/>
      <c r="D52" s="1093"/>
      <c r="E52" s="1093"/>
      <c r="F52" s="1093"/>
      <c r="G52" s="1093"/>
      <c r="H52" s="1093"/>
    </row>
    <row r="53" spans="1:10" ht="13.5" customHeight="1">
      <c r="A53" s="1084" t="s">
        <v>4083</v>
      </c>
      <c r="B53" s="1085"/>
      <c r="C53" s="1086">
        <f>-SUMIF('Part VII-Pro Forma'!$A$13:$L$13,C$48,'Part VII-Pro Forma'!$A$21:$L$21)-SUMIF('Part VII-Pro Forma'!$A$42:$L$42,C$48,'Part VII-Pro Forma'!$A$50:$L$50)-SUMIF('Part VII-Pro Forma'!$A$71:$L$71,C$48,'Part VII-Pro Forma'!$A$79:$L$79)</f>
        <v>61259.883856631997</v>
      </c>
      <c r="D53" s="1086">
        <f>-SUMIF('Part VII-Pro Forma'!$A$13:$L$13,D$48,'Part VII-Pro Forma'!$A$21:$L$21)-SUMIF('Part VII-Pro Forma'!$A$42:$L$42,D$48,'Part VII-Pro Forma'!$A$50:$L$50)-SUMIF('Part VII-Pro Forma'!$A$71:$L$71,D$48,'Part VII-Pro Forma'!$A$79:$L$79)</f>
        <v>63097.680372330957</v>
      </c>
      <c r="E53" s="1086">
        <f>-SUMIF('Part VII-Pro Forma'!$A$13:$L$13,E$48,'Part VII-Pro Forma'!$A$21:$L$21)-SUMIF('Part VII-Pro Forma'!$A$42:$L$42,E$48,'Part VII-Pro Forma'!$A$50:$L$50)-SUMIF('Part VII-Pro Forma'!$A$71:$L$71,E$48,'Part VII-Pro Forma'!$A$79:$L$79)</f>
        <v>64990.610783500873</v>
      </c>
      <c r="F53" s="1086">
        <f>-SUMIF('Part VII-Pro Forma'!$A$13:$L$13,F$48,'Part VII-Pro Forma'!$A$21:$L$21)-SUMIF('Part VII-Pro Forma'!$A$42:$L$42,F$48,'Part VII-Pro Forma'!$A$50:$L$50)-SUMIF('Part VII-Pro Forma'!$A$71:$L$71,F$48,'Part VII-Pro Forma'!$A$79:$L$79)</f>
        <v>66940.329107005906</v>
      </c>
      <c r="G53" s="1086">
        <f>-SUMIF('Part VII-Pro Forma'!$A$13:$L$13,G$48,'Part VII-Pro Forma'!$A$21:$L$21)-SUMIF('Part VII-Pro Forma'!$A$42:$L$42,G$48,'Part VII-Pro Forma'!$A$50:$L$50)-SUMIF('Part VII-Pro Forma'!$A$71:$L$71,G$48,'Part VII-Pro Forma'!$A$79:$L$79)</f>
        <v>68948.538980216079</v>
      </c>
      <c r="H53" s="1086">
        <f>-SUMIF('Part VII-Pro Forma'!$A$13:$L$13,H$48,'Part VII-Pro Forma'!$A$21:$L$21)-SUMIF('Part VII-Pro Forma'!$A$42:$L$42,H$48,'Part VII-Pro Forma'!$A$50:$L$50)-SUMIF('Part VII-Pro Forma'!$A$71:$L$71,H$48,'Part VII-Pro Forma'!$A$79:$L$79)</f>
        <v>71016.995149622555</v>
      </c>
    </row>
    <row r="54" spans="1:10" ht="13.5" customHeight="1">
      <c r="A54" s="1084" t="s">
        <v>4084</v>
      </c>
      <c r="C54" s="1094">
        <f>-SUMIF('Part VII-Pro Forma'!$A$13:$L$13,C$48,'Part VII-Pro Forma'!$A$31:$L$31)-SUMIF('Part VII-Pro Forma'!$A$48:$L$48,C$48,'Part VII-Pro Forma'!$A$66:$L$66)-SUMIF('Part VII-Pro Forma'!$A$83:$L$83,C$48,'Part VII-Pro Forma'!$A$101:$L$101)</f>
        <v>0</v>
      </c>
      <c r="D54" s="1094">
        <f>-SUMIF('Part VII-Pro Forma'!$A$13:$L$13,D$48,'Part VII-Pro Forma'!$A$31:$L$31)-SUMIF('Part VII-Pro Forma'!$A$48:$L$48,D$48,'Part VII-Pro Forma'!$A$66:$L$66)-SUMIF('Part VII-Pro Forma'!$A$83:$L$83,D$48,'Part VII-Pro Forma'!$A$101:$L$101)</f>
        <v>0</v>
      </c>
      <c r="E54" s="1094">
        <f>-SUMIF('Part VII-Pro Forma'!$A$13:$L$13,E$48,'Part VII-Pro Forma'!$A$31:$L$31)-SUMIF('Part VII-Pro Forma'!$A$48:$L$48,E$48,'Part VII-Pro Forma'!$A$66:$L$66)-SUMIF('Part VII-Pro Forma'!$A$83:$L$83,E$48,'Part VII-Pro Forma'!$A$101:$L$101)</f>
        <v>0</v>
      </c>
      <c r="F54" s="1094">
        <f>-SUMIF('Part VII-Pro Forma'!$A$13:$L$13,F$48,'Part VII-Pro Forma'!$A$31:$L$31)-SUMIF('Part VII-Pro Forma'!$A$48:$L$48,F$48,'Part VII-Pro Forma'!$A$66:$L$66)-SUMIF('Part VII-Pro Forma'!$A$83:$L$83,F$48,'Part VII-Pro Forma'!$A$101:$L$101)</f>
        <v>0</v>
      </c>
      <c r="G54" s="1094">
        <f>-SUMIF('Part VII-Pro Forma'!$A$13:$L$13,G$48,'Part VII-Pro Forma'!$A$31:$L$31)-SUMIF('Part VII-Pro Forma'!$A$48:$L$48,G$48,'Part VII-Pro Forma'!$A$66:$L$66)-SUMIF('Part VII-Pro Forma'!$A$83:$L$83,G$48,'Part VII-Pro Forma'!$A$101:$L$101)</f>
        <v>0</v>
      </c>
      <c r="H54" s="1094">
        <f>-SUMIF('Part VII-Pro Forma'!$A$13:$L$13,H$48,'Part VII-Pro Forma'!$A$31:$L$31)-SUMIF('Part VII-Pro Forma'!$A$48:$L$48,H$48,'Part VII-Pro Forma'!$A$66:$L$66)-SUMIF('Part VII-Pro Forma'!$A$83:$L$83,H$48,'Part VII-Pro Forma'!$A$101:$L$101)</f>
        <v>0</v>
      </c>
    </row>
    <row r="55" spans="1:10" ht="13.5" customHeight="1">
      <c r="A55" s="1087" t="s">
        <v>3366</v>
      </c>
      <c r="C55" s="1088">
        <f t="shared" ref="C55:H55" si="14">$E$3/$H$3</f>
        <v>748434.23636363633</v>
      </c>
      <c r="D55" s="1088">
        <f t="shared" si="14"/>
        <v>748434.23636363633</v>
      </c>
      <c r="E55" s="1088">
        <f t="shared" si="14"/>
        <v>748434.23636363633</v>
      </c>
      <c r="F55" s="1088">
        <f t="shared" si="14"/>
        <v>748434.23636363633</v>
      </c>
      <c r="G55" s="1088">
        <f t="shared" si="14"/>
        <v>748434.23636363633</v>
      </c>
      <c r="H55" s="1088">
        <f t="shared" si="14"/>
        <v>748434.23636363633</v>
      </c>
    </row>
    <row r="56" spans="1:10" ht="13.5" customHeight="1">
      <c r="A56" s="1087" t="s">
        <v>3368</v>
      </c>
      <c r="C56" s="1080">
        <f t="shared" ref="C56:H56" si="15">IF(C$48&lt;=$H$4,($E$4/$H$4),0)+IF(C$48&lt;=$H$5,($E$5/$H$5),0)</f>
        <v>31109.914285714287</v>
      </c>
      <c r="D56" s="1080">
        <f t="shared" si="15"/>
        <v>17217.714285714286</v>
      </c>
      <c r="E56" s="1080">
        <f t="shared" si="15"/>
        <v>17217.714285714286</v>
      </c>
      <c r="F56" s="1080">
        <f t="shared" si="15"/>
        <v>17217.714285714286</v>
      </c>
      <c r="G56" s="1080">
        <f t="shared" si="15"/>
        <v>17217.714285714286</v>
      </c>
      <c r="H56" s="1080">
        <f t="shared" si="15"/>
        <v>17217.714285714286</v>
      </c>
    </row>
    <row r="57" spans="1:10" ht="13.5" customHeight="1">
      <c r="A57" s="1087" t="s">
        <v>3369</v>
      </c>
      <c r="C57" s="1080">
        <f t="shared" ref="C57:H57" si="16">C49+C50+C51+C52+C53+C54-C55-C56</f>
        <v>-400793.67977182969</v>
      </c>
      <c r="D57" s="1080">
        <f t="shared" si="16"/>
        <v>-378946.73909482331</v>
      </c>
      <c r="E57" s="1080">
        <f t="shared" si="16"/>
        <v>-371045.58335615334</v>
      </c>
      <c r="F57" s="1080">
        <f t="shared" si="16"/>
        <v>-363202.74186732352</v>
      </c>
      <c r="G57" s="1080">
        <f t="shared" si="16"/>
        <v>-355425.02595235326</v>
      </c>
      <c r="H57" s="1080">
        <f t="shared" si="16"/>
        <v>-347717.32818610565</v>
      </c>
    </row>
    <row r="58" spans="1:10" ht="13.5" customHeight="1">
      <c r="A58" s="971" t="s">
        <v>3371</v>
      </c>
      <c r="C58" s="1088">
        <f t="shared" ref="C58:H58" si="17">C57*$H$6</f>
        <v>-140277.78792014037</v>
      </c>
      <c r="D58" s="1088">
        <f t="shared" si="17"/>
        <v>-132631.35868318815</v>
      </c>
      <c r="E58" s="1088">
        <f t="shared" si="17"/>
        <v>-129865.95417465366</v>
      </c>
      <c r="F58" s="1088">
        <f t="shared" si="17"/>
        <v>-127120.95965356323</v>
      </c>
      <c r="G58" s="1088">
        <f t="shared" si="17"/>
        <v>-124398.75908332363</v>
      </c>
      <c r="H58" s="1088">
        <f t="shared" si="17"/>
        <v>-121701.06486513697</v>
      </c>
      <c r="J58" s="971" t="s">
        <v>255</v>
      </c>
    </row>
    <row r="59" spans="1:10" s="1095" customFormat="1" ht="16.5" customHeight="1">
      <c r="A59" s="971"/>
      <c r="B59" s="971"/>
      <c r="C59" s="1080"/>
      <c r="D59" s="1080"/>
      <c r="E59" s="1080"/>
      <c r="F59" s="1080"/>
      <c r="G59" s="1080"/>
      <c r="H59" s="1080"/>
      <c r="I59" s="971"/>
      <c r="J59" s="971"/>
    </row>
    <row r="60" spans="1:10">
      <c r="A60" s="971" t="s">
        <v>3373</v>
      </c>
      <c r="C60" s="1080">
        <f t="shared" ref="C60:H60" si="18">C49-C58</f>
        <v>220434.83675969875</v>
      </c>
      <c r="D60" s="1080">
        <f t="shared" si="18"/>
        <v>211535.70456815494</v>
      </c>
      <c r="E60" s="1080">
        <f t="shared" si="18"/>
        <v>207123.96781073723</v>
      </c>
      <c r="F60" s="1080">
        <f t="shared" si="18"/>
        <v>202320.84650352772</v>
      </c>
      <c r="G60" s="1080">
        <f t="shared" si="18"/>
        <v>197107.93208242161</v>
      </c>
      <c r="H60" s="1080">
        <f t="shared" si="18"/>
        <v>191467.49547145527</v>
      </c>
    </row>
    <row r="61" spans="1:10">
      <c r="A61" s="971" t="s">
        <v>3374</v>
      </c>
      <c r="C61" s="1088">
        <v>0</v>
      </c>
      <c r="D61" s="1088">
        <v>0</v>
      </c>
      <c r="E61" s="1088">
        <v>0</v>
      </c>
      <c r="F61" s="1088">
        <v>0</v>
      </c>
      <c r="G61" s="1088">
        <v>0</v>
      </c>
      <c r="H61" s="1080">
        <v>0</v>
      </c>
    </row>
    <row r="62" spans="1:10">
      <c r="A62" s="971" t="s">
        <v>3375</v>
      </c>
      <c r="C62" s="1088">
        <v>0</v>
      </c>
      <c r="D62" s="1080">
        <v>0</v>
      </c>
      <c r="E62" s="1080">
        <v>0</v>
      </c>
      <c r="F62" s="1080">
        <v>0</v>
      </c>
      <c r="G62" s="1080">
        <v>0</v>
      </c>
      <c r="H62" s="1080">
        <v>0</v>
      </c>
    </row>
    <row r="63" spans="1:10">
      <c r="A63" s="971" t="s">
        <v>3377</v>
      </c>
      <c r="C63" s="1080">
        <v>0</v>
      </c>
      <c r="D63" s="1080">
        <v>0</v>
      </c>
      <c r="E63" s="1080">
        <v>0</v>
      </c>
      <c r="F63" s="1080">
        <v>0</v>
      </c>
      <c r="G63" s="1080">
        <v>0</v>
      </c>
      <c r="H63" s="1080">
        <f>O33</f>
        <v>-4329333.9075263077</v>
      </c>
    </row>
    <row r="64" spans="1:10">
      <c r="A64" s="971" t="s">
        <v>3378</v>
      </c>
      <c r="C64" s="1080">
        <f t="shared" ref="C64:H64" si="19">SUM(C60:C63)</f>
        <v>220434.83675969875</v>
      </c>
      <c r="D64" s="1080">
        <f t="shared" si="19"/>
        <v>211535.70456815494</v>
      </c>
      <c r="E64" s="1080">
        <f t="shared" si="19"/>
        <v>207123.96781073723</v>
      </c>
      <c r="F64" s="1080">
        <f t="shared" si="19"/>
        <v>202320.84650352772</v>
      </c>
      <c r="G64" s="1080">
        <f t="shared" si="19"/>
        <v>197107.93208242161</v>
      </c>
      <c r="H64" s="1080">
        <f t="shared" si="19"/>
        <v>-4137866.4120548526</v>
      </c>
    </row>
    <row r="66" spans="1:10" ht="15">
      <c r="A66" s="1096"/>
      <c r="B66" s="1097"/>
      <c r="C66" s="1097"/>
      <c r="D66" s="1097"/>
      <c r="E66" s="1097"/>
      <c r="F66" s="1098" t="s">
        <v>3384</v>
      </c>
      <c r="G66" s="2776">
        <f>IRR(K5:K25)</f>
        <v>5.8670274304729153E-2</v>
      </c>
      <c r="H66" s="2777"/>
      <c r="I66" s="1095"/>
      <c r="J66" s="109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5" zoomScale="75" zoomScaleNormal="75" workbookViewId="0">
      <selection activeCell="A5" sqref="A1:XFD1048576"/>
    </sheetView>
  </sheetViews>
  <sheetFormatPr defaultRowHeight="12.75"/>
  <cols>
    <col min="1" max="1" width="144.85546875" style="28" customWidth="1"/>
    <col min="2" max="16384" width="9.140625" style="28"/>
  </cols>
  <sheetData>
    <row r="1" spans="1:6" ht="15" customHeight="1">
      <c r="A1" s="1262" t="s">
        <v>1022</v>
      </c>
    </row>
    <row r="2" spans="1:6" ht="15" customHeight="1">
      <c r="A2" s="1263" t="str">
        <f>'Part I-Project Information'!F24</f>
        <v>Gateway Capitol View</v>
      </c>
    </row>
    <row r="3" spans="1:6" ht="15" customHeight="1">
      <c r="A3" s="1263" t="str">
        <f>CONCATENATE('Part I-Project Information'!F28,", ", 'Part I-Project Information'!J29," County")</f>
        <v>Atlanta, Fulton County</v>
      </c>
    </row>
    <row r="4" spans="1:6" ht="12" customHeight="1"/>
    <row r="5" spans="1:6" ht="111" customHeight="1">
      <c r="A5" s="2874" t="s">
        <v>4752</v>
      </c>
      <c r="B5" s="2195" t="s">
        <v>3210</v>
      </c>
      <c r="C5" s="2195"/>
      <c r="D5" s="2195"/>
      <c r="E5" s="2195"/>
      <c r="F5" s="2195"/>
    </row>
    <row r="6" spans="1:6" ht="6.6" customHeight="1">
      <c r="A6" s="2874"/>
      <c r="B6" s="2195"/>
      <c r="C6" s="2195"/>
      <c r="D6" s="2195"/>
      <c r="E6" s="2195"/>
      <c r="F6" s="2195"/>
    </row>
    <row r="7" spans="1:6" ht="93" customHeight="1">
      <c r="A7" s="2874"/>
      <c r="B7" s="2195"/>
      <c r="C7" s="2195"/>
      <c r="D7" s="2195"/>
      <c r="E7" s="2195"/>
      <c r="F7" s="2195"/>
    </row>
    <row r="8" spans="1:6" ht="6.6" customHeight="1">
      <c r="A8" s="2874"/>
    </row>
    <row r="9" spans="1:6" ht="93" customHeight="1">
      <c r="A9" s="2874"/>
    </row>
    <row r="10" spans="1:6" ht="6.6" customHeight="1">
      <c r="A10" s="2874"/>
    </row>
    <row r="11" spans="1:6" ht="93" customHeight="1">
      <c r="A11" s="2874"/>
    </row>
    <row r="12" spans="1:6" ht="6.6" customHeight="1">
      <c r="A12" s="2874"/>
    </row>
    <row r="13" spans="1:6" ht="93" customHeight="1">
      <c r="A13" s="2874"/>
    </row>
    <row r="14" spans="1:6" ht="6.6" customHeight="1">
      <c r="A14" s="2874"/>
    </row>
    <row r="15" spans="1:6" ht="93" customHeight="1">
      <c r="A15" s="2874"/>
    </row>
    <row r="16" spans="1:6" ht="6.6" customHeight="1">
      <c r="A16" s="2874"/>
    </row>
    <row r="17" spans="1:1" ht="93" customHeight="1">
      <c r="A17" s="2874"/>
    </row>
    <row r="18" spans="1:1" ht="6.6" customHeight="1">
      <c r="A18" s="2874"/>
    </row>
    <row r="19" spans="1:1" ht="93" customHeight="1">
      <c r="A19" s="2874"/>
    </row>
    <row r="20" spans="1:1" ht="6.6" customHeight="1">
      <c r="A20" s="2874"/>
    </row>
    <row r="21" spans="1:1" ht="93" customHeight="1">
      <c r="A21" s="2874"/>
    </row>
    <row r="22" spans="1:1" ht="6.6" customHeight="1">
      <c r="A22" s="2874"/>
    </row>
    <row r="23" spans="1:1" ht="93" customHeight="1">
      <c r="A23" s="2874"/>
    </row>
  </sheetData>
  <sheetProtection algorithmName="SHA-512" hashValue="zP0dTpEBqHUBZAeSp5JdSjTWWwuHG/3+6gGwSVujB+0iLr/OaeE5fH3cd0tZwx8vvd+miAGqbdldz+t4GcdGiQ==" saltValue="msezuIKY9jKbVI27PuxsA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8" fitToHeight="0" orientation="portrait" verticalDpi="1200" r:id="rId1"/>
  <headerFooter alignWithMargins="0">
    <oddFooter>&amp;L2016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20" customWidth="1"/>
    <col min="9" max="16384" width="9.140625" style="720"/>
  </cols>
  <sheetData>
    <row r="1" spans="1:8" ht="21.95" customHeight="1">
      <c r="A1" s="2779" t="str">
        <f>IF(Overview!C8="","",Overview!C8)</f>
        <v>Gateway Capitol View</v>
      </c>
      <c r="B1" s="2779"/>
      <c r="C1" s="2779"/>
      <c r="D1" s="2779"/>
      <c r="E1" s="2779"/>
      <c r="F1" s="2779"/>
      <c r="G1" s="2779"/>
      <c r="H1" s="2779"/>
    </row>
    <row r="2" spans="1:8" ht="21.95" customHeight="1">
      <c r="A2" s="956"/>
      <c r="B2" s="956"/>
      <c r="C2" s="956"/>
      <c r="D2" s="956"/>
      <c r="E2" s="956"/>
      <c r="F2" s="956"/>
      <c r="G2" s="956"/>
      <c r="H2" s="956"/>
    </row>
    <row r="3" spans="1:8" ht="20.25" customHeight="1">
      <c r="C3" s="2778" t="s">
        <v>3385</v>
      </c>
      <c r="D3" s="2778"/>
      <c r="E3" s="2778"/>
      <c r="F3" s="2778"/>
    </row>
    <row r="5" spans="1:8" ht="15.75">
      <c r="D5" s="721"/>
      <c r="E5" s="721" t="s">
        <v>3386</v>
      </c>
    </row>
    <row r="6" spans="1:8" ht="15.75">
      <c r="D6" s="721" t="s">
        <v>2578</v>
      </c>
      <c r="E6" s="721" t="s">
        <v>3387</v>
      </c>
    </row>
    <row r="7" spans="1:8" ht="15">
      <c r="D7" s="722"/>
      <c r="E7" s="722"/>
    </row>
    <row r="8" spans="1:8" ht="15">
      <c r="D8" s="723">
        <v>1</v>
      </c>
      <c r="E8" s="724">
        <f>-'Part VII-Pro Forma'!B23/12</f>
        <v>30165.61198464721</v>
      </c>
    </row>
    <row r="9" spans="1:8" ht="15">
      <c r="D9" s="723">
        <v>2</v>
      </c>
      <c r="E9" s="724">
        <f>-'Part VII-Pro Forma'!C23/12</f>
        <v>30165.61198464721</v>
      </c>
    </row>
    <row r="10" spans="1:8" ht="15">
      <c r="D10" s="723">
        <v>3</v>
      </c>
      <c r="E10" s="724">
        <f>-'Part VII-Pro Forma'!D23/12</f>
        <v>30165.61198464721</v>
      </c>
    </row>
    <row r="11" spans="1:8" ht="15">
      <c r="D11" s="725">
        <v>4</v>
      </c>
      <c r="E11" s="724">
        <f>-'Part VII-Pro Forma'!E23/12</f>
        <v>30165.61198464721</v>
      </c>
    </row>
    <row r="12" spans="1:8" ht="15">
      <c r="D12" s="725">
        <v>5</v>
      </c>
      <c r="E12" s="724">
        <f>-'Part VII-Pro Forma'!F23/12</f>
        <v>30165.61198464721</v>
      </c>
    </row>
    <row r="13" spans="1:8" ht="15">
      <c r="D13" s="723">
        <v>6</v>
      </c>
      <c r="E13" s="724">
        <f>-'Part VII-Pro Forma'!G23/12</f>
        <v>30165.61198464721</v>
      </c>
    </row>
    <row r="14" spans="1:8" ht="15">
      <c r="D14" s="723">
        <v>7</v>
      </c>
      <c r="E14" s="724">
        <f>-'Part VII-Pro Forma'!H23/12</f>
        <v>30165.61198464721</v>
      </c>
    </row>
    <row r="15" spans="1:8" ht="15">
      <c r="D15" s="725">
        <v>8</v>
      </c>
      <c r="E15" s="724">
        <f>-'Part VII-Pro Forma'!I23/12</f>
        <v>30165.61198464721</v>
      </c>
    </row>
    <row r="16" spans="1:8" ht="15">
      <c r="D16" s="723">
        <v>9</v>
      </c>
      <c r="E16" s="724">
        <f>-'Part VII-Pro Forma'!J23/12</f>
        <v>30165.61198464721</v>
      </c>
    </row>
    <row r="17" spans="4:8" ht="15">
      <c r="D17" s="723">
        <v>10</v>
      </c>
      <c r="E17" s="724">
        <f>-'Part VII-Pro Forma'!K23/12</f>
        <v>30165.61198464721</v>
      </c>
    </row>
    <row r="18" spans="4:8" ht="15">
      <c r="D18" s="725">
        <v>11</v>
      </c>
      <c r="E18" s="724">
        <f>-'Part VII-Pro Forma'!B52/12</f>
        <v>30165.61198464721</v>
      </c>
    </row>
    <row r="19" spans="4:8" ht="15">
      <c r="D19" s="723">
        <v>12</v>
      </c>
      <c r="E19" s="724">
        <f>-'Part VII-Pro Forma'!C52/12</f>
        <v>30165.61198464721</v>
      </c>
    </row>
    <row r="20" spans="4:8" ht="15">
      <c r="D20" s="723">
        <v>13</v>
      </c>
      <c r="E20" s="724">
        <f>-'Part VII-Pro Forma'!D52/12</f>
        <v>30165.61198464721</v>
      </c>
    </row>
    <row r="21" spans="4:8" ht="15">
      <c r="D21" s="723">
        <v>14</v>
      </c>
      <c r="E21" s="724">
        <f>-'Part VII-Pro Forma'!E52/12</f>
        <v>30165.61198464721</v>
      </c>
    </row>
    <row r="22" spans="4:8" ht="15">
      <c r="D22" s="723">
        <v>15</v>
      </c>
      <c r="E22" s="724">
        <f>-'Part VII-Pro Forma'!F52/12</f>
        <v>30165.61198464721</v>
      </c>
    </row>
    <row r="23" spans="4:8" ht="15">
      <c r="D23" s="723">
        <v>16</v>
      </c>
      <c r="E23" s="724">
        <f>-'Part VII-Pro Forma'!G52/12</f>
        <v>30165.61198464721</v>
      </c>
    </row>
    <row r="24" spans="4:8" ht="15">
      <c r="D24" s="723">
        <v>17</v>
      </c>
      <c r="E24" s="724">
        <f>-'Part VII-Pro Forma'!H52/12</f>
        <v>30165.61198464721</v>
      </c>
      <c r="H24" s="720" t="s">
        <v>255</v>
      </c>
    </row>
    <row r="25" spans="4:8" ht="15">
      <c r="D25" s="723">
        <v>18</v>
      </c>
      <c r="E25" s="724">
        <f>-'Part VII-Pro Forma'!I52/12</f>
        <v>30165.61198464721</v>
      </c>
    </row>
    <row r="26" spans="4:8" ht="15">
      <c r="D26" s="723">
        <v>19</v>
      </c>
      <c r="E26" s="724">
        <f>-'Part VII-Pro Forma'!J52/12</f>
        <v>30165.61198464721</v>
      </c>
    </row>
    <row r="27" spans="4:8" ht="15">
      <c r="D27" s="723">
        <v>20</v>
      </c>
      <c r="E27" s="724">
        <f>-'Part VII-Pro Forma'!K52/12</f>
        <v>30165.61198464721</v>
      </c>
    </row>
    <row r="28" spans="4:8" ht="15">
      <c r="D28" s="723">
        <v>21</v>
      </c>
      <c r="E28" s="724">
        <f>-'Part VII-Pro Forma'!B81/12</f>
        <v>30165.61198464721</v>
      </c>
    </row>
    <row r="29" spans="4:8" ht="15">
      <c r="D29" s="723">
        <v>22</v>
      </c>
      <c r="E29" s="724">
        <f>-'Part VII-Pro Forma'!C81/12</f>
        <v>30165.61198464721</v>
      </c>
    </row>
    <row r="30" spans="4:8" ht="15">
      <c r="D30" s="723">
        <v>23</v>
      </c>
      <c r="E30" s="724">
        <f>-'Part VII-Pro Forma'!D81/12</f>
        <v>30165.61198464721</v>
      </c>
    </row>
    <row r="31" spans="4:8" ht="15">
      <c r="D31" s="723">
        <v>24</v>
      </c>
      <c r="E31" s="724">
        <f>-'Part VII-Pro Forma'!E81/12</f>
        <v>30165.61198464721</v>
      </c>
    </row>
    <row r="32" spans="4:8" ht="15">
      <c r="D32" s="723">
        <v>25</v>
      </c>
      <c r="E32" s="724">
        <f>-'Part VII-Pro Forma'!F81/12</f>
        <v>30165.61198464721</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9" customWidth="1"/>
    <col min="2" max="2" width="10.140625" style="1099" customWidth="1"/>
    <col min="3" max="3" width="11.7109375" style="1099" customWidth="1"/>
    <col min="4" max="4" width="8.5703125" style="1099" customWidth="1"/>
    <col min="5" max="5" width="13.7109375" style="1099" customWidth="1"/>
    <col min="6" max="6" width="2.7109375" style="1099" customWidth="1"/>
    <col min="7" max="7" width="11.7109375" style="1099" customWidth="1"/>
    <col min="8" max="8" width="8.5703125" style="1099" customWidth="1"/>
    <col min="9" max="9" width="13.7109375" style="1099" customWidth="1"/>
    <col min="10" max="10" width="4.7109375" style="1099" customWidth="1"/>
    <col min="11" max="11" width="25.7109375" style="1099" customWidth="1"/>
    <col min="12" max="256" width="8.85546875" style="1099"/>
    <col min="257" max="257" width="11.5703125" style="1099" bestFit="1" customWidth="1"/>
    <col min="258" max="258" width="12.5703125" style="1099" customWidth="1"/>
    <col min="259" max="259" width="10.28515625" style="1099" customWidth="1"/>
    <col min="260" max="260" width="14.7109375" style="1099" customWidth="1"/>
    <col min="261" max="261" width="13.28515625" style="1099" bestFit="1" customWidth="1"/>
    <col min="262" max="262" width="4.85546875" style="1099" customWidth="1"/>
    <col min="263" max="263" width="11.7109375" style="1099" customWidth="1"/>
    <col min="264" max="264" width="12" style="1099" customWidth="1"/>
    <col min="265" max="265" width="9.7109375" style="1099" customWidth="1"/>
    <col min="266" max="266" width="13.7109375" style="1099" bestFit="1" customWidth="1"/>
    <col min="267" max="512" width="8.85546875" style="1099"/>
    <col min="513" max="513" width="11.5703125" style="1099" bestFit="1" customWidth="1"/>
    <col min="514" max="514" width="12.5703125" style="1099" customWidth="1"/>
    <col min="515" max="515" width="10.28515625" style="1099" customWidth="1"/>
    <col min="516" max="516" width="14.7109375" style="1099" customWidth="1"/>
    <col min="517" max="517" width="13.28515625" style="1099" bestFit="1" customWidth="1"/>
    <col min="518" max="518" width="4.85546875" style="1099" customWidth="1"/>
    <col min="519" max="519" width="11.7109375" style="1099" customWidth="1"/>
    <col min="520" max="520" width="12" style="1099" customWidth="1"/>
    <col min="521" max="521" width="9.7109375" style="1099" customWidth="1"/>
    <col min="522" max="522" width="13.7109375" style="1099" bestFit="1" customWidth="1"/>
    <col min="523" max="768" width="8.85546875" style="1099"/>
    <col min="769" max="769" width="11.5703125" style="1099" bestFit="1" customWidth="1"/>
    <col min="770" max="770" width="12.5703125" style="1099" customWidth="1"/>
    <col min="771" max="771" width="10.28515625" style="1099" customWidth="1"/>
    <col min="772" max="772" width="14.7109375" style="1099" customWidth="1"/>
    <col min="773" max="773" width="13.28515625" style="1099" bestFit="1" customWidth="1"/>
    <col min="774" max="774" width="4.85546875" style="1099" customWidth="1"/>
    <col min="775" max="775" width="11.7109375" style="1099" customWidth="1"/>
    <col min="776" max="776" width="12" style="1099" customWidth="1"/>
    <col min="777" max="777" width="9.7109375" style="1099" customWidth="1"/>
    <col min="778" max="778" width="13.7109375" style="1099" bestFit="1" customWidth="1"/>
    <col min="779" max="1024" width="8.85546875" style="1099"/>
    <col min="1025" max="1025" width="11.5703125" style="1099" bestFit="1" customWidth="1"/>
    <col min="1026" max="1026" width="12.5703125" style="1099" customWidth="1"/>
    <col min="1027" max="1027" width="10.28515625" style="1099" customWidth="1"/>
    <col min="1028" max="1028" width="14.7109375" style="1099" customWidth="1"/>
    <col min="1029" max="1029" width="13.28515625" style="1099" bestFit="1" customWidth="1"/>
    <col min="1030" max="1030" width="4.85546875" style="1099" customWidth="1"/>
    <col min="1031" max="1031" width="11.7109375" style="1099" customWidth="1"/>
    <col min="1032" max="1032" width="12" style="1099" customWidth="1"/>
    <col min="1033" max="1033" width="9.7109375" style="1099" customWidth="1"/>
    <col min="1034" max="1034" width="13.7109375" style="1099" bestFit="1" customWidth="1"/>
    <col min="1035" max="1280" width="8.85546875" style="1099"/>
    <col min="1281" max="1281" width="11.5703125" style="1099" bestFit="1" customWidth="1"/>
    <col min="1282" max="1282" width="12.5703125" style="1099" customWidth="1"/>
    <col min="1283" max="1283" width="10.28515625" style="1099" customWidth="1"/>
    <col min="1284" max="1284" width="14.7109375" style="1099" customWidth="1"/>
    <col min="1285" max="1285" width="13.28515625" style="1099" bestFit="1" customWidth="1"/>
    <col min="1286" max="1286" width="4.85546875" style="1099" customWidth="1"/>
    <col min="1287" max="1287" width="11.7109375" style="1099" customWidth="1"/>
    <col min="1288" max="1288" width="12" style="1099" customWidth="1"/>
    <col min="1289" max="1289" width="9.7109375" style="1099" customWidth="1"/>
    <col min="1290" max="1290" width="13.7109375" style="1099" bestFit="1" customWidth="1"/>
    <col min="1291" max="1536" width="8.85546875" style="1099"/>
    <col min="1537" max="1537" width="11.5703125" style="1099" bestFit="1" customWidth="1"/>
    <col min="1538" max="1538" width="12.5703125" style="1099" customWidth="1"/>
    <col min="1539" max="1539" width="10.28515625" style="1099" customWidth="1"/>
    <col min="1540" max="1540" width="14.7109375" style="1099" customWidth="1"/>
    <col min="1541" max="1541" width="13.28515625" style="1099" bestFit="1" customWidth="1"/>
    <col min="1542" max="1542" width="4.85546875" style="1099" customWidth="1"/>
    <col min="1543" max="1543" width="11.7109375" style="1099" customWidth="1"/>
    <col min="1544" max="1544" width="12" style="1099" customWidth="1"/>
    <col min="1545" max="1545" width="9.7109375" style="1099" customWidth="1"/>
    <col min="1546" max="1546" width="13.7109375" style="1099" bestFit="1" customWidth="1"/>
    <col min="1547" max="1792" width="8.85546875" style="1099"/>
    <col min="1793" max="1793" width="11.5703125" style="1099" bestFit="1" customWidth="1"/>
    <col min="1794" max="1794" width="12.5703125" style="1099" customWidth="1"/>
    <col min="1795" max="1795" width="10.28515625" style="1099" customWidth="1"/>
    <col min="1796" max="1796" width="14.7109375" style="1099" customWidth="1"/>
    <col min="1797" max="1797" width="13.28515625" style="1099" bestFit="1" customWidth="1"/>
    <col min="1798" max="1798" width="4.85546875" style="1099" customWidth="1"/>
    <col min="1799" max="1799" width="11.7109375" style="1099" customWidth="1"/>
    <col min="1800" max="1800" width="12" style="1099" customWidth="1"/>
    <col min="1801" max="1801" width="9.7109375" style="1099" customWidth="1"/>
    <col min="1802" max="1802" width="13.7109375" style="1099" bestFit="1" customWidth="1"/>
    <col min="1803" max="2048" width="8.85546875" style="1099"/>
    <col min="2049" max="2049" width="11.5703125" style="1099" bestFit="1" customWidth="1"/>
    <col min="2050" max="2050" width="12.5703125" style="1099" customWidth="1"/>
    <col min="2051" max="2051" width="10.28515625" style="1099" customWidth="1"/>
    <col min="2052" max="2052" width="14.7109375" style="1099" customWidth="1"/>
    <col min="2053" max="2053" width="13.28515625" style="1099" bestFit="1" customWidth="1"/>
    <col min="2054" max="2054" width="4.85546875" style="1099" customWidth="1"/>
    <col min="2055" max="2055" width="11.7109375" style="1099" customWidth="1"/>
    <col min="2056" max="2056" width="12" style="1099" customWidth="1"/>
    <col min="2057" max="2057" width="9.7109375" style="1099" customWidth="1"/>
    <col min="2058" max="2058" width="13.7109375" style="1099" bestFit="1" customWidth="1"/>
    <col min="2059" max="2304" width="8.85546875" style="1099"/>
    <col min="2305" max="2305" width="11.5703125" style="1099" bestFit="1" customWidth="1"/>
    <col min="2306" max="2306" width="12.5703125" style="1099" customWidth="1"/>
    <col min="2307" max="2307" width="10.28515625" style="1099" customWidth="1"/>
    <col min="2308" max="2308" width="14.7109375" style="1099" customWidth="1"/>
    <col min="2309" max="2309" width="13.28515625" style="1099" bestFit="1" customWidth="1"/>
    <col min="2310" max="2310" width="4.85546875" style="1099" customWidth="1"/>
    <col min="2311" max="2311" width="11.7109375" style="1099" customWidth="1"/>
    <col min="2312" max="2312" width="12" style="1099" customWidth="1"/>
    <col min="2313" max="2313" width="9.7109375" style="1099" customWidth="1"/>
    <col min="2314" max="2314" width="13.7109375" style="1099" bestFit="1" customWidth="1"/>
    <col min="2315" max="2560" width="8.85546875" style="1099"/>
    <col min="2561" max="2561" width="11.5703125" style="1099" bestFit="1" customWidth="1"/>
    <col min="2562" max="2562" width="12.5703125" style="1099" customWidth="1"/>
    <col min="2563" max="2563" width="10.28515625" style="1099" customWidth="1"/>
    <col min="2564" max="2564" width="14.7109375" style="1099" customWidth="1"/>
    <col min="2565" max="2565" width="13.28515625" style="1099" bestFit="1" customWidth="1"/>
    <col min="2566" max="2566" width="4.85546875" style="1099" customWidth="1"/>
    <col min="2567" max="2567" width="11.7109375" style="1099" customWidth="1"/>
    <col min="2568" max="2568" width="12" style="1099" customWidth="1"/>
    <col min="2569" max="2569" width="9.7109375" style="1099" customWidth="1"/>
    <col min="2570" max="2570" width="13.7109375" style="1099" bestFit="1" customWidth="1"/>
    <col min="2571" max="2816" width="8.85546875" style="1099"/>
    <col min="2817" max="2817" width="11.5703125" style="1099" bestFit="1" customWidth="1"/>
    <col min="2818" max="2818" width="12.5703125" style="1099" customWidth="1"/>
    <col min="2819" max="2819" width="10.28515625" style="1099" customWidth="1"/>
    <col min="2820" max="2820" width="14.7109375" style="1099" customWidth="1"/>
    <col min="2821" max="2821" width="13.28515625" style="1099" bestFit="1" customWidth="1"/>
    <col min="2822" max="2822" width="4.85546875" style="1099" customWidth="1"/>
    <col min="2823" max="2823" width="11.7109375" style="1099" customWidth="1"/>
    <col min="2824" max="2824" width="12" style="1099" customWidth="1"/>
    <col min="2825" max="2825" width="9.7109375" style="1099" customWidth="1"/>
    <col min="2826" max="2826" width="13.7109375" style="1099" bestFit="1" customWidth="1"/>
    <col min="2827" max="3072" width="8.85546875" style="1099"/>
    <col min="3073" max="3073" width="11.5703125" style="1099" bestFit="1" customWidth="1"/>
    <col min="3074" max="3074" width="12.5703125" style="1099" customWidth="1"/>
    <col min="3075" max="3075" width="10.28515625" style="1099" customWidth="1"/>
    <col min="3076" max="3076" width="14.7109375" style="1099" customWidth="1"/>
    <col min="3077" max="3077" width="13.28515625" style="1099" bestFit="1" customWidth="1"/>
    <col min="3078" max="3078" width="4.85546875" style="1099" customWidth="1"/>
    <col min="3079" max="3079" width="11.7109375" style="1099" customWidth="1"/>
    <col min="3080" max="3080" width="12" style="1099" customWidth="1"/>
    <col min="3081" max="3081" width="9.7109375" style="1099" customWidth="1"/>
    <col min="3082" max="3082" width="13.7109375" style="1099" bestFit="1" customWidth="1"/>
    <col min="3083" max="3328" width="8.85546875" style="1099"/>
    <col min="3329" max="3329" width="11.5703125" style="1099" bestFit="1" customWidth="1"/>
    <col min="3330" max="3330" width="12.5703125" style="1099" customWidth="1"/>
    <col min="3331" max="3331" width="10.28515625" style="1099" customWidth="1"/>
    <col min="3332" max="3332" width="14.7109375" style="1099" customWidth="1"/>
    <col min="3333" max="3333" width="13.28515625" style="1099" bestFit="1" customWidth="1"/>
    <col min="3334" max="3334" width="4.85546875" style="1099" customWidth="1"/>
    <col min="3335" max="3335" width="11.7109375" style="1099" customWidth="1"/>
    <col min="3336" max="3336" width="12" style="1099" customWidth="1"/>
    <col min="3337" max="3337" width="9.7109375" style="1099" customWidth="1"/>
    <col min="3338" max="3338" width="13.7109375" style="1099" bestFit="1" customWidth="1"/>
    <col min="3339" max="3584" width="8.85546875" style="1099"/>
    <col min="3585" max="3585" width="11.5703125" style="1099" bestFit="1" customWidth="1"/>
    <col min="3586" max="3586" width="12.5703125" style="1099" customWidth="1"/>
    <col min="3587" max="3587" width="10.28515625" style="1099" customWidth="1"/>
    <col min="3588" max="3588" width="14.7109375" style="1099" customWidth="1"/>
    <col min="3589" max="3589" width="13.28515625" style="1099" bestFit="1" customWidth="1"/>
    <col min="3590" max="3590" width="4.85546875" style="1099" customWidth="1"/>
    <col min="3591" max="3591" width="11.7109375" style="1099" customWidth="1"/>
    <col min="3592" max="3592" width="12" style="1099" customWidth="1"/>
    <col min="3593" max="3593" width="9.7109375" style="1099" customWidth="1"/>
    <col min="3594" max="3594" width="13.7109375" style="1099" bestFit="1" customWidth="1"/>
    <col min="3595" max="3840" width="8.85546875" style="1099"/>
    <col min="3841" max="3841" width="11.5703125" style="1099" bestFit="1" customWidth="1"/>
    <col min="3842" max="3842" width="12.5703125" style="1099" customWidth="1"/>
    <col min="3843" max="3843" width="10.28515625" style="1099" customWidth="1"/>
    <col min="3844" max="3844" width="14.7109375" style="1099" customWidth="1"/>
    <col min="3845" max="3845" width="13.28515625" style="1099" bestFit="1" customWidth="1"/>
    <col min="3846" max="3846" width="4.85546875" style="1099" customWidth="1"/>
    <col min="3847" max="3847" width="11.7109375" style="1099" customWidth="1"/>
    <col min="3848" max="3848" width="12" style="1099" customWidth="1"/>
    <col min="3849" max="3849" width="9.7109375" style="1099" customWidth="1"/>
    <col min="3850" max="3850" width="13.7109375" style="1099" bestFit="1" customWidth="1"/>
    <col min="3851" max="4096" width="8.85546875" style="1099"/>
    <col min="4097" max="4097" width="11.5703125" style="1099" bestFit="1" customWidth="1"/>
    <col min="4098" max="4098" width="12.5703125" style="1099" customWidth="1"/>
    <col min="4099" max="4099" width="10.28515625" style="1099" customWidth="1"/>
    <col min="4100" max="4100" width="14.7109375" style="1099" customWidth="1"/>
    <col min="4101" max="4101" width="13.28515625" style="1099" bestFit="1" customWidth="1"/>
    <col min="4102" max="4102" width="4.85546875" style="1099" customWidth="1"/>
    <col min="4103" max="4103" width="11.7109375" style="1099" customWidth="1"/>
    <col min="4104" max="4104" width="12" style="1099" customWidth="1"/>
    <col min="4105" max="4105" width="9.7109375" style="1099" customWidth="1"/>
    <col min="4106" max="4106" width="13.7109375" style="1099" bestFit="1" customWidth="1"/>
    <col min="4107" max="4352" width="8.85546875" style="1099"/>
    <col min="4353" max="4353" width="11.5703125" style="1099" bestFit="1" customWidth="1"/>
    <col min="4354" max="4354" width="12.5703125" style="1099" customWidth="1"/>
    <col min="4355" max="4355" width="10.28515625" style="1099" customWidth="1"/>
    <col min="4356" max="4356" width="14.7109375" style="1099" customWidth="1"/>
    <col min="4357" max="4357" width="13.28515625" style="1099" bestFit="1" customWidth="1"/>
    <col min="4358" max="4358" width="4.85546875" style="1099" customWidth="1"/>
    <col min="4359" max="4359" width="11.7109375" style="1099" customWidth="1"/>
    <col min="4360" max="4360" width="12" style="1099" customWidth="1"/>
    <col min="4361" max="4361" width="9.7109375" style="1099" customWidth="1"/>
    <col min="4362" max="4362" width="13.7109375" style="1099" bestFit="1" customWidth="1"/>
    <col min="4363" max="4608" width="8.85546875" style="1099"/>
    <col min="4609" max="4609" width="11.5703125" style="1099" bestFit="1" customWidth="1"/>
    <col min="4610" max="4610" width="12.5703125" style="1099" customWidth="1"/>
    <col min="4611" max="4611" width="10.28515625" style="1099" customWidth="1"/>
    <col min="4612" max="4612" width="14.7109375" style="1099" customWidth="1"/>
    <col min="4613" max="4613" width="13.28515625" style="1099" bestFit="1" customWidth="1"/>
    <col min="4614" max="4614" width="4.85546875" style="1099" customWidth="1"/>
    <col min="4615" max="4615" width="11.7109375" style="1099" customWidth="1"/>
    <col min="4616" max="4616" width="12" style="1099" customWidth="1"/>
    <col min="4617" max="4617" width="9.7109375" style="1099" customWidth="1"/>
    <col min="4618" max="4618" width="13.7109375" style="1099" bestFit="1" customWidth="1"/>
    <col min="4619" max="4864" width="8.85546875" style="1099"/>
    <col min="4865" max="4865" width="11.5703125" style="1099" bestFit="1" customWidth="1"/>
    <col min="4866" max="4866" width="12.5703125" style="1099" customWidth="1"/>
    <col min="4867" max="4867" width="10.28515625" style="1099" customWidth="1"/>
    <col min="4868" max="4868" width="14.7109375" style="1099" customWidth="1"/>
    <col min="4869" max="4869" width="13.28515625" style="1099" bestFit="1" customWidth="1"/>
    <col min="4870" max="4870" width="4.85546875" style="1099" customWidth="1"/>
    <col min="4871" max="4871" width="11.7109375" style="1099" customWidth="1"/>
    <col min="4872" max="4872" width="12" style="1099" customWidth="1"/>
    <col min="4873" max="4873" width="9.7109375" style="1099" customWidth="1"/>
    <col min="4874" max="4874" width="13.7109375" style="1099" bestFit="1" customWidth="1"/>
    <col min="4875" max="5120" width="8.85546875" style="1099"/>
    <col min="5121" max="5121" width="11.5703125" style="1099" bestFit="1" customWidth="1"/>
    <col min="5122" max="5122" width="12.5703125" style="1099" customWidth="1"/>
    <col min="5123" max="5123" width="10.28515625" style="1099" customWidth="1"/>
    <col min="5124" max="5124" width="14.7109375" style="1099" customWidth="1"/>
    <col min="5125" max="5125" width="13.28515625" style="1099" bestFit="1" customWidth="1"/>
    <col min="5126" max="5126" width="4.85546875" style="1099" customWidth="1"/>
    <col min="5127" max="5127" width="11.7109375" style="1099" customWidth="1"/>
    <col min="5128" max="5128" width="12" style="1099" customWidth="1"/>
    <col min="5129" max="5129" width="9.7109375" style="1099" customWidth="1"/>
    <col min="5130" max="5130" width="13.7109375" style="1099" bestFit="1" customWidth="1"/>
    <col min="5131" max="5376" width="8.85546875" style="1099"/>
    <col min="5377" max="5377" width="11.5703125" style="1099" bestFit="1" customWidth="1"/>
    <col min="5378" max="5378" width="12.5703125" style="1099" customWidth="1"/>
    <col min="5379" max="5379" width="10.28515625" style="1099" customWidth="1"/>
    <col min="5380" max="5380" width="14.7109375" style="1099" customWidth="1"/>
    <col min="5381" max="5381" width="13.28515625" style="1099" bestFit="1" customWidth="1"/>
    <col min="5382" max="5382" width="4.85546875" style="1099" customWidth="1"/>
    <col min="5383" max="5383" width="11.7109375" style="1099" customWidth="1"/>
    <col min="5384" max="5384" width="12" style="1099" customWidth="1"/>
    <col min="5385" max="5385" width="9.7109375" style="1099" customWidth="1"/>
    <col min="5386" max="5386" width="13.7109375" style="1099" bestFit="1" customWidth="1"/>
    <col min="5387" max="5632" width="8.85546875" style="1099"/>
    <col min="5633" max="5633" width="11.5703125" style="1099" bestFit="1" customWidth="1"/>
    <col min="5634" max="5634" width="12.5703125" style="1099" customWidth="1"/>
    <col min="5635" max="5635" width="10.28515625" style="1099" customWidth="1"/>
    <col min="5636" max="5636" width="14.7109375" style="1099" customWidth="1"/>
    <col min="5637" max="5637" width="13.28515625" style="1099" bestFit="1" customWidth="1"/>
    <col min="5638" max="5638" width="4.85546875" style="1099" customWidth="1"/>
    <col min="5639" max="5639" width="11.7109375" style="1099" customWidth="1"/>
    <col min="5640" max="5640" width="12" style="1099" customWidth="1"/>
    <col min="5641" max="5641" width="9.7109375" style="1099" customWidth="1"/>
    <col min="5642" max="5642" width="13.7109375" style="1099" bestFit="1" customWidth="1"/>
    <col min="5643" max="5888" width="8.85546875" style="1099"/>
    <col min="5889" max="5889" width="11.5703125" style="1099" bestFit="1" customWidth="1"/>
    <col min="5890" max="5890" width="12.5703125" style="1099" customWidth="1"/>
    <col min="5891" max="5891" width="10.28515625" style="1099" customWidth="1"/>
    <col min="5892" max="5892" width="14.7109375" style="1099" customWidth="1"/>
    <col min="5893" max="5893" width="13.28515625" style="1099" bestFit="1" customWidth="1"/>
    <col min="5894" max="5894" width="4.85546875" style="1099" customWidth="1"/>
    <col min="5895" max="5895" width="11.7109375" style="1099" customWidth="1"/>
    <col min="5896" max="5896" width="12" style="1099" customWidth="1"/>
    <col min="5897" max="5897" width="9.7109375" style="1099" customWidth="1"/>
    <col min="5898" max="5898" width="13.7109375" style="1099" bestFit="1" customWidth="1"/>
    <col min="5899" max="6144" width="8.85546875" style="1099"/>
    <col min="6145" max="6145" width="11.5703125" style="1099" bestFit="1" customWidth="1"/>
    <col min="6146" max="6146" width="12.5703125" style="1099" customWidth="1"/>
    <col min="6147" max="6147" width="10.28515625" style="1099" customWidth="1"/>
    <col min="6148" max="6148" width="14.7109375" style="1099" customWidth="1"/>
    <col min="6149" max="6149" width="13.28515625" style="1099" bestFit="1" customWidth="1"/>
    <col min="6150" max="6150" width="4.85546875" style="1099" customWidth="1"/>
    <col min="6151" max="6151" width="11.7109375" style="1099" customWidth="1"/>
    <col min="6152" max="6152" width="12" style="1099" customWidth="1"/>
    <col min="6153" max="6153" width="9.7109375" style="1099" customWidth="1"/>
    <col min="6154" max="6154" width="13.7109375" style="1099" bestFit="1" customWidth="1"/>
    <col min="6155" max="6400" width="8.85546875" style="1099"/>
    <col min="6401" max="6401" width="11.5703125" style="1099" bestFit="1" customWidth="1"/>
    <col min="6402" max="6402" width="12.5703125" style="1099" customWidth="1"/>
    <col min="6403" max="6403" width="10.28515625" style="1099" customWidth="1"/>
    <col min="6404" max="6404" width="14.7109375" style="1099" customWidth="1"/>
    <col min="6405" max="6405" width="13.28515625" style="1099" bestFit="1" customWidth="1"/>
    <col min="6406" max="6406" width="4.85546875" style="1099" customWidth="1"/>
    <col min="6407" max="6407" width="11.7109375" style="1099" customWidth="1"/>
    <col min="6408" max="6408" width="12" style="1099" customWidth="1"/>
    <col min="6409" max="6409" width="9.7109375" style="1099" customWidth="1"/>
    <col min="6410" max="6410" width="13.7109375" style="1099" bestFit="1" customWidth="1"/>
    <col min="6411" max="6656" width="8.85546875" style="1099"/>
    <col min="6657" max="6657" width="11.5703125" style="1099" bestFit="1" customWidth="1"/>
    <col min="6658" max="6658" width="12.5703125" style="1099" customWidth="1"/>
    <col min="6659" max="6659" width="10.28515625" style="1099" customWidth="1"/>
    <col min="6660" max="6660" width="14.7109375" style="1099" customWidth="1"/>
    <col min="6661" max="6661" width="13.28515625" style="1099" bestFit="1" customWidth="1"/>
    <col min="6662" max="6662" width="4.85546875" style="1099" customWidth="1"/>
    <col min="6663" max="6663" width="11.7109375" style="1099" customWidth="1"/>
    <col min="6664" max="6664" width="12" style="1099" customWidth="1"/>
    <col min="6665" max="6665" width="9.7109375" style="1099" customWidth="1"/>
    <col min="6666" max="6666" width="13.7109375" style="1099" bestFit="1" customWidth="1"/>
    <col min="6667" max="6912" width="8.85546875" style="1099"/>
    <col min="6913" max="6913" width="11.5703125" style="1099" bestFit="1" customWidth="1"/>
    <col min="6914" max="6914" width="12.5703125" style="1099" customWidth="1"/>
    <col min="6915" max="6915" width="10.28515625" style="1099" customWidth="1"/>
    <col min="6916" max="6916" width="14.7109375" style="1099" customWidth="1"/>
    <col min="6917" max="6917" width="13.28515625" style="1099" bestFit="1" customWidth="1"/>
    <col min="6918" max="6918" width="4.85546875" style="1099" customWidth="1"/>
    <col min="6919" max="6919" width="11.7109375" style="1099" customWidth="1"/>
    <col min="6920" max="6920" width="12" style="1099" customWidth="1"/>
    <col min="6921" max="6921" width="9.7109375" style="1099" customWidth="1"/>
    <col min="6922" max="6922" width="13.7109375" style="1099" bestFit="1" customWidth="1"/>
    <col min="6923" max="7168" width="8.85546875" style="1099"/>
    <col min="7169" max="7169" width="11.5703125" style="1099" bestFit="1" customWidth="1"/>
    <col min="7170" max="7170" width="12.5703125" style="1099" customWidth="1"/>
    <col min="7171" max="7171" width="10.28515625" style="1099" customWidth="1"/>
    <col min="7172" max="7172" width="14.7109375" style="1099" customWidth="1"/>
    <col min="7173" max="7173" width="13.28515625" style="1099" bestFit="1" customWidth="1"/>
    <col min="7174" max="7174" width="4.85546875" style="1099" customWidth="1"/>
    <col min="7175" max="7175" width="11.7109375" style="1099" customWidth="1"/>
    <col min="7176" max="7176" width="12" style="1099" customWidth="1"/>
    <col min="7177" max="7177" width="9.7109375" style="1099" customWidth="1"/>
    <col min="7178" max="7178" width="13.7109375" style="1099" bestFit="1" customWidth="1"/>
    <col min="7179" max="7424" width="8.85546875" style="1099"/>
    <col min="7425" max="7425" width="11.5703125" style="1099" bestFit="1" customWidth="1"/>
    <col min="7426" max="7426" width="12.5703125" style="1099" customWidth="1"/>
    <col min="7427" max="7427" width="10.28515625" style="1099" customWidth="1"/>
    <col min="7428" max="7428" width="14.7109375" style="1099" customWidth="1"/>
    <col min="7429" max="7429" width="13.28515625" style="1099" bestFit="1" customWidth="1"/>
    <col min="7430" max="7430" width="4.85546875" style="1099" customWidth="1"/>
    <col min="7431" max="7431" width="11.7109375" style="1099" customWidth="1"/>
    <col min="7432" max="7432" width="12" style="1099" customWidth="1"/>
    <col min="7433" max="7433" width="9.7109375" style="1099" customWidth="1"/>
    <col min="7434" max="7434" width="13.7109375" style="1099" bestFit="1" customWidth="1"/>
    <col min="7435" max="7680" width="8.85546875" style="1099"/>
    <col min="7681" max="7681" width="11.5703125" style="1099" bestFit="1" customWidth="1"/>
    <col min="7682" max="7682" width="12.5703125" style="1099" customWidth="1"/>
    <col min="7683" max="7683" width="10.28515625" style="1099" customWidth="1"/>
    <col min="7684" max="7684" width="14.7109375" style="1099" customWidth="1"/>
    <col min="7685" max="7685" width="13.28515625" style="1099" bestFit="1" customWidth="1"/>
    <col min="7686" max="7686" width="4.85546875" style="1099" customWidth="1"/>
    <col min="7687" max="7687" width="11.7109375" style="1099" customWidth="1"/>
    <col min="7688" max="7688" width="12" style="1099" customWidth="1"/>
    <col min="7689" max="7689" width="9.7109375" style="1099" customWidth="1"/>
    <col min="7690" max="7690" width="13.7109375" style="1099" bestFit="1" customWidth="1"/>
    <col min="7691" max="7936" width="8.85546875" style="1099"/>
    <col min="7937" max="7937" width="11.5703125" style="1099" bestFit="1" customWidth="1"/>
    <col min="7938" max="7938" width="12.5703125" style="1099" customWidth="1"/>
    <col min="7939" max="7939" width="10.28515625" style="1099" customWidth="1"/>
    <col min="7940" max="7940" width="14.7109375" style="1099" customWidth="1"/>
    <col min="7941" max="7941" width="13.28515625" style="1099" bestFit="1" customWidth="1"/>
    <col min="7942" max="7942" width="4.85546875" style="1099" customWidth="1"/>
    <col min="7943" max="7943" width="11.7109375" style="1099" customWidth="1"/>
    <col min="7944" max="7944" width="12" style="1099" customWidth="1"/>
    <col min="7945" max="7945" width="9.7109375" style="1099" customWidth="1"/>
    <col min="7946" max="7946" width="13.7109375" style="1099" bestFit="1" customWidth="1"/>
    <col min="7947" max="8192" width="8.85546875" style="1099"/>
    <col min="8193" max="8193" width="11.5703125" style="1099" bestFit="1" customWidth="1"/>
    <col min="8194" max="8194" width="12.5703125" style="1099" customWidth="1"/>
    <col min="8195" max="8195" width="10.28515625" style="1099" customWidth="1"/>
    <col min="8196" max="8196" width="14.7109375" style="1099" customWidth="1"/>
    <col min="8197" max="8197" width="13.28515625" style="1099" bestFit="1" customWidth="1"/>
    <col min="8198" max="8198" width="4.85546875" style="1099" customWidth="1"/>
    <col min="8199" max="8199" width="11.7109375" style="1099" customWidth="1"/>
    <col min="8200" max="8200" width="12" style="1099" customWidth="1"/>
    <col min="8201" max="8201" width="9.7109375" style="1099" customWidth="1"/>
    <col min="8202" max="8202" width="13.7109375" style="1099" bestFit="1" customWidth="1"/>
    <col min="8203" max="8448" width="8.85546875" style="1099"/>
    <col min="8449" max="8449" width="11.5703125" style="1099" bestFit="1" customWidth="1"/>
    <col min="8450" max="8450" width="12.5703125" style="1099" customWidth="1"/>
    <col min="8451" max="8451" width="10.28515625" style="1099" customWidth="1"/>
    <col min="8452" max="8452" width="14.7109375" style="1099" customWidth="1"/>
    <col min="8453" max="8453" width="13.28515625" style="1099" bestFit="1" customWidth="1"/>
    <col min="8454" max="8454" width="4.85546875" style="1099" customWidth="1"/>
    <col min="8455" max="8455" width="11.7109375" style="1099" customWidth="1"/>
    <col min="8456" max="8456" width="12" style="1099" customWidth="1"/>
    <col min="8457" max="8457" width="9.7109375" style="1099" customWidth="1"/>
    <col min="8458" max="8458" width="13.7109375" style="1099" bestFit="1" customWidth="1"/>
    <col min="8459" max="8704" width="8.85546875" style="1099"/>
    <col min="8705" max="8705" width="11.5703125" style="1099" bestFit="1" customWidth="1"/>
    <col min="8706" max="8706" width="12.5703125" style="1099" customWidth="1"/>
    <col min="8707" max="8707" width="10.28515625" style="1099" customWidth="1"/>
    <col min="8708" max="8708" width="14.7109375" style="1099" customWidth="1"/>
    <col min="8709" max="8709" width="13.28515625" style="1099" bestFit="1" customWidth="1"/>
    <col min="8710" max="8710" width="4.85546875" style="1099" customWidth="1"/>
    <col min="8711" max="8711" width="11.7109375" style="1099" customWidth="1"/>
    <col min="8712" max="8712" width="12" style="1099" customWidth="1"/>
    <col min="8713" max="8713" width="9.7109375" style="1099" customWidth="1"/>
    <col min="8714" max="8714" width="13.7109375" style="1099" bestFit="1" customWidth="1"/>
    <col min="8715" max="8960" width="8.85546875" style="1099"/>
    <col min="8961" max="8961" width="11.5703125" style="1099" bestFit="1" customWidth="1"/>
    <col min="8962" max="8962" width="12.5703125" style="1099" customWidth="1"/>
    <col min="8963" max="8963" width="10.28515625" style="1099" customWidth="1"/>
    <col min="8964" max="8964" width="14.7109375" style="1099" customWidth="1"/>
    <col min="8965" max="8965" width="13.28515625" style="1099" bestFit="1" customWidth="1"/>
    <col min="8966" max="8966" width="4.85546875" style="1099" customWidth="1"/>
    <col min="8967" max="8967" width="11.7109375" style="1099" customWidth="1"/>
    <col min="8968" max="8968" width="12" style="1099" customWidth="1"/>
    <col min="8969" max="8969" width="9.7109375" style="1099" customWidth="1"/>
    <col min="8970" max="8970" width="13.7109375" style="1099" bestFit="1" customWidth="1"/>
    <col min="8971" max="9216" width="8.85546875" style="1099"/>
    <col min="9217" max="9217" width="11.5703125" style="1099" bestFit="1" customWidth="1"/>
    <col min="9218" max="9218" width="12.5703125" style="1099" customWidth="1"/>
    <col min="9219" max="9219" width="10.28515625" style="1099" customWidth="1"/>
    <col min="9220" max="9220" width="14.7109375" style="1099" customWidth="1"/>
    <col min="9221" max="9221" width="13.28515625" style="1099" bestFit="1" customWidth="1"/>
    <col min="9222" max="9222" width="4.85546875" style="1099" customWidth="1"/>
    <col min="9223" max="9223" width="11.7109375" style="1099" customWidth="1"/>
    <col min="9224" max="9224" width="12" style="1099" customWidth="1"/>
    <col min="9225" max="9225" width="9.7109375" style="1099" customWidth="1"/>
    <col min="9226" max="9226" width="13.7109375" style="1099" bestFit="1" customWidth="1"/>
    <col min="9227" max="9472" width="8.85546875" style="1099"/>
    <col min="9473" max="9473" width="11.5703125" style="1099" bestFit="1" customWidth="1"/>
    <col min="9474" max="9474" width="12.5703125" style="1099" customWidth="1"/>
    <col min="9475" max="9475" width="10.28515625" style="1099" customWidth="1"/>
    <col min="9476" max="9476" width="14.7109375" style="1099" customWidth="1"/>
    <col min="9477" max="9477" width="13.28515625" style="1099" bestFit="1" customWidth="1"/>
    <col min="9478" max="9478" width="4.85546875" style="1099" customWidth="1"/>
    <col min="9479" max="9479" width="11.7109375" style="1099" customWidth="1"/>
    <col min="9480" max="9480" width="12" style="1099" customWidth="1"/>
    <col min="9481" max="9481" width="9.7109375" style="1099" customWidth="1"/>
    <col min="9482" max="9482" width="13.7109375" style="1099" bestFit="1" customWidth="1"/>
    <col min="9483" max="9728" width="8.85546875" style="1099"/>
    <col min="9729" max="9729" width="11.5703125" style="1099" bestFit="1" customWidth="1"/>
    <col min="9730" max="9730" width="12.5703125" style="1099" customWidth="1"/>
    <col min="9731" max="9731" width="10.28515625" style="1099" customWidth="1"/>
    <col min="9732" max="9732" width="14.7109375" style="1099" customWidth="1"/>
    <col min="9733" max="9733" width="13.28515625" style="1099" bestFit="1" customWidth="1"/>
    <col min="9734" max="9734" width="4.85546875" style="1099" customWidth="1"/>
    <col min="9735" max="9735" width="11.7109375" style="1099" customWidth="1"/>
    <col min="9736" max="9736" width="12" style="1099" customWidth="1"/>
    <col min="9737" max="9737" width="9.7109375" style="1099" customWidth="1"/>
    <col min="9738" max="9738" width="13.7109375" style="1099" bestFit="1" customWidth="1"/>
    <col min="9739" max="9984" width="8.85546875" style="1099"/>
    <col min="9985" max="9985" width="11.5703125" style="1099" bestFit="1" customWidth="1"/>
    <col min="9986" max="9986" width="12.5703125" style="1099" customWidth="1"/>
    <col min="9987" max="9987" width="10.28515625" style="1099" customWidth="1"/>
    <col min="9988" max="9988" width="14.7109375" style="1099" customWidth="1"/>
    <col min="9989" max="9989" width="13.28515625" style="1099" bestFit="1" customWidth="1"/>
    <col min="9990" max="9990" width="4.85546875" style="1099" customWidth="1"/>
    <col min="9991" max="9991" width="11.7109375" style="1099" customWidth="1"/>
    <col min="9992" max="9992" width="12" style="1099" customWidth="1"/>
    <col min="9993" max="9993" width="9.7109375" style="1099" customWidth="1"/>
    <col min="9994" max="9994" width="13.7109375" style="1099" bestFit="1" customWidth="1"/>
    <col min="9995" max="10240" width="8.85546875" style="1099"/>
    <col min="10241" max="10241" width="11.5703125" style="1099" bestFit="1" customWidth="1"/>
    <col min="10242" max="10242" width="12.5703125" style="1099" customWidth="1"/>
    <col min="10243" max="10243" width="10.28515625" style="1099" customWidth="1"/>
    <col min="10244" max="10244" width="14.7109375" style="1099" customWidth="1"/>
    <col min="10245" max="10245" width="13.28515625" style="1099" bestFit="1" customWidth="1"/>
    <col min="10246" max="10246" width="4.85546875" style="1099" customWidth="1"/>
    <col min="10247" max="10247" width="11.7109375" style="1099" customWidth="1"/>
    <col min="10248" max="10248" width="12" style="1099" customWidth="1"/>
    <col min="10249" max="10249" width="9.7109375" style="1099" customWidth="1"/>
    <col min="10250" max="10250" width="13.7109375" style="1099" bestFit="1" customWidth="1"/>
    <col min="10251" max="10496" width="8.85546875" style="1099"/>
    <col min="10497" max="10497" width="11.5703125" style="1099" bestFit="1" customWidth="1"/>
    <col min="10498" max="10498" width="12.5703125" style="1099" customWidth="1"/>
    <col min="10499" max="10499" width="10.28515625" style="1099" customWidth="1"/>
    <col min="10500" max="10500" width="14.7109375" style="1099" customWidth="1"/>
    <col min="10501" max="10501" width="13.28515625" style="1099" bestFit="1" customWidth="1"/>
    <col min="10502" max="10502" width="4.85546875" style="1099" customWidth="1"/>
    <col min="10503" max="10503" width="11.7109375" style="1099" customWidth="1"/>
    <col min="10504" max="10504" width="12" style="1099" customWidth="1"/>
    <col min="10505" max="10505" width="9.7109375" style="1099" customWidth="1"/>
    <col min="10506" max="10506" width="13.7109375" style="1099" bestFit="1" customWidth="1"/>
    <col min="10507" max="10752" width="8.85546875" style="1099"/>
    <col min="10753" max="10753" width="11.5703125" style="1099" bestFit="1" customWidth="1"/>
    <col min="10754" max="10754" width="12.5703125" style="1099" customWidth="1"/>
    <col min="10755" max="10755" width="10.28515625" style="1099" customWidth="1"/>
    <col min="10756" max="10756" width="14.7109375" style="1099" customWidth="1"/>
    <col min="10757" max="10757" width="13.28515625" style="1099" bestFit="1" customWidth="1"/>
    <col min="10758" max="10758" width="4.85546875" style="1099" customWidth="1"/>
    <col min="10759" max="10759" width="11.7109375" style="1099" customWidth="1"/>
    <col min="10760" max="10760" width="12" style="1099" customWidth="1"/>
    <col min="10761" max="10761" width="9.7109375" style="1099" customWidth="1"/>
    <col min="10762" max="10762" width="13.7109375" style="1099" bestFit="1" customWidth="1"/>
    <col min="10763" max="11008" width="8.85546875" style="1099"/>
    <col min="11009" max="11009" width="11.5703125" style="1099" bestFit="1" customWidth="1"/>
    <col min="11010" max="11010" width="12.5703125" style="1099" customWidth="1"/>
    <col min="11011" max="11011" width="10.28515625" style="1099" customWidth="1"/>
    <col min="11012" max="11012" width="14.7109375" style="1099" customWidth="1"/>
    <col min="11013" max="11013" width="13.28515625" style="1099" bestFit="1" customWidth="1"/>
    <col min="11014" max="11014" width="4.85546875" style="1099" customWidth="1"/>
    <col min="11015" max="11015" width="11.7109375" style="1099" customWidth="1"/>
    <col min="11016" max="11016" width="12" style="1099" customWidth="1"/>
    <col min="11017" max="11017" width="9.7109375" style="1099" customWidth="1"/>
    <col min="11018" max="11018" width="13.7109375" style="1099" bestFit="1" customWidth="1"/>
    <col min="11019" max="11264" width="8.85546875" style="1099"/>
    <col min="11265" max="11265" width="11.5703125" style="1099" bestFit="1" customWidth="1"/>
    <col min="11266" max="11266" width="12.5703125" style="1099" customWidth="1"/>
    <col min="11267" max="11267" width="10.28515625" style="1099" customWidth="1"/>
    <col min="11268" max="11268" width="14.7109375" style="1099" customWidth="1"/>
    <col min="11269" max="11269" width="13.28515625" style="1099" bestFit="1" customWidth="1"/>
    <col min="11270" max="11270" width="4.85546875" style="1099" customWidth="1"/>
    <col min="11271" max="11271" width="11.7109375" style="1099" customWidth="1"/>
    <col min="11272" max="11272" width="12" style="1099" customWidth="1"/>
    <col min="11273" max="11273" width="9.7109375" style="1099" customWidth="1"/>
    <col min="11274" max="11274" width="13.7109375" style="1099" bestFit="1" customWidth="1"/>
    <col min="11275" max="11520" width="8.85546875" style="1099"/>
    <col min="11521" max="11521" width="11.5703125" style="1099" bestFit="1" customWidth="1"/>
    <col min="11522" max="11522" width="12.5703125" style="1099" customWidth="1"/>
    <col min="11523" max="11523" width="10.28515625" style="1099" customWidth="1"/>
    <col min="11524" max="11524" width="14.7109375" style="1099" customWidth="1"/>
    <col min="11525" max="11525" width="13.28515625" style="1099" bestFit="1" customWidth="1"/>
    <col min="11526" max="11526" width="4.85546875" style="1099" customWidth="1"/>
    <col min="11527" max="11527" width="11.7109375" style="1099" customWidth="1"/>
    <col min="11528" max="11528" width="12" style="1099" customWidth="1"/>
    <col min="11529" max="11529" width="9.7109375" style="1099" customWidth="1"/>
    <col min="11530" max="11530" width="13.7109375" style="1099" bestFit="1" customWidth="1"/>
    <col min="11531" max="11776" width="8.85546875" style="1099"/>
    <col min="11777" max="11777" width="11.5703125" style="1099" bestFit="1" customWidth="1"/>
    <col min="11778" max="11778" width="12.5703125" style="1099" customWidth="1"/>
    <col min="11779" max="11779" width="10.28515625" style="1099" customWidth="1"/>
    <col min="11780" max="11780" width="14.7109375" style="1099" customWidth="1"/>
    <col min="11781" max="11781" width="13.28515625" style="1099" bestFit="1" customWidth="1"/>
    <col min="11782" max="11782" width="4.85546875" style="1099" customWidth="1"/>
    <col min="11783" max="11783" width="11.7109375" style="1099" customWidth="1"/>
    <col min="11784" max="11784" width="12" style="1099" customWidth="1"/>
    <col min="11785" max="11785" width="9.7109375" style="1099" customWidth="1"/>
    <col min="11786" max="11786" width="13.7109375" style="1099" bestFit="1" customWidth="1"/>
    <col min="11787" max="12032" width="8.85546875" style="1099"/>
    <col min="12033" max="12033" width="11.5703125" style="1099" bestFit="1" customWidth="1"/>
    <col min="12034" max="12034" width="12.5703125" style="1099" customWidth="1"/>
    <col min="12035" max="12035" width="10.28515625" style="1099" customWidth="1"/>
    <col min="12036" max="12036" width="14.7109375" style="1099" customWidth="1"/>
    <col min="12037" max="12037" width="13.28515625" style="1099" bestFit="1" customWidth="1"/>
    <col min="12038" max="12038" width="4.85546875" style="1099" customWidth="1"/>
    <col min="12039" max="12039" width="11.7109375" style="1099" customWidth="1"/>
    <col min="12040" max="12040" width="12" style="1099" customWidth="1"/>
    <col min="12041" max="12041" width="9.7109375" style="1099" customWidth="1"/>
    <col min="12042" max="12042" width="13.7109375" style="1099" bestFit="1" customWidth="1"/>
    <col min="12043" max="12288" width="8.85546875" style="1099"/>
    <col min="12289" max="12289" width="11.5703125" style="1099" bestFit="1" customWidth="1"/>
    <col min="12290" max="12290" width="12.5703125" style="1099" customWidth="1"/>
    <col min="12291" max="12291" width="10.28515625" style="1099" customWidth="1"/>
    <col min="12292" max="12292" width="14.7109375" style="1099" customWidth="1"/>
    <col min="12293" max="12293" width="13.28515625" style="1099" bestFit="1" customWidth="1"/>
    <col min="12294" max="12294" width="4.85546875" style="1099" customWidth="1"/>
    <col min="12295" max="12295" width="11.7109375" style="1099" customWidth="1"/>
    <col min="12296" max="12296" width="12" style="1099" customWidth="1"/>
    <col min="12297" max="12297" width="9.7109375" style="1099" customWidth="1"/>
    <col min="12298" max="12298" width="13.7109375" style="1099" bestFit="1" customWidth="1"/>
    <col min="12299" max="12544" width="8.85546875" style="1099"/>
    <col min="12545" max="12545" width="11.5703125" style="1099" bestFit="1" customWidth="1"/>
    <col min="12546" max="12546" width="12.5703125" style="1099" customWidth="1"/>
    <col min="12547" max="12547" width="10.28515625" style="1099" customWidth="1"/>
    <col min="12548" max="12548" width="14.7109375" style="1099" customWidth="1"/>
    <col min="12549" max="12549" width="13.28515625" style="1099" bestFit="1" customWidth="1"/>
    <col min="12550" max="12550" width="4.85546875" style="1099" customWidth="1"/>
    <col min="12551" max="12551" width="11.7109375" style="1099" customWidth="1"/>
    <col min="12552" max="12552" width="12" style="1099" customWidth="1"/>
    <col min="12553" max="12553" width="9.7109375" style="1099" customWidth="1"/>
    <col min="12554" max="12554" width="13.7109375" style="1099" bestFit="1" customWidth="1"/>
    <col min="12555" max="12800" width="8.85546875" style="1099"/>
    <col min="12801" max="12801" width="11.5703125" style="1099" bestFit="1" customWidth="1"/>
    <col min="12802" max="12802" width="12.5703125" style="1099" customWidth="1"/>
    <col min="12803" max="12803" width="10.28515625" style="1099" customWidth="1"/>
    <col min="12804" max="12804" width="14.7109375" style="1099" customWidth="1"/>
    <col min="12805" max="12805" width="13.28515625" style="1099" bestFit="1" customWidth="1"/>
    <col min="12806" max="12806" width="4.85546875" style="1099" customWidth="1"/>
    <col min="12807" max="12807" width="11.7109375" style="1099" customWidth="1"/>
    <col min="12808" max="12808" width="12" style="1099" customWidth="1"/>
    <col min="12809" max="12809" width="9.7109375" style="1099" customWidth="1"/>
    <col min="12810" max="12810" width="13.7109375" style="1099" bestFit="1" customWidth="1"/>
    <col min="12811" max="13056" width="8.85546875" style="1099"/>
    <col min="13057" max="13057" width="11.5703125" style="1099" bestFit="1" customWidth="1"/>
    <col min="13058" max="13058" width="12.5703125" style="1099" customWidth="1"/>
    <col min="13059" max="13059" width="10.28515625" style="1099" customWidth="1"/>
    <col min="13060" max="13060" width="14.7109375" style="1099" customWidth="1"/>
    <col min="13061" max="13061" width="13.28515625" style="1099" bestFit="1" customWidth="1"/>
    <col min="13062" max="13062" width="4.85546875" style="1099" customWidth="1"/>
    <col min="13063" max="13063" width="11.7109375" style="1099" customWidth="1"/>
    <col min="13064" max="13064" width="12" style="1099" customWidth="1"/>
    <col min="13065" max="13065" width="9.7109375" style="1099" customWidth="1"/>
    <col min="13066" max="13066" width="13.7109375" style="1099" bestFit="1" customWidth="1"/>
    <col min="13067" max="13312" width="8.85546875" style="1099"/>
    <col min="13313" max="13313" width="11.5703125" style="1099" bestFit="1" customWidth="1"/>
    <col min="13314" max="13314" width="12.5703125" style="1099" customWidth="1"/>
    <col min="13315" max="13315" width="10.28515625" style="1099" customWidth="1"/>
    <col min="13316" max="13316" width="14.7109375" style="1099" customWidth="1"/>
    <col min="13317" max="13317" width="13.28515625" style="1099" bestFit="1" customWidth="1"/>
    <col min="13318" max="13318" width="4.85546875" style="1099" customWidth="1"/>
    <col min="13319" max="13319" width="11.7109375" style="1099" customWidth="1"/>
    <col min="13320" max="13320" width="12" style="1099" customWidth="1"/>
    <col min="13321" max="13321" width="9.7109375" style="1099" customWidth="1"/>
    <col min="13322" max="13322" width="13.7109375" style="1099" bestFit="1" customWidth="1"/>
    <col min="13323" max="13568" width="8.85546875" style="1099"/>
    <col min="13569" max="13569" width="11.5703125" style="1099" bestFit="1" customWidth="1"/>
    <col min="13570" max="13570" width="12.5703125" style="1099" customWidth="1"/>
    <col min="13571" max="13571" width="10.28515625" style="1099" customWidth="1"/>
    <col min="13572" max="13572" width="14.7109375" style="1099" customWidth="1"/>
    <col min="13573" max="13573" width="13.28515625" style="1099" bestFit="1" customWidth="1"/>
    <col min="13574" max="13574" width="4.85546875" style="1099" customWidth="1"/>
    <col min="13575" max="13575" width="11.7109375" style="1099" customWidth="1"/>
    <col min="13576" max="13576" width="12" style="1099" customWidth="1"/>
    <col min="13577" max="13577" width="9.7109375" style="1099" customWidth="1"/>
    <col min="13578" max="13578" width="13.7109375" style="1099" bestFit="1" customWidth="1"/>
    <col min="13579" max="13824" width="8.85546875" style="1099"/>
    <col min="13825" max="13825" width="11.5703125" style="1099" bestFit="1" customWidth="1"/>
    <col min="13826" max="13826" width="12.5703125" style="1099" customWidth="1"/>
    <col min="13827" max="13827" width="10.28515625" style="1099" customWidth="1"/>
    <col min="13828" max="13828" width="14.7109375" style="1099" customWidth="1"/>
    <col min="13829" max="13829" width="13.28515625" style="1099" bestFit="1" customWidth="1"/>
    <col min="13830" max="13830" width="4.85546875" style="1099" customWidth="1"/>
    <col min="13831" max="13831" width="11.7109375" style="1099" customWidth="1"/>
    <col min="13832" max="13832" width="12" style="1099" customWidth="1"/>
    <col min="13833" max="13833" width="9.7109375" style="1099" customWidth="1"/>
    <col min="13834" max="13834" width="13.7109375" style="1099" bestFit="1" customWidth="1"/>
    <col min="13835" max="14080" width="8.85546875" style="1099"/>
    <col min="14081" max="14081" width="11.5703125" style="1099" bestFit="1" customWidth="1"/>
    <col min="14082" max="14082" width="12.5703125" style="1099" customWidth="1"/>
    <col min="14083" max="14083" width="10.28515625" style="1099" customWidth="1"/>
    <col min="14084" max="14084" width="14.7109375" style="1099" customWidth="1"/>
    <col min="14085" max="14085" width="13.28515625" style="1099" bestFit="1" customWidth="1"/>
    <col min="14086" max="14086" width="4.85546875" style="1099" customWidth="1"/>
    <col min="14087" max="14087" width="11.7109375" style="1099" customWidth="1"/>
    <col min="14088" max="14088" width="12" style="1099" customWidth="1"/>
    <col min="14089" max="14089" width="9.7109375" style="1099" customWidth="1"/>
    <col min="14090" max="14090" width="13.7109375" style="1099" bestFit="1" customWidth="1"/>
    <col min="14091" max="14336" width="8.85546875" style="1099"/>
    <col min="14337" max="14337" width="11.5703125" style="1099" bestFit="1" customWidth="1"/>
    <col min="14338" max="14338" width="12.5703125" style="1099" customWidth="1"/>
    <col min="14339" max="14339" width="10.28515625" style="1099" customWidth="1"/>
    <col min="14340" max="14340" width="14.7109375" style="1099" customWidth="1"/>
    <col min="14341" max="14341" width="13.28515625" style="1099" bestFit="1" customWidth="1"/>
    <col min="14342" max="14342" width="4.85546875" style="1099" customWidth="1"/>
    <col min="14343" max="14343" width="11.7109375" style="1099" customWidth="1"/>
    <col min="14344" max="14344" width="12" style="1099" customWidth="1"/>
    <col min="14345" max="14345" width="9.7109375" style="1099" customWidth="1"/>
    <col min="14346" max="14346" width="13.7109375" style="1099" bestFit="1" customWidth="1"/>
    <col min="14347" max="14592" width="8.85546875" style="1099"/>
    <col min="14593" max="14593" width="11.5703125" style="1099" bestFit="1" customWidth="1"/>
    <col min="14594" max="14594" width="12.5703125" style="1099" customWidth="1"/>
    <col min="14595" max="14595" width="10.28515625" style="1099" customWidth="1"/>
    <col min="14596" max="14596" width="14.7109375" style="1099" customWidth="1"/>
    <col min="14597" max="14597" width="13.28515625" style="1099" bestFit="1" customWidth="1"/>
    <col min="14598" max="14598" width="4.85546875" style="1099" customWidth="1"/>
    <col min="14599" max="14599" width="11.7109375" style="1099" customWidth="1"/>
    <col min="14600" max="14600" width="12" style="1099" customWidth="1"/>
    <col min="14601" max="14601" width="9.7109375" style="1099" customWidth="1"/>
    <col min="14602" max="14602" width="13.7109375" style="1099" bestFit="1" customWidth="1"/>
    <col min="14603" max="14848" width="8.85546875" style="1099"/>
    <col min="14849" max="14849" width="11.5703125" style="1099" bestFit="1" customWidth="1"/>
    <col min="14850" max="14850" width="12.5703125" style="1099" customWidth="1"/>
    <col min="14851" max="14851" width="10.28515625" style="1099" customWidth="1"/>
    <col min="14852" max="14852" width="14.7109375" style="1099" customWidth="1"/>
    <col min="14853" max="14853" width="13.28515625" style="1099" bestFit="1" customWidth="1"/>
    <col min="14854" max="14854" width="4.85546875" style="1099" customWidth="1"/>
    <col min="14855" max="14855" width="11.7109375" style="1099" customWidth="1"/>
    <col min="14856" max="14856" width="12" style="1099" customWidth="1"/>
    <col min="14857" max="14857" width="9.7109375" style="1099" customWidth="1"/>
    <col min="14858" max="14858" width="13.7109375" style="1099" bestFit="1" customWidth="1"/>
    <col min="14859" max="15104" width="8.85546875" style="1099"/>
    <col min="15105" max="15105" width="11.5703125" style="1099" bestFit="1" customWidth="1"/>
    <col min="15106" max="15106" width="12.5703125" style="1099" customWidth="1"/>
    <col min="15107" max="15107" width="10.28515625" style="1099" customWidth="1"/>
    <col min="15108" max="15108" width="14.7109375" style="1099" customWidth="1"/>
    <col min="15109" max="15109" width="13.28515625" style="1099" bestFit="1" customWidth="1"/>
    <col min="15110" max="15110" width="4.85546875" style="1099" customWidth="1"/>
    <col min="15111" max="15111" width="11.7109375" style="1099" customWidth="1"/>
    <col min="15112" max="15112" width="12" style="1099" customWidth="1"/>
    <col min="15113" max="15113" width="9.7109375" style="1099" customWidth="1"/>
    <col min="15114" max="15114" width="13.7109375" style="1099" bestFit="1" customWidth="1"/>
    <col min="15115" max="15360" width="8.85546875" style="1099"/>
    <col min="15361" max="15361" width="11.5703125" style="1099" bestFit="1" customWidth="1"/>
    <col min="15362" max="15362" width="12.5703125" style="1099" customWidth="1"/>
    <col min="15363" max="15363" width="10.28515625" style="1099" customWidth="1"/>
    <col min="15364" max="15364" width="14.7109375" style="1099" customWidth="1"/>
    <col min="15365" max="15365" width="13.28515625" style="1099" bestFit="1" customWidth="1"/>
    <col min="15366" max="15366" width="4.85546875" style="1099" customWidth="1"/>
    <col min="15367" max="15367" width="11.7109375" style="1099" customWidth="1"/>
    <col min="15368" max="15368" width="12" style="1099" customWidth="1"/>
    <col min="15369" max="15369" width="9.7109375" style="1099" customWidth="1"/>
    <col min="15370" max="15370" width="13.7109375" style="1099" bestFit="1" customWidth="1"/>
    <col min="15371" max="15616" width="8.85546875" style="1099"/>
    <col min="15617" max="15617" width="11.5703125" style="1099" bestFit="1" customWidth="1"/>
    <col min="15618" max="15618" width="12.5703125" style="1099" customWidth="1"/>
    <col min="15619" max="15619" width="10.28515625" style="1099" customWidth="1"/>
    <col min="15620" max="15620" width="14.7109375" style="1099" customWidth="1"/>
    <col min="15621" max="15621" width="13.28515625" style="1099" bestFit="1" customWidth="1"/>
    <col min="15622" max="15622" width="4.85546875" style="1099" customWidth="1"/>
    <col min="15623" max="15623" width="11.7109375" style="1099" customWidth="1"/>
    <col min="15624" max="15624" width="12" style="1099" customWidth="1"/>
    <col min="15625" max="15625" width="9.7109375" style="1099" customWidth="1"/>
    <col min="15626" max="15626" width="13.7109375" style="1099" bestFit="1" customWidth="1"/>
    <col min="15627" max="15872" width="8.85546875" style="1099"/>
    <col min="15873" max="15873" width="11.5703125" style="1099" bestFit="1" customWidth="1"/>
    <col min="15874" max="15874" width="12.5703125" style="1099" customWidth="1"/>
    <col min="15875" max="15875" width="10.28515625" style="1099" customWidth="1"/>
    <col min="15876" max="15876" width="14.7109375" style="1099" customWidth="1"/>
    <col min="15877" max="15877" width="13.28515625" style="1099" bestFit="1" customWidth="1"/>
    <col min="15878" max="15878" width="4.85546875" style="1099" customWidth="1"/>
    <col min="15879" max="15879" width="11.7109375" style="1099" customWidth="1"/>
    <col min="15880" max="15880" width="12" style="1099" customWidth="1"/>
    <col min="15881" max="15881" width="9.7109375" style="1099" customWidth="1"/>
    <col min="15882" max="15882" width="13.7109375" style="1099" bestFit="1" customWidth="1"/>
    <col min="15883" max="16128" width="8.85546875" style="1099"/>
    <col min="16129" max="16129" width="11.5703125" style="1099" bestFit="1" customWidth="1"/>
    <col min="16130" max="16130" width="12.5703125" style="1099" customWidth="1"/>
    <col min="16131" max="16131" width="10.28515625" style="1099" customWidth="1"/>
    <col min="16132" max="16132" width="14.7109375" style="1099" customWidth="1"/>
    <col min="16133" max="16133" width="13.28515625" style="1099" bestFit="1" customWidth="1"/>
    <col min="16134" max="16134" width="4.85546875" style="1099" customWidth="1"/>
    <col min="16135" max="16135" width="11.7109375" style="1099" customWidth="1"/>
    <col min="16136" max="16136" width="12" style="1099" customWidth="1"/>
    <col min="16137" max="16137" width="9.7109375" style="1099" customWidth="1"/>
    <col min="16138" max="16138" width="13.7109375" style="1099" bestFit="1" customWidth="1"/>
    <col min="16139" max="16384" width="8.85546875" style="1099"/>
  </cols>
  <sheetData>
    <row r="1" spans="1:11" ht="23.25">
      <c r="A1" s="2780" t="s">
        <v>3388</v>
      </c>
      <c r="B1" s="2780"/>
      <c r="C1" s="2780"/>
      <c r="D1" s="2780"/>
      <c r="E1" s="2780"/>
      <c r="F1" s="2780"/>
      <c r="G1" s="2780"/>
      <c r="H1" s="2780"/>
      <c r="I1" s="2780"/>
      <c r="J1" s="2780"/>
      <c r="K1" s="2780"/>
    </row>
    <row r="2" spans="1:11" ht="15">
      <c r="A2" s="1100" t="str">
        <f>Overview!E8</f>
        <v>2016-508</v>
      </c>
      <c r="B2" s="1100" t="str">
        <f>Overview!C8</f>
        <v>Gateway Capitol View</v>
      </c>
      <c r="C2" s="1101"/>
    </row>
    <row r="3" spans="1:11" ht="12.6" customHeight="1">
      <c r="A3" s="1101"/>
      <c r="B3" s="1101"/>
      <c r="C3" s="1101"/>
    </row>
    <row r="4" spans="1:11" ht="18">
      <c r="A4" s="1102" t="s">
        <v>4076</v>
      </c>
      <c r="B4" s="1101"/>
      <c r="C4" s="1101"/>
    </row>
    <row r="5" spans="1:11" s="1054" customFormat="1" ht="17.25" customHeight="1">
      <c r="C5" s="2783" t="s">
        <v>4060</v>
      </c>
      <c r="D5" s="2784"/>
      <c r="E5" s="2785"/>
      <c r="F5" s="771"/>
      <c r="G5" s="2783" t="s">
        <v>4061</v>
      </c>
      <c r="H5" s="2784"/>
      <c r="I5" s="2785"/>
      <c r="J5" s="1099"/>
      <c r="K5" s="1103" t="s">
        <v>4065</v>
      </c>
    </row>
    <row r="6" spans="1:11" s="1105" customFormat="1" ht="15" customHeight="1">
      <c r="A6" s="1104" t="s">
        <v>2844</v>
      </c>
      <c r="C6" s="1106" t="s">
        <v>4056</v>
      </c>
      <c r="D6" s="1106" t="s">
        <v>3389</v>
      </c>
      <c r="E6" s="1106" t="s">
        <v>2076</v>
      </c>
      <c r="G6" s="1106" t="s">
        <v>4057</v>
      </c>
      <c r="H6" s="1106" t="s">
        <v>3389</v>
      </c>
      <c r="I6" s="1106" t="s">
        <v>2076</v>
      </c>
      <c r="K6" s="1107" t="s">
        <v>3392</v>
      </c>
    </row>
    <row r="7" spans="1:11" s="771" customFormat="1" ht="13.5" customHeight="1">
      <c r="A7" s="771" t="s">
        <v>3390</v>
      </c>
      <c r="C7" s="1108">
        <f>'DCA Underwriting Assumptions'!$J$54</f>
        <v>110481</v>
      </c>
      <c r="D7" s="1109" t="e">
        <f>#REF!</f>
        <v>#REF!</v>
      </c>
      <c r="E7" s="1110" t="e">
        <f>C7*D7</f>
        <v>#REF!</v>
      </c>
      <c r="G7" s="1108">
        <f>'DCA Underwriting Assumptions'!$J$54</f>
        <v>110481</v>
      </c>
      <c r="H7" s="1109" t="e">
        <f>#REF!</f>
        <v>#REF!</v>
      </c>
      <c r="I7" s="1110" t="e">
        <f>G7*H7</f>
        <v>#REF!</v>
      </c>
      <c r="K7" s="1111">
        <f>'Part VIII-Threshold Criteria'!$P$53</f>
        <v>0</v>
      </c>
    </row>
    <row r="8" spans="1:11" s="771" customFormat="1" ht="13.5" customHeight="1">
      <c r="A8" s="771" t="s">
        <v>2842</v>
      </c>
      <c r="C8" s="1108">
        <f>'DCA Underwriting Assumptions'!$K$54</f>
        <v>126647</v>
      </c>
      <c r="D8" s="1109" t="e">
        <f>#REF!</f>
        <v>#REF!</v>
      </c>
      <c r="E8" s="1110" t="e">
        <f>C8*D8</f>
        <v>#REF!</v>
      </c>
      <c r="G8" s="1108">
        <f>'DCA Underwriting Assumptions'!$K$54</f>
        <v>126647</v>
      </c>
      <c r="H8" s="1109" t="e">
        <f>#REF!</f>
        <v>#REF!</v>
      </c>
      <c r="I8" s="1110" t="e">
        <f>G8*H8</f>
        <v>#REF!</v>
      </c>
      <c r="K8" s="1107" t="s">
        <v>4058</v>
      </c>
    </row>
    <row r="9" spans="1:11" s="771" customFormat="1" ht="13.5" customHeight="1">
      <c r="A9" s="771" t="s">
        <v>2843</v>
      </c>
      <c r="C9" s="1108">
        <f>'DCA Underwriting Assumptions'!$L$54</f>
        <v>154003</v>
      </c>
      <c r="D9" s="1109" t="e">
        <f>#REF!</f>
        <v>#REF!</v>
      </c>
      <c r="E9" s="1110" t="e">
        <f>C9*D9</f>
        <v>#REF!</v>
      </c>
      <c r="G9" s="1108">
        <f>'DCA Underwriting Assumptions'!$L$54</f>
        <v>154003</v>
      </c>
      <c r="H9" s="1109" t="e">
        <f>#REF!</f>
        <v>#REF!</v>
      </c>
      <c r="I9" s="1110" t="e">
        <f>G9*H9</f>
        <v>#REF!</v>
      </c>
      <c r="K9" s="1111">
        <f>'Part IV-Uses of Funds'!$G$131</f>
        <v>23748176.5</v>
      </c>
    </row>
    <row r="10" spans="1:11" s="771" customFormat="1" ht="13.5" customHeight="1">
      <c r="A10" s="771" t="s">
        <v>2846</v>
      </c>
      <c r="C10" s="1108">
        <f>'DCA Underwriting Assumptions'!$M$54</f>
        <v>199229</v>
      </c>
      <c r="D10" s="1109" t="e">
        <f>#REF!</f>
        <v>#REF!</v>
      </c>
      <c r="E10" s="1110" t="e">
        <f>C10*D10</f>
        <v>#REF!</v>
      </c>
      <c r="G10" s="1108">
        <f>'DCA Underwriting Assumptions'!$M$54</f>
        <v>199229</v>
      </c>
      <c r="H10" s="1109" t="e">
        <f>#REF!</f>
        <v>#REF!</v>
      </c>
      <c r="I10" s="1110" t="e">
        <f>G10*H10</f>
        <v>#REF!</v>
      </c>
      <c r="K10" s="1107" t="s">
        <v>4059</v>
      </c>
    </row>
    <row r="11" spans="1:11" s="771" customFormat="1" ht="13.5" customHeight="1">
      <c r="A11" s="1112" t="s">
        <v>4055</v>
      </c>
      <c r="C11" s="1113">
        <f>'DCA Underwriting Assumptions'!$N$54</f>
        <v>199229</v>
      </c>
      <c r="D11" s="1114" t="e">
        <f>#REF!</f>
        <v>#REF!</v>
      </c>
      <c r="E11" s="1115" t="e">
        <f>C11*D11</f>
        <v>#REF!</v>
      </c>
      <c r="G11" s="1113">
        <f>'DCA Underwriting Assumptions'!$N$54</f>
        <v>199229</v>
      </c>
      <c r="H11" s="1114" t="e">
        <f>#REF!</f>
        <v>#REF!</v>
      </c>
      <c r="I11" s="1115" t="e">
        <f>G11*H11</f>
        <v>#REF!</v>
      </c>
      <c r="K11" s="2786" t="s">
        <v>4066</v>
      </c>
    </row>
    <row r="12" spans="1:11" ht="13.5" customHeight="1" thickBot="1">
      <c r="A12" s="1116" t="s">
        <v>4021</v>
      </c>
      <c r="D12" s="1117" t="e">
        <f>SUM(D7:D11)</f>
        <v>#REF!</v>
      </c>
      <c r="E12" s="1118"/>
      <c r="G12" s="1116" t="s">
        <v>1869</v>
      </c>
      <c r="H12" s="1117" t="e">
        <f>SUM(H7:H11)</f>
        <v>#REF!</v>
      </c>
      <c r="I12" s="1118"/>
      <c r="K12" s="2787"/>
    </row>
    <row r="13" spans="1:11" s="771" customFormat="1" ht="13.5" customHeight="1" thickBot="1">
      <c r="A13" s="1116" t="s">
        <v>3391</v>
      </c>
      <c r="B13" s="1119"/>
      <c r="E13" s="1120" t="e">
        <f>SUM(E7:E11)</f>
        <v>#REF!</v>
      </c>
      <c r="G13" s="1116" t="s">
        <v>3645</v>
      </c>
      <c r="H13" s="1119"/>
      <c r="I13" s="1121" t="e">
        <f>SUM(I7:I11)</f>
        <v>#REF!</v>
      </c>
      <c r="K13" s="1111">
        <f>'Part VIII-Threshold Criteria'!$P$65</f>
        <v>26262265</v>
      </c>
    </row>
    <row r="14" spans="1:11" ht="11.25" customHeight="1">
      <c r="G14" s="1122" t="s">
        <v>4062</v>
      </c>
    </row>
    <row r="15" spans="1:11" s="771" customFormat="1" ht="13.5" customHeight="1"/>
    <row r="16" spans="1:11" ht="16.5" customHeight="1">
      <c r="A16" s="1102" t="s">
        <v>4077</v>
      </c>
    </row>
    <row r="17" spans="1:11" ht="6" customHeight="1"/>
    <row r="18" spans="1:11" s="771" customFormat="1" ht="13.5" customHeight="1">
      <c r="A18" s="771" t="s">
        <v>4064</v>
      </c>
      <c r="E18" s="1123" t="s">
        <v>3643</v>
      </c>
      <c r="K18" s="1124" t="e">
        <f>Overview!D13</f>
        <v>#REF!</v>
      </c>
    </row>
    <row r="19" spans="1:11" s="771" customFormat="1" ht="13.5" customHeight="1">
      <c r="A19" s="771" t="s">
        <v>3393</v>
      </c>
      <c r="K19" s="946" t="e">
        <f>Overview!C13</f>
        <v>#REF!</v>
      </c>
    </row>
    <row r="20" spans="1:11" ht="3" customHeight="1">
      <c r="A20" s="1125"/>
    </row>
    <row r="21" spans="1:11" s="771" customFormat="1" ht="13.5" customHeight="1">
      <c r="A21" s="771" t="s">
        <v>3394</v>
      </c>
      <c r="E21" s="1123" t="s">
        <v>4063</v>
      </c>
      <c r="K21" s="1126" t="e">
        <f>K18/K19</f>
        <v>#REF!</v>
      </c>
    </row>
    <row r="22" spans="1:11" ht="9" customHeight="1"/>
    <row r="23" spans="1:11" s="771" customFormat="1" ht="13.5" customHeight="1">
      <c r="A23" s="771" t="s">
        <v>4020</v>
      </c>
      <c r="C23" s="1127"/>
      <c r="E23" s="1123" t="s">
        <v>3397</v>
      </c>
      <c r="K23" s="946">
        <f>K9</f>
        <v>23748176.5</v>
      </c>
    </row>
    <row r="24" spans="1:11" s="771" customFormat="1" ht="13.5" customHeight="1">
      <c r="A24" s="1128" t="s">
        <v>1836</v>
      </c>
      <c r="K24" s="1111">
        <f>'Part IV-Uses of Funds'!$G$121</f>
        <v>617423</v>
      </c>
    </row>
    <row r="25" spans="1:11" s="771" customFormat="1" ht="13.5" customHeight="1">
      <c r="A25" s="1128" t="s">
        <v>3398</v>
      </c>
      <c r="K25" s="1129">
        <v>0</v>
      </c>
    </row>
    <row r="26" spans="1:11" s="771" customFormat="1" ht="13.5" customHeight="1">
      <c r="A26" s="1128" t="s">
        <v>3398</v>
      </c>
      <c r="K26" s="1129">
        <v>0</v>
      </c>
    </row>
    <row r="27" spans="1:11" ht="3" customHeight="1">
      <c r="A27" s="1130"/>
      <c r="K27" s="1131">
        <v>0</v>
      </c>
    </row>
    <row r="28" spans="1:11" s="1119" customFormat="1" ht="13.5" customHeight="1">
      <c r="A28" s="1119" t="s">
        <v>3399</v>
      </c>
      <c r="K28" s="1132">
        <f>K23-SUM(K24:K27)</f>
        <v>23130753.5</v>
      </c>
    </row>
    <row r="29" spans="1:11" ht="9" customHeight="1">
      <c r="A29" s="1125"/>
      <c r="K29" s="1133"/>
    </row>
    <row r="30" spans="1:11" s="771" customFormat="1" ht="15" customHeight="1">
      <c r="A30" s="1119" t="s">
        <v>3400</v>
      </c>
      <c r="E30" s="1123" t="s">
        <v>4071</v>
      </c>
      <c r="F30" s="1134"/>
      <c r="G30" s="1134"/>
      <c r="H30" s="1134"/>
      <c r="I30" s="1134"/>
      <c r="K30" s="1135" t="e">
        <f>K21*K28</f>
        <v>#REF!</v>
      </c>
    </row>
    <row r="31" spans="1:11" ht="27.75" customHeight="1">
      <c r="K31" s="1133"/>
    </row>
    <row r="32" spans="1:11" s="771" customFormat="1" ht="16.5" customHeight="1">
      <c r="A32" s="1136" t="s">
        <v>4078</v>
      </c>
      <c r="B32" s="1119"/>
      <c r="C32" s="1119"/>
      <c r="D32" s="1119"/>
      <c r="E32" s="1123"/>
    </row>
    <row r="33" spans="1:11" ht="6" customHeight="1" thickBot="1"/>
    <row r="34" spans="1:11" s="771" customFormat="1" ht="24" customHeight="1" thickBot="1">
      <c r="A34" s="1137" t="s">
        <v>4074</v>
      </c>
      <c r="B34" s="1119"/>
      <c r="C34" s="1119"/>
      <c r="D34" s="1119"/>
      <c r="E34" s="1123" t="s">
        <v>4072</v>
      </c>
      <c r="K34" s="1138" t="e">
        <f>MIN(E13,K30)</f>
        <v>#REF!</v>
      </c>
    </row>
    <row r="35" spans="1:11" ht="6" customHeight="1"/>
    <row r="36" spans="1:11" s="771" customFormat="1" ht="15" customHeight="1">
      <c r="A36" s="1119" t="s">
        <v>4075</v>
      </c>
      <c r="E36" s="1123" t="s">
        <v>4073</v>
      </c>
      <c r="K36" s="1139">
        <f>Overview!C25</f>
        <v>6676515</v>
      </c>
    </row>
    <row r="37" spans="1:11" s="771" customFormat="1" ht="9" customHeight="1" thickBot="1">
      <c r="E37" s="1140"/>
      <c r="F37" s="1140"/>
      <c r="G37" s="1140"/>
      <c r="H37" s="1140"/>
      <c r="K37" s="1141"/>
    </row>
    <row r="38" spans="1:11" s="771" customFormat="1" ht="15.75" customHeight="1">
      <c r="A38" s="2788" t="s">
        <v>4069</v>
      </c>
      <c r="B38" s="2788"/>
      <c r="C38" s="2788"/>
      <c r="D38" s="2791" t="s">
        <v>3395</v>
      </c>
      <c r="E38" s="2791"/>
      <c r="F38" s="2791" t="s">
        <v>3396</v>
      </c>
      <c r="G38" s="2791"/>
      <c r="H38" s="2791"/>
      <c r="I38" s="1142" t="s">
        <v>3070</v>
      </c>
      <c r="K38" s="2781" t="e">
        <f>ROUND((D39/F39)*I39,0)</f>
        <v>#REF!</v>
      </c>
    </row>
    <row r="39" spans="1:11" s="771" customFormat="1" ht="15.75" customHeight="1" thickBot="1">
      <c r="A39" s="2788"/>
      <c r="B39" s="2788"/>
      <c r="C39" s="2788"/>
      <c r="D39" s="2790">
        <f>K36</f>
        <v>6676515</v>
      </c>
      <c r="E39" s="2790"/>
      <c r="F39" s="2789">
        <f>K28</f>
        <v>23130753.5</v>
      </c>
      <c r="G39" s="2789"/>
      <c r="H39" s="2789"/>
      <c r="I39" s="1143" t="e">
        <f>K19</f>
        <v>#REF!</v>
      </c>
      <c r="K39" s="2782"/>
    </row>
    <row r="40" spans="1:11" ht="12.75" customHeight="1">
      <c r="D40" s="1144" t="s">
        <v>4070</v>
      </c>
      <c r="H40" s="1144"/>
      <c r="I40" s="1144"/>
      <c r="K40" s="114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26" customWidth="1"/>
    <col min="2" max="2" width="0.85546875" style="726" customWidth="1"/>
    <col min="3" max="3" width="16.42578125" style="726" customWidth="1"/>
    <col min="4" max="4" width="18.140625" style="726" customWidth="1"/>
    <col min="5" max="5" width="16.42578125" style="726" customWidth="1"/>
    <col min="6" max="6" width="13.140625" style="726" customWidth="1"/>
    <col min="7" max="7" width="14.42578125" style="726" customWidth="1"/>
    <col min="8" max="8" width="5.85546875" style="726" customWidth="1"/>
    <col min="9" max="16384" width="9.140625" style="726"/>
  </cols>
  <sheetData>
    <row r="1" spans="1:13" ht="12" customHeight="1">
      <c r="A1" s="2792" t="str">
        <f>CONCATENATE(Overview!E8,"  ",Overview!C8)</f>
        <v>2016-508  Gateway Capitol View</v>
      </c>
      <c r="B1" s="2792"/>
      <c r="C1" s="2792"/>
      <c r="D1" s="2792"/>
      <c r="E1" s="2792"/>
      <c r="F1" s="2792"/>
      <c r="G1" s="2792"/>
      <c r="H1" s="2792"/>
    </row>
    <row r="3" spans="1:13" ht="12" customHeight="1">
      <c r="A3" s="2793" t="s">
        <v>4024</v>
      </c>
      <c r="B3" s="2793"/>
      <c r="C3" s="2793"/>
      <c r="D3" s="2793"/>
      <c r="E3" s="2793"/>
      <c r="F3" s="2793"/>
      <c r="G3" s="2793"/>
      <c r="H3" s="2793"/>
      <c r="I3" s="755"/>
      <c r="J3" s="728" t="s">
        <v>3401</v>
      </c>
      <c r="K3" s="728"/>
      <c r="L3" s="728"/>
      <c r="M3" s="728"/>
    </row>
    <row r="5" spans="1:13" ht="12" customHeight="1">
      <c r="A5" s="726">
        <v>1</v>
      </c>
      <c r="C5" s="726" t="s">
        <v>3402</v>
      </c>
      <c r="E5" s="756" t="str">
        <f>Overview!H9</f>
        <v>Capital View Senior Residences I LP</v>
      </c>
    </row>
    <row r="6" spans="1:13" ht="3" customHeight="1">
      <c r="H6" s="954"/>
    </row>
    <row r="7" spans="1:13" ht="12" customHeight="1">
      <c r="A7" s="726">
        <v>2</v>
      </c>
      <c r="C7" s="726" t="s">
        <v>3403</v>
      </c>
      <c r="E7" s="756" t="str">
        <f>'Part II-Development Team'!H6</f>
        <v>3715 Northside Pkwy Bldg 200 Ste 175</v>
      </c>
    </row>
    <row r="8" spans="1:13" ht="12" customHeight="1">
      <c r="E8" s="756" t="str">
        <f>+'Part II-Development Team'!H7&amp;","&amp;" "&amp;'Part II-Development Team'!H8&amp;" "&amp;LEFT('Part II-Development Team'!J8,5)</f>
        <v>Atlanta, GA 30327</v>
      </c>
    </row>
    <row r="9" spans="1:13" ht="12" customHeight="1">
      <c r="C9" s="726" t="s">
        <v>3404</v>
      </c>
      <c r="E9" s="2794"/>
      <c r="F9" s="2794"/>
    </row>
    <row r="10" spans="1:13" ht="12" customHeight="1">
      <c r="C10" s="726" t="s">
        <v>3405</v>
      </c>
      <c r="E10" s="756" t="str">
        <f>'Part II-Development Team'!Q5</f>
        <v>Ken Blankenship</v>
      </c>
    </row>
    <row r="11" spans="1:13" ht="12" customHeight="1">
      <c r="C11" s="726" t="s">
        <v>3406</v>
      </c>
      <c r="E11" s="756">
        <f>'Part II-Development Team'!O9</f>
        <v>0</v>
      </c>
    </row>
    <row r="12" spans="1:13" ht="12" customHeight="1">
      <c r="C12" s="726" t="s">
        <v>3407</v>
      </c>
      <c r="E12" s="765">
        <f>'Part II-Development Team'!H9</f>
        <v>4049493873</v>
      </c>
    </row>
    <row r="13" spans="1:13" ht="12" customHeight="1">
      <c r="C13" s="726" t="s">
        <v>3408</v>
      </c>
      <c r="E13" s="765" t="str">
        <f>'Part II-Development Team'!L9</f>
        <v>ken@prestwickcompanies.com</v>
      </c>
    </row>
    <row r="14" spans="1:13" ht="3" customHeight="1"/>
    <row r="15" spans="1:13" ht="12" customHeight="1">
      <c r="A15" s="726">
        <v>3</v>
      </c>
      <c r="C15" s="726" t="s">
        <v>3409</v>
      </c>
      <c r="E15" s="756" t="str">
        <f>Overview!C8</f>
        <v>Gateway Capitol View</v>
      </c>
    </row>
    <row r="16" spans="1:13" ht="12" customHeight="1">
      <c r="C16" s="726" t="s">
        <v>3410</v>
      </c>
      <c r="E16" s="756" t="str">
        <f>'Part I-Project Information'!$F$25</f>
        <v>1374 Murphy Avenue</v>
      </c>
    </row>
    <row r="17" spans="1:8" ht="12" customHeight="1">
      <c r="E17" s="756" t="str">
        <f>+'Part I-Project Information'!$F$28&amp;","&amp;" "&amp;'Part I-Project Information'!$J$29&amp;" "&amp;LEFT('Part I-Project Information'!$J$28,5)</f>
        <v>Atlanta, Fulton 30310</v>
      </c>
    </row>
    <row r="18" spans="1:8" ht="3" customHeight="1"/>
    <row r="19" spans="1:8" ht="12" customHeight="1">
      <c r="A19" s="726">
        <v>4</v>
      </c>
      <c r="C19" s="726" t="s">
        <v>3411</v>
      </c>
      <c r="E19" s="756" t="str">
        <f>'Part II-Development Team'!H92</f>
        <v>LEDIC Management Company</v>
      </c>
    </row>
    <row r="20" spans="1:8" ht="12" customHeight="1">
      <c r="C20" s="726" t="s">
        <v>3412</v>
      </c>
      <c r="E20" s="756" t="str">
        <f>'Part II-Development Team'!H93</f>
        <v>2650 Thousand Oaks Blvd</v>
      </c>
    </row>
    <row r="21" spans="1:8" ht="12" customHeight="1">
      <c r="E21" s="756" t="str">
        <f>+'Part II-Development Team'!H94&amp;","&amp;" "&amp;'Part II-Development Team'!H95&amp;" "&amp;LEFT('Part II-Development Team'!J95,5)</f>
        <v xml:space="preserve">Atlanta, TN </v>
      </c>
    </row>
    <row r="22" spans="1:8" ht="12" customHeight="1">
      <c r="C22" s="726" t="s">
        <v>3407</v>
      </c>
      <c r="E22" s="765">
        <f>'Part II-Development Team'!H96</f>
        <v>9014357720</v>
      </c>
    </row>
    <row r="23" spans="1:8" ht="12" customHeight="1">
      <c r="C23" s="726" t="s">
        <v>3408</v>
      </c>
      <c r="E23" s="765" t="str">
        <f>'Part II-Development Team'!L96</f>
        <v>terri.benskin@ledic.com</v>
      </c>
    </row>
    <row r="24" spans="1:8" ht="12" customHeight="1">
      <c r="C24" s="726" t="s">
        <v>1876</v>
      </c>
      <c r="E24" s="765">
        <f>'Part II-Development Team'!O96</f>
        <v>0</v>
      </c>
    </row>
    <row r="25" spans="1:8" ht="3" customHeight="1">
      <c r="E25" s="756"/>
    </row>
    <row r="26" spans="1:8" ht="12" customHeight="1">
      <c r="A26" s="726">
        <v>5</v>
      </c>
      <c r="C26" s="726" t="s">
        <v>3413</v>
      </c>
      <c r="E26" s="756" t="str">
        <f>Overview!$H$7</f>
        <v>New Construction</v>
      </c>
    </row>
    <row r="27" spans="1:8" ht="12" customHeight="1">
      <c r="E27" s="756" t="s">
        <v>1847</v>
      </c>
    </row>
    <row r="28" spans="1:8" ht="12" customHeight="1">
      <c r="C28" s="726" t="s">
        <v>4022</v>
      </c>
      <c r="E28" s="726" t="str">
        <f>Overview!$C$9</f>
        <v>&lt;&lt;Select&gt;&gt;</v>
      </c>
    </row>
    <row r="29" spans="1:8" ht="3" customHeight="1">
      <c r="H29" s="727"/>
    </row>
    <row r="30" spans="1:8" ht="12" customHeight="1">
      <c r="A30" s="726">
        <v>6</v>
      </c>
      <c r="C30" s="726" t="s">
        <v>3414</v>
      </c>
      <c r="E30" s="726" t="s">
        <v>2505</v>
      </c>
      <c r="F30" s="757">
        <f>'Part III-Sources of Funds'!L19</f>
        <v>13175000</v>
      </c>
      <c r="G30" s="726" t="s">
        <v>3415</v>
      </c>
    </row>
    <row r="31" spans="1:8" ht="12" customHeight="1">
      <c r="F31" s="757" t="s">
        <v>3416</v>
      </c>
      <c r="G31" s="726" t="s">
        <v>3417</v>
      </c>
    </row>
    <row r="32" spans="1:8" ht="3" customHeight="1">
      <c r="F32" s="733"/>
    </row>
    <row r="33" spans="1:7" ht="12" customHeight="1">
      <c r="A33" s="726">
        <v>7</v>
      </c>
      <c r="C33" s="726" t="s">
        <v>3418</v>
      </c>
      <c r="F33" s="759">
        <v>0</v>
      </c>
    </row>
    <row r="34" spans="1:7" ht="3" customHeight="1">
      <c r="F34" s="733"/>
    </row>
    <row r="35" spans="1:7" ht="12" customHeight="1">
      <c r="A35" s="726">
        <v>8</v>
      </c>
      <c r="C35" s="726" t="s">
        <v>3419</v>
      </c>
      <c r="E35" s="726" t="s">
        <v>2505</v>
      </c>
      <c r="F35" s="758">
        <v>0.01</v>
      </c>
    </row>
    <row r="36" spans="1:7" ht="3" customHeight="1">
      <c r="F36" s="759"/>
    </row>
    <row r="37" spans="1:7" ht="12" customHeight="1">
      <c r="A37" s="726">
        <v>9</v>
      </c>
      <c r="C37" s="726" t="s">
        <v>3420</v>
      </c>
      <c r="F37" s="760">
        <v>24</v>
      </c>
      <c r="G37" s="726" t="s">
        <v>3421</v>
      </c>
    </row>
    <row r="38" spans="1:7" ht="3" customHeight="1">
      <c r="F38" s="759"/>
    </row>
    <row r="39" spans="1:7" ht="12" customHeight="1">
      <c r="A39" s="726">
        <v>10</v>
      </c>
      <c r="C39" s="726" t="s">
        <v>3422</v>
      </c>
      <c r="E39" s="726" t="s">
        <v>2505</v>
      </c>
      <c r="F39" s="733">
        <f>'Part III-Sources of Funds'!L37*12</f>
        <v>216</v>
      </c>
      <c r="G39" s="726" t="s">
        <v>3421</v>
      </c>
    </row>
    <row r="40" spans="1:7" ht="3" customHeight="1">
      <c r="F40" s="733"/>
    </row>
    <row r="41" spans="1:7" ht="12" customHeight="1">
      <c r="A41" s="726">
        <v>11</v>
      </c>
      <c r="C41" s="726" t="s">
        <v>3423</v>
      </c>
      <c r="F41" s="766">
        <v>24</v>
      </c>
      <c r="G41" s="726" t="s">
        <v>3421</v>
      </c>
    </row>
    <row r="42" spans="1:7" ht="3" customHeight="1"/>
    <row r="43" spans="1:7" ht="12" customHeight="1">
      <c r="A43" s="726">
        <v>12</v>
      </c>
      <c r="C43" s="726" t="s">
        <v>3424</v>
      </c>
      <c r="F43" s="768" t="s">
        <v>3425</v>
      </c>
    </row>
    <row r="44" spans="1:7" ht="3" customHeight="1"/>
    <row r="45" spans="1:7" ht="12" customHeight="1">
      <c r="A45" s="726">
        <v>13</v>
      </c>
      <c r="C45" s="726" t="s">
        <v>3426</v>
      </c>
      <c r="E45" s="726" t="s">
        <v>2505</v>
      </c>
      <c r="F45" s="756" t="s">
        <v>3427</v>
      </c>
    </row>
    <row r="46" spans="1:7" ht="3" customHeight="1">
      <c r="F46" s="954"/>
    </row>
    <row r="47" spans="1:7" ht="12" customHeight="1">
      <c r="A47" s="726">
        <v>14</v>
      </c>
      <c r="C47" s="726" t="s">
        <v>3428</v>
      </c>
      <c r="E47" s="756" t="str">
        <f>'Part II-Development Team'!H14</f>
        <v>Capital View Gateway Senior GP, LLC</v>
      </c>
    </row>
    <row r="48" spans="1:7" ht="3" customHeight="1">
      <c r="E48" s="756"/>
    </row>
    <row r="49" spans="1:7" ht="12" customHeight="1">
      <c r="A49" s="726">
        <v>15</v>
      </c>
      <c r="C49" s="726" t="s">
        <v>3429</v>
      </c>
      <c r="E49" s="756" t="str">
        <f>'Part II-Development Team'!Q98</f>
        <v>Jeff Adams</v>
      </c>
    </row>
    <row r="50" spans="1:7" ht="12" customHeight="1">
      <c r="C50" s="726" t="s">
        <v>3430</v>
      </c>
      <c r="E50" s="756">
        <f>'Part II-Development Team'!O102</f>
        <v>0</v>
      </c>
      <c r="F50" s="733"/>
    </row>
    <row r="51" spans="1:7" ht="3" customHeight="1">
      <c r="F51" s="733"/>
    </row>
    <row r="52" spans="1:7" ht="12" customHeight="1">
      <c r="A52" s="726">
        <v>16</v>
      </c>
      <c r="C52" s="726" t="s">
        <v>3431</v>
      </c>
      <c r="F52" s="733" t="e">
        <f>#REF!</f>
        <v>#REF!</v>
      </c>
    </row>
    <row r="53" spans="1:7" ht="3" customHeight="1">
      <c r="F53" s="733"/>
    </row>
    <row r="54" spans="1:7" ht="12" customHeight="1">
      <c r="A54" s="761">
        <v>17</v>
      </c>
      <c r="B54" s="761"/>
      <c r="C54" s="761" t="s">
        <v>3432</v>
      </c>
      <c r="D54" s="761"/>
      <c r="E54" s="761"/>
      <c r="F54" s="940" t="e">
        <f>'Subsidy Layering WS'!D12</f>
        <v>#REF!</v>
      </c>
      <c r="G54" s="761"/>
    </row>
    <row r="55" spans="1:7" ht="3" customHeight="1">
      <c r="F55" s="733"/>
    </row>
    <row r="56" spans="1:7" ht="12" customHeight="1">
      <c r="A56" s="726">
        <v>18</v>
      </c>
      <c r="C56" s="726" t="s">
        <v>3433</v>
      </c>
      <c r="E56" s="726" t="s">
        <v>2610</v>
      </c>
      <c r="F56" s="733" t="e">
        <f>#REF!</f>
        <v>#REF!</v>
      </c>
    </row>
    <row r="57" spans="1:7" ht="3" customHeight="1">
      <c r="F57" s="733"/>
    </row>
    <row r="58" spans="1:7" ht="12" customHeight="1">
      <c r="A58" s="726">
        <v>19</v>
      </c>
      <c r="C58" s="726" t="s">
        <v>3434</v>
      </c>
      <c r="F58" s="767"/>
      <c r="G58" s="726" t="s">
        <v>4025</v>
      </c>
    </row>
    <row r="59" spans="1:7" ht="3" customHeight="1">
      <c r="F59" s="733"/>
    </row>
    <row r="60" spans="1:7" ht="12" customHeight="1">
      <c r="A60" s="726">
        <v>20</v>
      </c>
      <c r="C60" s="726" t="s">
        <v>3435</v>
      </c>
      <c r="F60" s="762">
        <f>'Part VII-Pro Forma'!$K$65</f>
        <v>4037006.3837910728</v>
      </c>
      <c r="G60" s="761">
        <v>300</v>
      </c>
    </row>
    <row r="61" spans="1:7" ht="3" customHeight="1"/>
    <row r="62" spans="1:7" ht="12" customHeight="1">
      <c r="A62" s="726">
        <v>21</v>
      </c>
      <c r="C62" s="726" t="s">
        <v>4043</v>
      </c>
      <c r="E62" s="728" t="s">
        <v>4026</v>
      </c>
      <c r="F62" s="941" t="s">
        <v>4027</v>
      </c>
      <c r="G62" s="728" t="s">
        <v>3436</v>
      </c>
    </row>
    <row r="63" spans="1:7" ht="12" customHeight="1">
      <c r="E63" s="728" t="s">
        <v>4026</v>
      </c>
      <c r="F63" s="941" t="s">
        <v>4027</v>
      </c>
      <c r="G63" s="728"/>
    </row>
    <row r="64" spans="1:7" ht="3" customHeight="1"/>
    <row r="65" spans="1:6" ht="12" customHeight="1">
      <c r="A65" s="726">
        <v>22</v>
      </c>
      <c r="C65" s="726" t="s">
        <v>3437</v>
      </c>
      <c r="E65" s="756" t="str">
        <f>Overview!H9</f>
        <v>Capital View Senior Residences I LP</v>
      </c>
    </row>
    <row r="66" spans="1:6" ht="3" customHeight="1"/>
    <row r="67" spans="1:6" ht="12" customHeight="1">
      <c r="A67" s="726">
        <v>23</v>
      </c>
      <c r="C67" s="726" t="s">
        <v>3438</v>
      </c>
      <c r="F67" s="733" t="s">
        <v>3439</v>
      </c>
    </row>
    <row r="68" spans="1:6" ht="3" customHeight="1"/>
    <row r="69" spans="1:6" ht="12" customHeight="1">
      <c r="A69" s="726">
        <v>24</v>
      </c>
      <c r="C69" s="726" t="s">
        <v>3440</v>
      </c>
      <c r="E69" s="726" t="s">
        <v>2505</v>
      </c>
      <c r="F69" s="733">
        <v>20</v>
      </c>
    </row>
    <row r="70" spans="1:6" ht="3" customHeight="1"/>
    <row r="71" spans="1:6" ht="12" customHeight="1">
      <c r="A71" s="726">
        <v>25</v>
      </c>
      <c r="C71" s="726" t="s">
        <v>3441</v>
      </c>
      <c r="F71" s="763">
        <f>'Part IV-Uses of Funds'!$G$121</f>
        <v>617423</v>
      </c>
    </row>
    <row r="72" spans="1:6" ht="3" customHeight="1">
      <c r="F72" s="763"/>
    </row>
    <row r="73" spans="1:6" ht="12" customHeight="1">
      <c r="A73" s="726">
        <v>26</v>
      </c>
      <c r="C73" s="726" t="s">
        <v>3442</v>
      </c>
      <c r="F73" s="763">
        <f>'Part IV-Uses of Funds'!$G$122</f>
        <v>0</v>
      </c>
    </row>
    <row r="74" spans="1:6" ht="3" customHeight="1">
      <c r="F74" s="763"/>
    </row>
    <row r="75" spans="1:6" ht="12" customHeight="1">
      <c r="A75" s="726">
        <v>27</v>
      </c>
      <c r="C75" s="726" t="s">
        <v>3443</v>
      </c>
      <c r="F75" s="764">
        <f>'Part IV-Uses of Funds'!$G$120</f>
        <v>192809</v>
      </c>
    </row>
    <row r="76" spans="1:6" ht="3" customHeight="1">
      <c r="F76" s="763"/>
    </row>
    <row r="77" spans="1:6" ht="12" customHeight="1">
      <c r="A77" s="726">
        <v>28</v>
      </c>
      <c r="C77" s="726" t="s">
        <v>3444</v>
      </c>
      <c r="F77" s="77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99" customWidth="1"/>
    <col min="2" max="2" width="11" style="1099" customWidth="1"/>
    <col min="3" max="3" width="31.140625" style="1099" customWidth="1"/>
    <col min="4" max="4" width="14" style="1099" customWidth="1"/>
    <col min="5" max="5" width="13" style="1099" customWidth="1"/>
    <col min="6" max="6" width="10.85546875" style="1099" customWidth="1"/>
    <col min="7" max="8" width="9.7109375" style="1099" customWidth="1"/>
    <col min="9" max="10" width="2.28515625" style="1099" customWidth="1"/>
    <col min="11" max="16384" width="9.140625" style="1099"/>
  </cols>
  <sheetData>
    <row r="1" spans="1:10" ht="15">
      <c r="A1" s="2795" t="s">
        <v>3648</v>
      </c>
      <c r="B1" s="2795"/>
      <c r="C1" s="2795"/>
      <c r="D1" s="2795"/>
      <c r="E1" s="2795"/>
      <c r="F1" s="2795"/>
      <c r="G1" s="2795"/>
      <c r="H1" s="2795"/>
      <c r="I1" s="2795"/>
      <c r="J1" s="2795"/>
    </row>
    <row r="2" spans="1:10" ht="15">
      <c r="A2" s="2795" t="str">
        <f>Overview!E8&amp;"  "&amp;Overview!C8</f>
        <v>2016-508  Gateway Capitol View</v>
      </c>
      <c r="B2" s="2795"/>
      <c r="C2" s="2795"/>
      <c r="D2" s="2795"/>
      <c r="E2" s="2795"/>
      <c r="F2" s="2795"/>
      <c r="G2" s="2795"/>
      <c r="H2" s="2795"/>
      <c r="I2" s="2795"/>
      <c r="J2" s="2795"/>
    </row>
    <row r="3" spans="1:10" ht="6" customHeight="1"/>
    <row r="4" spans="1:10" ht="12" customHeight="1">
      <c r="A4" s="1145" t="s">
        <v>3445</v>
      </c>
    </row>
    <row r="5" spans="1:10" ht="12" customHeight="1">
      <c r="A5" s="1099" t="s">
        <v>3446</v>
      </c>
      <c r="C5" s="1146" t="str">
        <f>'Subsidy Layering Memo'!D6</f>
        <v>(Underwriter)</v>
      </c>
      <c r="F5" s="2798" t="s">
        <v>3401</v>
      </c>
      <c r="G5" s="2798"/>
      <c r="H5" s="2798"/>
      <c r="I5" s="1146"/>
    </row>
    <row r="6" spans="1:10" ht="6" customHeight="1">
      <c r="C6" s="1032"/>
      <c r="D6" s="1146"/>
      <c r="I6" s="1146"/>
    </row>
    <row r="7" spans="1:10" ht="12" customHeight="1">
      <c r="A7" s="1145" t="s">
        <v>3447</v>
      </c>
      <c r="C7" s="1032"/>
      <c r="D7" s="1146"/>
      <c r="I7" s="1146"/>
    </row>
    <row r="8" spans="1:10" ht="12" customHeight="1">
      <c r="A8" s="1099" t="s">
        <v>3448</v>
      </c>
      <c r="C8" s="1146" t="str">
        <f>Overview!$H$9</f>
        <v>Capital View Senior Residences I LP</v>
      </c>
      <c r="I8" s="1146"/>
    </row>
    <row r="9" spans="1:10" ht="3" customHeight="1">
      <c r="C9" s="1032"/>
      <c r="D9" s="1146"/>
      <c r="I9" s="1146"/>
    </row>
    <row r="10" spans="1:10" ht="12" customHeight="1">
      <c r="A10" s="1099" t="s">
        <v>3449</v>
      </c>
      <c r="C10" s="1032" t="s">
        <v>1847</v>
      </c>
      <c r="I10" s="1146"/>
    </row>
    <row r="11" spans="1:10" ht="12" customHeight="1">
      <c r="C11" s="1032" t="s">
        <v>1847</v>
      </c>
      <c r="I11" s="1146"/>
    </row>
    <row r="12" spans="1:10" ht="12" customHeight="1">
      <c r="C12" s="1146" t="s">
        <v>2786</v>
      </c>
      <c r="D12" s="1147" t="s">
        <v>1847</v>
      </c>
      <c r="I12" s="1146"/>
    </row>
    <row r="13" spans="1:10" ht="12" customHeight="1">
      <c r="C13" s="1146" t="s">
        <v>3450</v>
      </c>
      <c r="D13" s="1148"/>
      <c r="I13" s="1146"/>
    </row>
    <row r="14" spans="1:10" ht="3" customHeight="1">
      <c r="G14" s="1032"/>
      <c r="H14" s="1146"/>
      <c r="I14" s="1146"/>
    </row>
    <row r="15" spans="1:10" ht="12" customHeight="1">
      <c r="A15" s="1099" t="s">
        <v>3451</v>
      </c>
      <c r="C15" s="1149" t="str">
        <f>'Part II-Development Team'!$Q$5</f>
        <v>Ken Blankenship</v>
      </c>
      <c r="G15" s="1032"/>
      <c r="I15" s="1146"/>
    </row>
    <row r="16" spans="1:10" ht="12" customHeight="1">
      <c r="A16" s="1150" t="s">
        <v>2065</v>
      </c>
      <c r="C16" s="1149" t="str">
        <f>'Part II-Development Team'!$Q$6</f>
        <v>Manager</v>
      </c>
      <c r="G16" s="1032"/>
      <c r="I16" s="1146"/>
    </row>
    <row r="17" spans="1:9" ht="3" customHeight="1">
      <c r="G17" s="1032"/>
      <c r="H17" s="1146"/>
      <c r="I17" s="1146"/>
    </row>
    <row r="18" spans="1:9" ht="12" customHeight="1">
      <c r="A18" s="1099" t="s">
        <v>3452</v>
      </c>
      <c r="C18" s="1149" t="str">
        <f>'Preview term'!$E$7</f>
        <v>3715 Northside Pkwy Bldg 200 Ste 175</v>
      </c>
      <c r="G18" s="1032"/>
      <c r="I18" s="1146"/>
    </row>
    <row r="19" spans="1:9" ht="12" customHeight="1">
      <c r="C19" s="1149" t="str">
        <f>'Preview term'!$E$8</f>
        <v>Atlanta, GA 30327</v>
      </c>
      <c r="G19" s="1032"/>
      <c r="I19" s="1146"/>
    </row>
    <row r="20" spans="1:9" ht="3" customHeight="1">
      <c r="G20" s="1032"/>
      <c r="H20" s="1146"/>
      <c r="I20" s="1146"/>
    </row>
    <row r="21" spans="1:9" ht="12" customHeight="1">
      <c r="A21" s="1099" t="s">
        <v>3453</v>
      </c>
      <c r="C21" s="1149" t="str">
        <f>'Preview term'!$E$49</f>
        <v>Jeff Adams</v>
      </c>
      <c r="G21" s="1032"/>
      <c r="I21" s="1146"/>
    </row>
    <row r="22" spans="1:9" ht="3" customHeight="1">
      <c r="C22" s="1149"/>
      <c r="G22" s="1032"/>
      <c r="I22" s="1146"/>
    </row>
    <row r="23" spans="1:9" ht="12" customHeight="1">
      <c r="A23" s="1099" t="s">
        <v>3454</v>
      </c>
      <c r="C23" s="1149">
        <f>'Part II-Development Team'!$H$102</f>
        <v>4048737014</v>
      </c>
      <c r="G23" s="1032"/>
      <c r="I23" s="1146"/>
    </row>
    <row r="24" spans="1:9" ht="3" customHeight="1">
      <c r="C24" s="1149"/>
      <c r="G24" s="1032"/>
      <c r="I24" s="1146"/>
    </row>
    <row r="25" spans="1:9" ht="12" customHeight="1">
      <c r="A25" s="1099" t="s">
        <v>3455</v>
      </c>
      <c r="C25" s="942">
        <f>'Preview term'!$E$50</f>
        <v>0</v>
      </c>
      <c r="G25" s="1032"/>
    </row>
    <row r="26" spans="1:9" ht="6" customHeight="1">
      <c r="G26" s="1032"/>
      <c r="H26" s="1146"/>
      <c r="I26" s="1146"/>
    </row>
    <row r="27" spans="1:9" ht="12" customHeight="1">
      <c r="A27" s="1145" t="s">
        <v>3456</v>
      </c>
      <c r="G27" s="1032"/>
      <c r="H27" s="1146"/>
      <c r="I27" s="1146"/>
    </row>
    <row r="28" spans="1:9" ht="12" customHeight="1">
      <c r="A28" s="1099" t="s">
        <v>3457</v>
      </c>
      <c r="C28" s="1149" t="str">
        <f>Overview!$C$8</f>
        <v>Gateway Capitol View</v>
      </c>
      <c r="I28" s="1146"/>
    </row>
    <row r="29" spans="1:9" ht="3" customHeight="1">
      <c r="C29" s="1149"/>
      <c r="I29" s="1146"/>
    </row>
    <row r="30" spans="1:9" ht="12" customHeight="1">
      <c r="A30" s="1099" t="s">
        <v>3458</v>
      </c>
      <c r="C30" s="1149" t="str">
        <f>'Preview term'!E16</f>
        <v>1374 Murphy Avenue</v>
      </c>
      <c r="I30" s="1146"/>
    </row>
    <row r="31" spans="1:9">
      <c r="C31" s="1146" t="str">
        <f>'Preview term'!E17</f>
        <v>Atlanta, Fulton 30310</v>
      </c>
      <c r="I31" s="1146"/>
    </row>
    <row r="32" spans="1:9" ht="3" customHeight="1">
      <c r="C32" s="1032"/>
      <c r="D32" s="1032"/>
      <c r="I32" s="1032"/>
    </row>
    <row r="33" spans="1:10" ht="12" customHeight="1">
      <c r="A33" s="1099" t="s">
        <v>3459</v>
      </c>
      <c r="C33" s="1032" t="s">
        <v>3460</v>
      </c>
      <c r="D33" s="1151" t="e">
        <f>'Preview term'!F54</f>
        <v>#REF!</v>
      </c>
      <c r="I33" s="1032"/>
    </row>
    <row r="34" spans="1:10" ht="12" customHeight="1">
      <c r="C34" s="1032" t="s">
        <v>3461</v>
      </c>
      <c r="D34" s="1152" t="e">
        <f>#REF!+#REF!</f>
        <v>#REF!</v>
      </c>
      <c r="I34" s="1032"/>
    </row>
    <row r="35" spans="1:10" ht="12" customHeight="1">
      <c r="C35" s="1032" t="s">
        <v>3462</v>
      </c>
      <c r="D35" s="1153" t="e">
        <f>SUM(D33:D34)</f>
        <v>#REF!</v>
      </c>
      <c r="I35" s="1032"/>
    </row>
    <row r="36" spans="1:10" ht="3" customHeight="1">
      <c r="C36" s="1032"/>
      <c r="D36" s="1032"/>
      <c r="I36" s="1032"/>
    </row>
    <row r="37" spans="1:10" ht="12" customHeight="1">
      <c r="A37" s="1099" t="s">
        <v>3463</v>
      </c>
      <c r="C37" s="1032" t="s">
        <v>3297</v>
      </c>
      <c r="D37" s="1154"/>
      <c r="I37" s="1032"/>
    </row>
    <row r="38" spans="1:10" ht="12" customHeight="1">
      <c r="C38" s="1032" t="s">
        <v>3300</v>
      </c>
      <c r="D38" s="1155"/>
      <c r="I38" s="1032"/>
    </row>
    <row r="39" spans="1:10" ht="12" customHeight="1">
      <c r="C39" s="1032" t="s">
        <v>3464</v>
      </c>
      <c r="D39" s="1156" t="e">
        <f>#REF!</f>
        <v>#REF!</v>
      </c>
      <c r="I39" s="1032"/>
    </row>
    <row r="40" spans="1:10" ht="3" customHeight="1">
      <c r="G40" s="1157"/>
      <c r="H40" s="1032"/>
      <c r="I40" s="1032"/>
    </row>
    <row r="41" spans="1:10" ht="25.5" customHeight="1">
      <c r="A41" s="1158" t="s">
        <v>3465</v>
      </c>
      <c r="C41" s="280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Covered Porch, On-site laundry, Fitness Center, Computer Center, Community Garden, Arts and Crafts Room</v>
      </c>
      <c r="D41" s="2801"/>
      <c r="E41" s="2801"/>
      <c r="F41" s="2801"/>
      <c r="G41" s="2801"/>
      <c r="H41" s="2801"/>
      <c r="I41" s="2801"/>
      <c r="J41" s="2801"/>
    </row>
    <row r="42" spans="1:10" ht="3" customHeight="1">
      <c r="G42" s="1032"/>
      <c r="H42" s="1032"/>
      <c r="I42" s="1032"/>
    </row>
    <row r="43" spans="1:10" ht="25.5" customHeight="1">
      <c r="A43" s="1158" t="s">
        <v>3466</v>
      </c>
      <c r="C43" s="2802" t="s">
        <v>4028</v>
      </c>
      <c r="D43" s="2802"/>
      <c r="E43" s="2802"/>
      <c r="F43" s="2802"/>
      <c r="G43" s="2802"/>
      <c r="H43" s="2802"/>
      <c r="I43" s="2802"/>
      <c r="J43" s="2802"/>
    </row>
    <row r="44" spans="1:10" ht="3" customHeight="1">
      <c r="C44" s="769"/>
      <c r="D44" s="769"/>
      <c r="E44" s="769"/>
      <c r="F44" s="769"/>
      <c r="G44" s="769"/>
      <c r="H44" s="770"/>
      <c r="I44" s="771"/>
      <c r="J44" s="770"/>
    </row>
    <row r="45" spans="1:10" ht="12" customHeight="1">
      <c r="A45" s="1099" t="s">
        <v>3467</v>
      </c>
      <c r="C45" s="943" t="str">
        <f>'Part I-Project Information'!$J$29</f>
        <v>Fulton</v>
      </c>
      <c r="D45" s="769"/>
      <c r="F45" s="770"/>
      <c r="I45" s="771"/>
      <c r="J45" s="770"/>
    </row>
    <row r="46" spans="1:10" ht="3" customHeight="1">
      <c r="C46" s="769"/>
      <c r="D46" s="769"/>
      <c r="E46" s="769"/>
      <c r="F46" s="770"/>
      <c r="I46" s="771"/>
      <c r="J46" s="770"/>
    </row>
    <row r="47" spans="1:10" ht="12" customHeight="1">
      <c r="A47" s="1099" t="s">
        <v>3468</v>
      </c>
      <c r="C47" s="1032" t="str">
        <f>IF(Overview!C14="Family", "No",IF(Overview!C14="Elderly", "Yes - Age 62 election (Elderly)",IF(Overview!C14="HFOP", "Yes - Age 55 election (HFOP)",IF(Overview!C14="Other", "Other:  "&amp;'Part I-Project Information'!$N$67,'Part I-Project Information'!$H$67))))</f>
        <v>Yes - Age 55 election (HFOP)</v>
      </c>
      <c r="I47" s="771"/>
      <c r="J47" s="770"/>
    </row>
    <row r="48" spans="1:10" ht="3" customHeight="1">
      <c r="C48" s="1032"/>
      <c r="D48" s="1159"/>
      <c r="I48" s="1032"/>
    </row>
    <row r="49" spans="1:10" ht="12" customHeight="1">
      <c r="A49" s="1099" t="s">
        <v>3469</v>
      </c>
      <c r="C49" s="1032" t="s">
        <v>3470</v>
      </c>
      <c r="D49" s="1160">
        <v>2</v>
      </c>
      <c r="I49" s="1161"/>
      <c r="J49" s="1161"/>
    </row>
    <row r="50" spans="1:10" ht="3" customHeight="1">
      <c r="D50" s="1161"/>
      <c r="E50" s="1161"/>
      <c r="F50" s="1161"/>
      <c r="G50" s="1162"/>
      <c r="H50" s="1032"/>
      <c r="I50" s="1161"/>
      <c r="J50" s="1161"/>
    </row>
    <row r="51" spans="1:10" ht="12" customHeight="1">
      <c r="B51" s="1099" t="s">
        <v>3471</v>
      </c>
      <c r="C51" s="2802" t="s">
        <v>602</v>
      </c>
      <c r="D51" s="2802"/>
      <c r="E51" s="2802"/>
      <c r="F51" s="2802"/>
      <c r="G51" s="2802"/>
      <c r="H51" s="2802"/>
      <c r="I51" s="2802"/>
      <c r="J51" s="2802"/>
    </row>
    <row r="52" spans="1:10" ht="12" customHeight="1">
      <c r="C52" s="2803" t="s">
        <v>1886</v>
      </c>
      <c r="D52" s="2803"/>
      <c r="E52" s="2803"/>
      <c r="F52" s="2803"/>
      <c r="G52" s="2803"/>
      <c r="H52" s="2803"/>
      <c r="I52" s="2803"/>
      <c r="J52" s="2803"/>
    </row>
    <row r="53" spans="1:10" ht="3" customHeight="1">
      <c r="D53" s="1161"/>
      <c r="E53" s="1161"/>
      <c r="F53" s="1161"/>
      <c r="G53" s="1162"/>
      <c r="H53" s="1032"/>
      <c r="I53" s="1161"/>
      <c r="J53" s="1161"/>
    </row>
    <row r="54" spans="1:10" ht="25.5" customHeight="1">
      <c r="A54" s="1158" t="s">
        <v>3472</v>
      </c>
      <c r="B54" s="1158"/>
      <c r="C54" s="1163" t="s">
        <v>3473</v>
      </c>
      <c r="D54" s="1163" t="s">
        <v>4029</v>
      </c>
      <c r="E54" s="2804"/>
      <c r="F54" s="2804"/>
      <c r="G54" s="2804"/>
      <c r="H54" s="2804"/>
      <c r="I54" s="2804"/>
      <c r="J54" s="2804"/>
    </row>
    <row r="55" spans="1:10" ht="12" customHeight="1">
      <c r="A55" s="1158"/>
      <c r="B55" s="1158"/>
      <c r="C55" s="1158"/>
      <c r="D55" s="1163" t="s">
        <v>4030</v>
      </c>
      <c r="E55" s="2805"/>
      <c r="F55" s="2805"/>
      <c r="G55" s="2805"/>
      <c r="H55" s="2805"/>
      <c r="I55" s="2805"/>
      <c r="J55" s="2805"/>
    </row>
    <row r="56" spans="1:10" ht="12" customHeight="1">
      <c r="A56" s="1145" t="s">
        <v>3474</v>
      </c>
      <c r="G56" s="1032"/>
      <c r="H56" s="1032"/>
      <c r="I56" s="1032"/>
    </row>
    <row r="57" spans="1:10" ht="18" customHeight="1">
      <c r="A57" s="1099" t="s">
        <v>3475</v>
      </c>
      <c r="C57" s="1147" t="str">
        <f>Overview!C10</f>
        <v>Capital View Gateway Senior GP, LLC</v>
      </c>
      <c r="G57" s="1032"/>
      <c r="I57" s="1032"/>
    </row>
    <row r="58" spans="1:10" ht="3" customHeight="1">
      <c r="C58" s="1147"/>
      <c r="G58" s="1032"/>
      <c r="I58" s="1032"/>
    </row>
    <row r="59" spans="1:10" ht="12" customHeight="1">
      <c r="A59" s="1099" t="s">
        <v>3476</v>
      </c>
      <c r="C59" s="1147" t="str">
        <f>Overview!C11</f>
        <v/>
      </c>
      <c r="G59" s="1032"/>
      <c r="I59" s="1032"/>
    </row>
    <row r="60" spans="1:10" ht="3" customHeight="1">
      <c r="C60" s="1147"/>
      <c r="G60" s="1032"/>
      <c r="I60" s="1032"/>
    </row>
    <row r="61" spans="1:10" ht="12" customHeight="1">
      <c r="A61" s="1099" t="s">
        <v>3477</v>
      </c>
      <c r="C61" s="1147" t="s">
        <v>3058</v>
      </c>
      <c r="G61" s="1032"/>
      <c r="I61" s="1032"/>
    </row>
    <row r="62" spans="1:10" ht="6" customHeight="1">
      <c r="G62" s="1032"/>
      <c r="H62" s="1032"/>
      <c r="I62" s="1032"/>
    </row>
    <row r="63" spans="1:10" ht="12" customHeight="1">
      <c r="A63" s="1145" t="s">
        <v>3478</v>
      </c>
      <c r="G63" s="1032"/>
      <c r="H63" s="1032"/>
      <c r="I63" s="1032"/>
    </row>
    <row r="64" spans="1:10" ht="12" customHeight="1">
      <c r="A64" s="1099" t="s">
        <v>3479</v>
      </c>
      <c r="C64" s="1099" t="s">
        <v>3480</v>
      </c>
      <c r="D64" s="1164">
        <f>'Preview term'!F30</f>
        <v>13175000</v>
      </c>
      <c r="G64" s="1032"/>
      <c r="I64" s="1032"/>
    </row>
    <row r="65" spans="1:10" ht="3" customHeight="1">
      <c r="D65" s="1165"/>
      <c r="G65" s="1032"/>
      <c r="H65" s="1166"/>
      <c r="I65" s="1032"/>
    </row>
    <row r="66" spans="1:10" ht="12" customHeight="1">
      <c r="A66" s="1099" t="s">
        <v>3481</v>
      </c>
      <c r="C66" s="1099" t="s">
        <v>3483</v>
      </c>
      <c r="D66" s="1147" t="s">
        <v>3482</v>
      </c>
      <c r="G66" s="1032"/>
      <c r="I66" s="1032"/>
    </row>
    <row r="67" spans="1:10" ht="3" customHeight="1">
      <c r="D67" s="1165"/>
      <c r="G67" s="1032"/>
      <c r="H67" s="1032"/>
      <c r="I67" s="1032"/>
    </row>
    <row r="68" spans="1:10" ht="12" customHeight="1">
      <c r="A68" s="1099" t="s">
        <v>3484</v>
      </c>
      <c r="C68" s="1032" t="s">
        <v>1847</v>
      </c>
      <c r="D68" s="1165"/>
      <c r="I68" s="1032"/>
    </row>
    <row r="69" spans="1:10" ht="12" customHeight="1">
      <c r="C69" s="1099" t="s">
        <v>3485</v>
      </c>
      <c r="D69" s="1148"/>
      <c r="I69" s="1032"/>
    </row>
    <row r="70" spans="1:10" ht="12" customHeight="1">
      <c r="C70" s="1099" t="s">
        <v>3450</v>
      </c>
      <c r="D70" s="1148"/>
      <c r="I70" s="1032"/>
    </row>
    <row r="71" spans="1:10" ht="3" customHeight="1">
      <c r="D71" s="1165"/>
      <c r="E71" s="1032"/>
      <c r="F71" s="1032"/>
      <c r="I71" s="1032"/>
    </row>
    <row r="72" spans="1:10" ht="12" customHeight="1">
      <c r="A72" s="1099" t="s">
        <v>3486</v>
      </c>
      <c r="C72" s="1099" t="s">
        <v>2505</v>
      </c>
      <c r="D72" s="1147" t="s">
        <v>1847</v>
      </c>
      <c r="I72" s="1032"/>
    </row>
    <row r="73" spans="1:10" ht="3" customHeight="1">
      <c r="D73" s="1032"/>
      <c r="E73" s="1032"/>
      <c r="I73" s="1032"/>
    </row>
    <row r="74" spans="1:10" ht="12" customHeight="1">
      <c r="A74" s="1099" t="s">
        <v>3487</v>
      </c>
      <c r="C74" s="1032" t="s">
        <v>1847</v>
      </c>
      <c r="I74" s="1032"/>
    </row>
    <row r="75" spans="1:10" ht="3" customHeight="1">
      <c r="C75" s="1165"/>
      <c r="G75" s="1167"/>
      <c r="H75" s="1032"/>
      <c r="I75" s="1032"/>
    </row>
    <row r="76" spans="1:10" ht="12" customHeight="1">
      <c r="A76" s="1099" t="s">
        <v>3488</v>
      </c>
      <c r="C76" s="1165" t="s">
        <v>3489</v>
      </c>
      <c r="D76" s="1168">
        <v>0</v>
      </c>
      <c r="J76" s="1032"/>
    </row>
    <row r="77" spans="1:10" ht="12" customHeight="1">
      <c r="C77" s="1169" t="s">
        <v>3660</v>
      </c>
      <c r="D77" s="1170">
        <v>0.01</v>
      </c>
      <c r="J77" s="1032"/>
    </row>
    <row r="78" spans="1:10" ht="3" customHeight="1">
      <c r="C78" s="1165"/>
      <c r="D78" s="1165"/>
      <c r="G78" s="1032"/>
      <c r="H78" s="1032"/>
      <c r="I78" s="1032"/>
    </row>
    <row r="79" spans="1:10" ht="12" customHeight="1">
      <c r="A79" s="1099" t="s">
        <v>3490</v>
      </c>
      <c r="C79" s="1165" t="s">
        <v>4086</v>
      </c>
      <c r="D79" s="1171">
        <v>24</v>
      </c>
      <c r="I79" s="1032"/>
    </row>
    <row r="80" spans="1:10" ht="3" customHeight="1">
      <c r="D80" s="1165"/>
      <c r="E80" s="1032"/>
      <c r="F80" s="1032"/>
      <c r="I80" s="1032"/>
    </row>
    <row r="81" spans="1:9" ht="12" customHeight="1">
      <c r="A81" s="1099" t="s">
        <v>3491</v>
      </c>
      <c r="C81" s="1099" t="s">
        <v>2505</v>
      </c>
      <c r="D81" s="1172">
        <f>'Preview term'!F39</f>
        <v>216</v>
      </c>
      <c r="E81" s="1032" t="s">
        <v>4035</v>
      </c>
      <c r="I81" s="1032"/>
    </row>
    <row r="82" spans="1:9" ht="3" customHeight="1">
      <c r="D82" s="1165"/>
      <c r="G82" s="1032"/>
      <c r="H82" s="1032"/>
      <c r="I82" s="1032"/>
    </row>
    <row r="83" spans="1:9" ht="12" customHeight="1">
      <c r="A83" s="1099" t="s">
        <v>3492</v>
      </c>
      <c r="D83" s="1173">
        <v>0</v>
      </c>
      <c r="E83" s="1174">
        <f>D83*12</f>
        <v>0</v>
      </c>
      <c r="F83" s="1032" t="s">
        <v>4087</v>
      </c>
    </row>
    <row r="84" spans="1:9" ht="3" customHeight="1">
      <c r="D84" s="1147"/>
      <c r="E84" s="1032"/>
      <c r="G84" s="1032"/>
    </row>
    <row r="85" spans="1:9" ht="12" customHeight="1">
      <c r="A85" s="1099" t="s">
        <v>3493</v>
      </c>
      <c r="D85" s="1175" t="s">
        <v>3482</v>
      </c>
      <c r="E85" s="1032" t="s">
        <v>3494</v>
      </c>
      <c r="G85" s="1032"/>
    </row>
    <row r="86" spans="1:9" ht="3" customHeight="1">
      <c r="G86" s="1032"/>
      <c r="H86" s="1032"/>
      <c r="I86" s="1032"/>
    </row>
    <row r="87" spans="1:9" ht="12" customHeight="1">
      <c r="A87" s="1099" t="s">
        <v>3495</v>
      </c>
      <c r="C87" s="1164">
        <f>'Part VII-Pro Forma'!$K$65</f>
        <v>4037006.3837910728</v>
      </c>
      <c r="D87" s="1176" t="s">
        <v>4031</v>
      </c>
      <c r="I87" s="1032"/>
    </row>
    <row r="88" spans="1:9" ht="3" customHeight="1">
      <c r="C88" s="1032" t="s">
        <v>1847</v>
      </c>
      <c r="D88" s="1032"/>
      <c r="E88" s="1032"/>
      <c r="I88" s="1032"/>
    </row>
    <row r="89" spans="1:9" ht="12" customHeight="1">
      <c r="A89" s="1099" t="s">
        <v>3496</v>
      </c>
      <c r="B89" s="1177"/>
      <c r="C89" s="1032" t="s">
        <v>3497</v>
      </c>
      <c r="I89" s="1032"/>
    </row>
    <row r="90" spans="1:9" ht="3" customHeight="1">
      <c r="G90" s="1032"/>
      <c r="H90" s="1032"/>
      <c r="I90" s="1032"/>
    </row>
    <row r="91" spans="1:9" ht="12" customHeight="1">
      <c r="A91" s="1099" t="s">
        <v>3498</v>
      </c>
      <c r="C91" s="1165" t="s">
        <v>3499</v>
      </c>
      <c r="D91" s="1147" t="s">
        <v>3425</v>
      </c>
      <c r="I91" s="1032"/>
    </row>
    <row r="92" spans="1:9" ht="12" customHeight="1">
      <c r="C92" s="1165" t="s">
        <v>3500</v>
      </c>
      <c r="D92" s="1147" t="s">
        <v>3482</v>
      </c>
      <c r="I92" s="1032"/>
    </row>
    <row r="93" spans="1:9" ht="3" customHeight="1">
      <c r="G93" s="1032"/>
      <c r="H93" s="1032"/>
      <c r="I93" s="1032"/>
    </row>
    <row r="94" spans="1:9" ht="12" customHeight="1">
      <c r="A94" s="1099" t="s">
        <v>3501</v>
      </c>
      <c r="C94" s="1165" t="s">
        <v>3489</v>
      </c>
      <c r="D94" s="1032" t="s">
        <v>3502</v>
      </c>
      <c r="E94" s="1165" t="str">
        <f>'Part III-Sources of Funds'!H19</f>
        <v>Community and Southern Bank</v>
      </c>
      <c r="I94" s="1032"/>
    </row>
    <row r="95" spans="1:9" ht="12" customHeight="1">
      <c r="C95" s="1165"/>
      <c r="D95" s="1032"/>
      <c r="E95" s="1165" t="s">
        <v>1873</v>
      </c>
      <c r="F95" s="2809"/>
      <c r="G95" s="2809"/>
      <c r="H95" s="2809"/>
      <c r="I95" s="1032"/>
    </row>
    <row r="96" spans="1:9" ht="12" customHeight="1">
      <c r="C96" s="1165"/>
      <c r="D96" s="1032"/>
      <c r="E96" s="1165" t="s">
        <v>2067</v>
      </c>
      <c r="F96" s="2808"/>
      <c r="G96" s="2808"/>
      <c r="H96" s="2808"/>
      <c r="I96" s="1032"/>
    </row>
    <row r="97" spans="1:10" ht="12" customHeight="1">
      <c r="C97" s="1165"/>
      <c r="D97" s="1032"/>
      <c r="E97" s="1165" t="s">
        <v>1876</v>
      </c>
      <c r="F97" s="2807"/>
      <c r="G97" s="2807"/>
      <c r="H97" s="2807"/>
      <c r="I97" s="1032"/>
    </row>
    <row r="98" spans="1:10" ht="12" customHeight="1">
      <c r="B98" s="1150" t="s">
        <v>3503</v>
      </c>
      <c r="C98" s="1169" t="s">
        <v>3660</v>
      </c>
      <c r="D98" s="1032" t="s">
        <v>3502</v>
      </c>
      <c r="E98" s="1165" t="str">
        <f>'Part III-Sources of Funds'!E37</f>
        <v>Walker and Dunlap</v>
      </c>
      <c r="I98" s="1032"/>
    </row>
    <row r="99" spans="1:10" ht="12" customHeight="1">
      <c r="C99" s="1165"/>
      <c r="D99" s="1032"/>
      <c r="E99" s="1165" t="s">
        <v>1873</v>
      </c>
      <c r="F99" s="2809"/>
      <c r="G99" s="2809"/>
      <c r="H99" s="2809"/>
      <c r="I99" s="1032"/>
    </row>
    <row r="100" spans="1:10" ht="12" customHeight="1">
      <c r="C100" s="1165"/>
      <c r="D100" s="1032"/>
      <c r="E100" s="1165" t="s">
        <v>2067</v>
      </c>
      <c r="F100" s="2808"/>
      <c r="G100" s="2808"/>
      <c r="H100" s="2808"/>
      <c r="I100" s="1032"/>
    </row>
    <row r="101" spans="1:10" ht="12" customHeight="1">
      <c r="C101" s="1165"/>
      <c r="D101" s="1032"/>
      <c r="E101" s="1165" t="s">
        <v>1876</v>
      </c>
      <c r="F101" s="2807"/>
      <c r="G101" s="2807"/>
      <c r="H101" s="2807"/>
      <c r="I101" s="1032"/>
    </row>
    <row r="102" spans="1:10" ht="3" customHeight="1">
      <c r="D102" s="1178"/>
      <c r="G102" s="1032"/>
      <c r="H102" s="1032"/>
      <c r="I102" s="1032"/>
    </row>
    <row r="103" spans="1:10" ht="12" customHeight="1">
      <c r="A103" s="1099" t="s">
        <v>3504</v>
      </c>
      <c r="D103" s="1179">
        <f>'Part IX A-Scoring Criteria'!O204</f>
        <v>0</v>
      </c>
      <c r="E103" s="1032" t="s">
        <v>3482</v>
      </c>
      <c r="G103" s="1099">
        <f>'Part IX A-Scoring Criteria'!P203</f>
        <v>0</v>
      </c>
      <c r="H103" s="1099" t="s">
        <v>4032</v>
      </c>
      <c r="I103" s="1032"/>
    </row>
    <row r="104" spans="1:10" ht="3" customHeight="1">
      <c r="E104" s="1032"/>
      <c r="F104" s="1032"/>
      <c r="I104" s="1032"/>
    </row>
    <row r="105" spans="1:10" ht="12" customHeight="1">
      <c r="A105" s="1032" t="s">
        <v>3661</v>
      </c>
      <c r="D105" s="1099" t="s">
        <v>3482</v>
      </c>
      <c r="E105" s="1032"/>
      <c r="I105" s="1032"/>
    </row>
    <row r="106" spans="1:10" ht="6" customHeight="1">
      <c r="G106" s="1032"/>
      <c r="H106" s="1032"/>
      <c r="I106" s="1032"/>
    </row>
    <row r="107" spans="1:10" ht="12" customHeight="1">
      <c r="A107" s="1145" t="s">
        <v>3662</v>
      </c>
      <c r="I107" s="1032"/>
    </row>
    <row r="108" spans="1:10" ht="12" customHeight="1">
      <c r="A108" s="1099" t="s">
        <v>3505</v>
      </c>
      <c r="C108" s="1147" t="s">
        <v>1847</v>
      </c>
      <c r="D108" s="2802"/>
      <c r="E108" s="2802"/>
      <c r="F108" s="2802"/>
      <c r="G108" s="2802"/>
      <c r="H108" s="2802"/>
      <c r="I108" s="2802"/>
      <c r="J108" s="2802"/>
    </row>
    <row r="109" spans="1:10" ht="3" customHeight="1">
      <c r="C109" s="1165"/>
      <c r="D109" s="1032"/>
      <c r="I109" s="1032"/>
    </row>
    <row r="110" spans="1:10" ht="12" customHeight="1">
      <c r="A110" s="1099" t="s">
        <v>3506</v>
      </c>
      <c r="C110" s="1147" t="s">
        <v>1847</v>
      </c>
    </row>
    <row r="111" spans="1:10" ht="3" customHeight="1">
      <c r="C111" s="1165"/>
      <c r="E111" s="1032"/>
      <c r="F111" s="1032"/>
      <c r="I111" s="1032"/>
    </row>
    <row r="112" spans="1:10" ht="12" customHeight="1">
      <c r="A112" s="1099" t="s">
        <v>3507</v>
      </c>
      <c r="C112" s="1147" t="s">
        <v>1847</v>
      </c>
      <c r="I112" s="1032"/>
    </row>
    <row r="113" spans="1:9" ht="3" customHeight="1">
      <c r="D113" s="1157"/>
      <c r="I113" s="1032"/>
    </row>
    <row r="114" spans="1:9" ht="12" customHeight="1">
      <c r="A114" s="1099" t="s">
        <v>3508</v>
      </c>
      <c r="D114" s="1172">
        <v>24</v>
      </c>
      <c r="E114" s="1032" t="s">
        <v>3509</v>
      </c>
      <c r="I114" s="1032"/>
    </row>
    <row r="115" spans="1:9" ht="12" customHeight="1">
      <c r="C115" s="1147" t="s">
        <v>4034</v>
      </c>
      <c r="I115" s="1032"/>
    </row>
    <row r="116" spans="1:9" ht="12" customHeight="1">
      <c r="C116" s="1147" t="s">
        <v>4033</v>
      </c>
      <c r="G116" s="1032"/>
      <c r="I116" s="1032"/>
    </row>
    <row r="117" spans="1:9" ht="3" customHeight="1">
      <c r="G117" s="1032"/>
      <c r="H117" s="1032"/>
      <c r="I117" s="1032"/>
    </row>
    <row r="118" spans="1:9" ht="12" customHeight="1">
      <c r="A118" s="1099" t="s">
        <v>3510</v>
      </c>
      <c r="D118" s="1180">
        <v>0</v>
      </c>
      <c r="E118" s="1181" t="s">
        <v>3511</v>
      </c>
      <c r="I118" s="1032"/>
    </row>
    <row r="119" spans="1:9" ht="3" customHeight="1">
      <c r="D119" s="1165"/>
      <c r="E119" s="1032"/>
      <c r="F119" s="1032"/>
      <c r="I119" s="1032"/>
    </row>
    <row r="120" spans="1:9" ht="12" customHeight="1">
      <c r="A120" s="1099" t="s">
        <v>3512</v>
      </c>
      <c r="C120" s="1032" t="s">
        <v>1847</v>
      </c>
      <c r="D120" s="1182"/>
      <c r="I120" s="1032"/>
    </row>
    <row r="121" spans="1:9" ht="12" customHeight="1">
      <c r="C121" s="1032" t="s">
        <v>3513</v>
      </c>
      <c r="D121" s="1179"/>
      <c r="I121" s="1032"/>
    </row>
    <row r="122" spans="1:9" ht="12" customHeight="1">
      <c r="C122" s="1032" t="s">
        <v>3514</v>
      </c>
      <c r="D122" s="1148"/>
      <c r="I122" s="1032"/>
    </row>
    <row r="123" spans="1:9" ht="12" customHeight="1">
      <c r="C123" s="1032" t="s">
        <v>3515</v>
      </c>
      <c r="D123" s="1148"/>
      <c r="I123" s="1032"/>
    </row>
    <row r="124" spans="1:9" ht="3" customHeight="1">
      <c r="E124" s="1032"/>
      <c r="F124" s="1032"/>
      <c r="I124" s="1032"/>
    </row>
    <row r="125" spans="1:9" ht="12" customHeight="1">
      <c r="A125" s="1099" t="s">
        <v>3516</v>
      </c>
      <c r="D125" s="1183" t="s">
        <v>3482</v>
      </c>
      <c r="I125" s="1032"/>
    </row>
    <row r="126" spans="1:9" ht="3" customHeight="1">
      <c r="D126" s="1032"/>
      <c r="I126" s="1032"/>
    </row>
    <row r="127" spans="1:9" ht="12" customHeight="1">
      <c r="A127" s="1099" t="s">
        <v>3517</v>
      </c>
      <c r="D127" s="1032" t="s">
        <v>3482</v>
      </c>
      <c r="I127" s="1032"/>
    </row>
    <row r="128" spans="1:9" ht="3" customHeight="1">
      <c r="G128" s="1032"/>
      <c r="H128" s="1032"/>
      <c r="I128" s="1032"/>
    </row>
    <row r="129" spans="1:10" ht="12" customHeight="1">
      <c r="A129" s="1099" t="s">
        <v>3518</v>
      </c>
      <c r="D129" s="1032" t="s">
        <v>3519</v>
      </c>
      <c r="G129" s="1032"/>
      <c r="I129" s="1032"/>
    </row>
    <row r="130" spans="1:10" ht="7.5" customHeight="1">
      <c r="G130" s="1032"/>
      <c r="H130" s="1032"/>
      <c r="I130" s="1032"/>
    </row>
    <row r="131" spans="1:10" ht="12" customHeight="1">
      <c r="A131" s="1145" t="s">
        <v>3520</v>
      </c>
      <c r="G131" s="1032"/>
      <c r="H131" s="1032"/>
      <c r="I131" s="1032"/>
    </row>
    <row r="132" spans="1:10" ht="12" customHeight="1">
      <c r="A132" s="1099" t="s">
        <v>3521</v>
      </c>
      <c r="C132" s="1147" t="str">
        <f>Overview!H11</f>
        <v>Prestwick Development Company, LLC</v>
      </c>
      <c r="G132" s="1032"/>
      <c r="I132" s="1032"/>
    </row>
    <row r="133" spans="1:10" ht="12" customHeight="1">
      <c r="C133" s="1147">
        <f>Overview!K11</f>
        <v>0</v>
      </c>
      <c r="G133" s="1032"/>
      <c r="I133" s="1032"/>
    </row>
    <row r="134" spans="1:10" ht="3" customHeight="1">
      <c r="C134" s="1032"/>
      <c r="G134" s="1032"/>
      <c r="I134" s="1032"/>
    </row>
    <row r="135" spans="1:10" ht="12" customHeight="1">
      <c r="A135" s="1099" t="s">
        <v>3522</v>
      </c>
      <c r="C135" s="1184">
        <f>('Part IV-Uses of Funds'!G117-'Part III-Sources of Funds'!I42)/2</f>
        <v>1041986.25</v>
      </c>
      <c r="G135" s="1032"/>
      <c r="I135" s="1032"/>
    </row>
    <row r="136" spans="1:10" ht="3" customHeight="1">
      <c r="C136" s="1032"/>
      <c r="G136" s="1032"/>
      <c r="I136" s="1032"/>
    </row>
    <row r="137" spans="1:10" ht="12" customHeight="1">
      <c r="A137" s="1099" t="s">
        <v>3523</v>
      </c>
      <c r="C137" s="1175" t="s">
        <v>3524</v>
      </c>
      <c r="G137" s="1032"/>
      <c r="I137" s="1032"/>
    </row>
    <row r="138" spans="1:10" ht="3" customHeight="1">
      <c r="C138" s="1147"/>
      <c r="G138" s="1032"/>
      <c r="I138" s="1032"/>
    </row>
    <row r="139" spans="1:10" ht="12" customHeight="1">
      <c r="A139" s="1099" t="s">
        <v>3525</v>
      </c>
      <c r="C139" s="1147" t="str">
        <f>'Preview term'!E19</f>
        <v>LEDIC Management Company</v>
      </c>
      <c r="G139" s="1032"/>
      <c r="I139" s="1032"/>
      <c r="J139" s="1185"/>
    </row>
    <row r="140" spans="1:10" ht="3" customHeight="1">
      <c r="C140" s="1147"/>
      <c r="G140" s="1032"/>
      <c r="I140" s="1032"/>
    </row>
    <row r="141" spans="1:10" ht="12" customHeight="1">
      <c r="A141" s="1099" t="s">
        <v>3526</v>
      </c>
      <c r="C141" s="1149" t="str">
        <f>C8</f>
        <v>Capital View Senior Residences I LP</v>
      </c>
      <c r="G141" s="1032"/>
      <c r="I141" s="1146"/>
      <c r="J141" s="1186"/>
    </row>
    <row r="142" spans="1:10" ht="3" customHeight="1">
      <c r="C142" s="1149"/>
      <c r="G142" s="1032"/>
      <c r="I142" s="1146"/>
      <c r="J142" s="1186"/>
    </row>
    <row r="143" spans="1:10" ht="12" customHeight="1">
      <c r="A143" s="1099" t="s">
        <v>3527</v>
      </c>
      <c r="C143" s="1149" t="str">
        <f>C132</f>
        <v>Prestwick Development Company, LLC</v>
      </c>
      <c r="G143" s="1032"/>
      <c r="I143" s="1146"/>
      <c r="J143" s="1186"/>
    </row>
    <row r="144" spans="1:10">
      <c r="C144" s="1149" t="str">
        <f>'Part II-Development Team'!$H$55&amp;", "&amp;'Part II-Development Team'!$H$56&amp;", "&amp;'Part II-Development Team'!$H$57&amp;"  "&amp;'Part II-Development Team'!$J$57</f>
        <v xml:space="preserve">3715 Northside Pkwy, Bldg 200, Ste 175, Atlanta, GA  </v>
      </c>
      <c r="G144" s="1032"/>
      <c r="I144" s="1146"/>
      <c r="J144" s="1186"/>
    </row>
    <row r="145" spans="1:10" ht="3" customHeight="1">
      <c r="C145" s="1187"/>
      <c r="G145" s="1032"/>
      <c r="I145" s="1146"/>
      <c r="J145" s="1186"/>
    </row>
    <row r="146" spans="1:10" ht="12" customHeight="1">
      <c r="A146" s="1099" t="s">
        <v>3528</v>
      </c>
      <c r="C146" s="1149" t="str">
        <f>Overview!H10</f>
        <v>Direct Tax Credits</v>
      </c>
      <c r="G146" s="1032"/>
      <c r="I146" s="1146"/>
      <c r="J146" s="1185"/>
    </row>
    <row r="147" spans="1:10" ht="3" customHeight="1">
      <c r="C147" s="1149"/>
      <c r="G147" s="1032"/>
      <c r="I147" s="1146"/>
      <c r="J147" s="1186"/>
    </row>
    <row r="148" spans="1:10" ht="12" customHeight="1">
      <c r="A148" s="1099" t="s">
        <v>3529</v>
      </c>
      <c r="C148" s="1149" t="str">
        <f>Overview!K10</f>
        <v>Direct Tax Credits</v>
      </c>
      <c r="G148" s="1032"/>
      <c r="I148" s="1146"/>
      <c r="J148" s="1185"/>
    </row>
    <row r="149" spans="1:10" ht="3" customHeight="1">
      <c r="C149" s="1187"/>
      <c r="G149" s="1032"/>
      <c r="I149" s="1146"/>
      <c r="J149" s="1186"/>
    </row>
    <row r="150" spans="1:10" ht="12" customHeight="1">
      <c r="A150" s="1099" t="s">
        <v>3530</v>
      </c>
      <c r="C150" s="1188" t="s">
        <v>3482</v>
      </c>
      <c r="G150" s="1032"/>
      <c r="I150" s="1032"/>
    </row>
    <row r="151" spans="1:10" ht="3" customHeight="1">
      <c r="C151" s="1188"/>
      <c r="G151" s="1032"/>
      <c r="I151" s="1032"/>
    </row>
    <row r="152" spans="1:10" ht="12" customHeight="1">
      <c r="A152" s="1099" t="s">
        <v>3531</v>
      </c>
      <c r="C152" s="1188" t="s">
        <v>3482</v>
      </c>
      <c r="G152" s="1032"/>
      <c r="I152" s="1032"/>
    </row>
    <row r="153" spans="1:10" ht="7.5" customHeight="1">
      <c r="G153" s="1032"/>
      <c r="H153" s="1032"/>
      <c r="I153" s="1032"/>
    </row>
    <row r="154" spans="1:10" ht="12" customHeight="1">
      <c r="A154" s="1145" t="s">
        <v>3532</v>
      </c>
      <c r="G154" s="1032"/>
      <c r="H154" s="1032"/>
      <c r="I154" s="1032"/>
    </row>
    <row r="155" spans="1:10" ht="3" customHeight="1">
      <c r="D155" s="1032"/>
      <c r="E155" s="1032"/>
      <c r="G155" s="1032"/>
    </row>
    <row r="156" spans="1:10" ht="12" customHeight="1">
      <c r="A156" s="1099" t="s">
        <v>3533</v>
      </c>
      <c r="C156" s="1032" t="s">
        <v>4036</v>
      </c>
      <c r="D156" s="1032"/>
      <c r="G156" s="1032"/>
      <c r="H156" s="1032"/>
      <c r="I156" s="1032"/>
    </row>
    <row r="157" spans="1:10" ht="3" customHeight="1">
      <c r="D157" s="1032"/>
      <c r="E157" s="1032"/>
      <c r="G157" s="1032"/>
    </row>
    <row r="158" spans="1:10" ht="12" customHeight="1">
      <c r="A158" s="1099" t="s">
        <v>3534</v>
      </c>
      <c r="D158" s="1175">
        <v>20</v>
      </c>
      <c r="E158" s="1032" t="s">
        <v>2505</v>
      </c>
    </row>
    <row r="159" spans="1:10" ht="3" customHeight="1">
      <c r="D159" s="1032"/>
      <c r="E159" s="1032"/>
      <c r="G159" s="1032"/>
    </row>
    <row r="160" spans="1:10" ht="12" customHeight="1">
      <c r="A160" s="1099" t="s">
        <v>3535</v>
      </c>
      <c r="C160" s="1032" t="s">
        <v>1847</v>
      </c>
      <c r="D160" s="1032" t="s">
        <v>4088</v>
      </c>
      <c r="G160" s="1032"/>
    </row>
    <row r="161" spans="1:13" ht="3" customHeight="1">
      <c r="G161" s="1032"/>
      <c r="H161" s="1032"/>
      <c r="I161" s="1032"/>
    </row>
    <row r="162" spans="1:13" ht="12" customHeight="1">
      <c r="A162" s="1099" t="s">
        <v>3536</v>
      </c>
      <c r="G162" s="1032"/>
      <c r="H162" s="1032"/>
      <c r="I162" s="1032"/>
    </row>
    <row r="163" spans="1:13" ht="7.5" customHeight="1">
      <c r="G163" s="1032"/>
      <c r="H163" s="1032"/>
      <c r="I163" s="1032"/>
    </row>
    <row r="164" spans="1:13" ht="12" customHeight="1">
      <c r="A164" s="1145" t="s">
        <v>3537</v>
      </c>
      <c r="G164" s="1032"/>
      <c r="H164" s="1032"/>
      <c r="I164" s="1032"/>
    </row>
    <row r="165" spans="1:13" ht="12" customHeight="1">
      <c r="A165" s="1099" t="s">
        <v>3652</v>
      </c>
      <c r="C165" s="1099" t="s">
        <v>3653</v>
      </c>
      <c r="E165" s="1175">
        <f>'Preview term'!F77</f>
        <v>0</v>
      </c>
      <c r="G165" s="1032"/>
      <c r="I165" s="1032"/>
    </row>
    <row r="166" spans="1:13" ht="12" customHeight="1">
      <c r="C166" s="1099" t="s">
        <v>4037</v>
      </c>
      <c r="I166" s="1032"/>
    </row>
    <row r="167" spans="1:13" ht="3" customHeight="1">
      <c r="E167" s="1032"/>
      <c r="G167" s="1032"/>
      <c r="I167" s="1032"/>
    </row>
    <row r="168" spans="1:13" ht="12" customHeight="1">
      <c r="A168" s="1099" t="s">
        <v>3538</v>
      </c>
      <c r="C168" s="1099" t="s">
        <v>3539</v>
      </c>
      <c r="E168" s="1189">
        <f>'Preview term'!F71</f>
        <v>617423</v>
      </c>
      <c r="G168" s="1032"/>
      <c r="I168" s="1032"/>
    </row>
    <row r="169" spans="1:13" ht="12" customHeight="1">
      <c r="C169" s="1099" t="s">
        <v>4037</v>
      </c>
      <c r="I169" s="1032"/>
    </row>
    <row r="170" spans="1:13" ht="12" customHeight="1">
      <c r="C170" s="1099" t="s">
        <v>3540</v>
      </c>
      <c r="E170" s="1147" t="s">
        <v>3058</v>
      </c>
      <c r="G170" s="1032"/>
      <c r="I170" s="1032"/>
    </row>
    <row r="171" spans="1:13" ht="3" customHeight="1">
      <c r="E171" s="1147"/>
      <c r="G171" s="1032"/>
      <c r="I171" s="1032"/>
    </row>
    <row r="172" spans="1:13" ht="12" customHeight="1">
      <c r="A172" s="1099" t="s">
        <v>3654</v>
      </c>
      <c r="C172" s="1099" t="s">
        <v>3655</v>
      </c>
      <c r="E172" s="1189">
        <f>'Preview term'!F73</f>
        <v>0</v>
      </c>
      <c r="G172" s="1032"/>
      <c r="I172" s="1032"/>
    </row>
    <row r="173" spans="1:13" ht="12" customHeight="1">
      <c r="C173" s="1099" t="s">
        <v>3541</v>
      </c>
      <c r="E173" s="1189">
        <f>'Preview term'!F74</f>
        <v>0</v>
      </c>
      <c r="G173" s="1032"/>
      <c r="I173" s="1146"/>
      <c r="J173" s="1186"/>
      <c r="K173" s="1186"/>
      <c r="L173" s="1186"/>
      <c r="M173" s="1186"/>
    </row>
    <row r="174" spans="1:13" ht="12" customHeight="1">
      <c r="C174" s="1099" t="s">
        <v>3542</v>
      </c>
      <c r="E174" s="1184" t="e">
        <f>#REF!</f>
        <v>#REF!</v>
      </c>
      <c r="F174" s="1146" t="s">
        <v>3543</v>
      </c>
      <c r="J174" s="1186"/>
      <c r="K174" s="1186"/>
      <c r="L174" s="1186"/>
      <c r="M174" s="1186"/>
    </row>
    <row r="175" spans="1:13">
      <c r="E175" s="1189" t="e">
        <f>E174/12</f>
        <v>#REF!</v>
      </c>
      <c r="F175" s="1032" t="s">
        <v>3386</v>
      </c>
    </row>
    <row r="176" spans="1:13" ht="12" customHeight="1">
      <c r="C176" s="1099" t="s">
        <v>4038</v>
      </c>
      <c r="I176" s="1032"/>
    </row>
    <row r="177" spans="1:10" ht="12" customHeight="1">
      <c r="C177" s="1099" t="s">
        <v>3544</v>
      </c>
      <c r="E177" s="1032" t="s">
        <v>3297</v>
      </c>
      <c r="I177" s="1032"/>
    </row>
    <row r="178" spans="1:10" ht="12" customHeight="1">
      <c r="C178" s="1099" t="s">
        <v>3545</v>
      </c>
      <c r="E178" s="1032" t="s">
        <v>3058</v>
      </c>
      <c r="I178" s="1032"/>
    </row>
    <row r="179" spans="1:10" ht="3" customHeight="1">
      <c r="E179" s="1032"/>
      <c r="F179" s="1032"/>
      <c r="I179" s="1032"/>
    </row>
    <row r="180" spans="1:10" ht="12" customHeight="1">
      <c r="A180" s="1099" t="s">
        <v>3650</v>
      </c>
      <c r="C180" s="1099" t="s">
        <v>3651</v>
      </c>
      <c r="E180" s="1147" t="s">
        <v>1847</v>
      </c>
      <c r="F180" s="1190"/>
      <c r="I180" s="1032"/>
    </row>
    <row r="181" spans="1:10" ht="12" customHeight="1">
      <c r="C181" s="1099" t="s">
        <v>3546</v>
      </c>
      <c r="E181" s="1147" t="s">
        <v>1847</v>
      </c>
      <c r="F181" s="2796"/>
      <c r="G181" s="2796"/>
      <c r="H181" s="2796"/>
      <c r="I181" s="2796"/>
      <c r="J181" s="2796"/>
    </row>
    <row r="182" spans="1:10" ht="12" customHeight="1">
      <c r="C182" s="1099" t="s">
        <v>4039</v>
      </c>
      <c r="E182" s="1032" t="s">
        <v>3482</v>
      </c>
      <c r="I182" s="1032"/>
    </row>
    <row r="183" spans="1:10" ht="12" customHeight="1">
      <c r="C183" s="1099" t="s">
        <v>3547</v>
      </c>
      <c r="E183" s="1032" t="s">
        <v>3058</v>
      </c>
      <c r="I183" s="1032"/>
    </row>
    <row r="184" spans="1:10" ht="3" customHeight="1">
      <c r="G184" s="1032"/>
      <c r="H184" s="1032"/>
      <c r="I184" s="1032"/>
    </row>
    <row r="185" spans="1:10" ht="12" customHeight="1">
      <c r="A185" s="1099" t="s">
        <v>3656</v>
      </c>
      <c r="C185" s="1099" t="s">
        <v>3657</v>
      </c>
      <c r="E185" s="1189">
        <f>'Preview term'!F75</f>
        <v>192809</v>
      </c>
      <c r="G185" s="1032"/>
      <c r="I185" s="1032"/>
    </row>
    <row r="186" spans="1:10" ht="12" customHeight="1">
      <c r="C186" s="1099" t="s">
        <v>4037</v>
      </c>
      <c r="E186" s="1147">
        <f>E169</f>
        <v>0</v>
      </c>
      <c r="G186" s="1032"/>
      <c r="I186" s="1032"/>
    </row>
    <row r="187" spans="1:10" ht="12" customHeight="1">
      <c r="C187" s="1099" t="s">
        <v>3548</v>
      </c>
      <c r="E187" s="1147" t="s">
        <v>3482</v>
      </c>
      <c r="G187" s="1032"/>
      <c r="I187" s="1032"/>
    </row>
    <row r="188" spans="1:10" ht="3" customHeight="1">
      <c r="E188" s="1147"/>
      <c r="G188" s="1032"/>
      <c r="I188" s="1032"/>
    </row>
    <row r="189" spans="1:10" ht="12" customHeight="1">
      <c r="A189" s="1099" t="s">
        <v>3658</v>
      </c>
      <c r="C189" s="1099" t="s">
        <v>3659</v>
      </c>
      <c r="E189" s="1147" t="s">
        <v>3482</v>
      </c>
      <c r="G189" s="1032"/>
      <c r="I189" s="1032"/>
    </row>
    <row r="190" spans="1:10" ht="12" customHeight="1">
      <c r="C190" s="1099" t="s">
        <v>3539</v>
      </c>
      <c r="E190" s="1165"/>
      <c r="G190" s="1032"/>
      <c r="H190" s="1174"/>
      <c r="I190" s="1032"/>
    </row>
    <row r="191" spans="1:10" ht="12" customHeight="1">
      <c r="C191" s="1099" t="s">
        <v>4037</v>
      </c>
      <c r="E191" s="1165"/>
      <c r="I191" s="1147"/>
    </row>
    <row r="192" spans="1:10" ht="12" customHeight="1">
      <c r="C192" s="1099" t="s">
        <v>3540</v>
      </c>
      <c r="E192" s="1165"/>
      <c r="G192" s="1032"/>
      <c r="H192" s="1032"/>
      <c r="I192" s="1032"/>
    </row>
    <row r="193" spans="1:10" ht="9" customHeight="1">
      <c r="G193" s="1032"/>
      <c r="H193" s="1032"/>
      <c r="I193" s="1032"/>
    </row>
    <row r="194" spans="1:10" ht="12" customHeight="1">
      <c r="A194" s="1145" t="s">
        <v>3549</v>
      </c>
      <c r="C194" s="1032" t="s">
        <v>3550</v>
      </c>
      <c r="E194" s="1032"/>
      <c r="I194" s="1032"/>
    </row>
    <row r="195" spans="1:10" ht="9" customHeight="1">
      <c r="E195" s="1032"/>
      <c r="F195" s="1032"/>
      <c r="I195" s="1032"/>
    </row>
    <row r="196" spans="1:10" ht="12" customHeight="1">
      <c r="A196" s="1145" t="s">
        <v>3551</v>
      </c>
      <c r="E196" s="1032"/>
      <c r="F196" s="1032"/>
      <c r="I196" s="1032"/>
    </row>
    <row r="197" spans="1:10" ht="12" customHeight="1">
      <c r="A197" s="1099" t="s">
        <v>3552</v>
      </c>
      <c r="C197" s="1032" t="s">
        <v>1847</v>
      </c>
      <c r="E197" s="1032"/>
      <c r="F197" s="1032"/>
      <c r="I197" s="1032"/>
    </row>
    <row r="198" spans="1:10" ht="3" customHeight="1">
      <c r="G198" s="1032"/>
      <c r="H198" s="1032"/>
      <c r="I198" s="1032"/>
    </row>
    <row r="199" spans="1:10">
      <c r="A199" s="1158" t="s">
        <v>4041</v>
      </c>
      <c r="B199" s="1158"/>
      <c r="C199" s="1158"/>
      <c r="D199" s="1158"/>
      <c r="E199" s="1163" t="s">
        <v>4040</v>
      </c>
      <c r="F199" s="2806"/>
      <c r="G199" s="2806"/>
      <c r="H199" s="2806"/>
      <c r="I199" s="2806"/>
      <c r="J199" s="2806"/>
    </row>
    <row r="200" spans="1:10" ht="9" customHeight="1">
      <c r="G200" s="1032"/>
      <c r="H200" s="1032"/>
      <c r="I200" s="1032"/>
    </row>
    <row r="201" spans="1:10" ht="12" customHeight="1">
      <c r="A201" s="1191" t="s">
        <v>3649</v>
      </c>
      <c r="G201" s="1032"/>
      <c r="H201" s="1032"/>
      <c r="I201" s="1174"/>
    </row>
    <row r="202" spans="1:10" ht="25.5" customHeight="1">
      <c r="A202" s="2797" t="str">
        <f>'Subsidy Layering Memo'!A98</f>
        <v>Include any reserve requirements; explain any reserves far in excess of 6 month ODR, 3 mo lease up, 1 year RR, 6 mo T&amp;I standards.</v>
      </c>
      <c r="B202" s="2797"/>
      <c r="C202" s="2797"/>
      <c r="D202" s="2797"/>
      <c r="E202" s="2797"/>
      <c r="F202" s="2797"/>
      <c r="G202" s="2797"/>
      <c r="H202" s="2797"/>
      <c r="I202" s="2797"/>
      <c r="J202" s="2797"/>
    </row>
    <row r="203" spans="1:10">
      <c r="A203" s="1032"/>
      <c r="G203" s="1032"/>
      <c r="H203" s="1032"/>
      <c r="I203" s="1032"/>
    </row>
    <row r="204" spans="1:10">
      <c r="A204" s="1145" t="s">
        <v>3553</v>
      </c>
      <c r="G204" s="1032"/>
      <c r="H204" s="1032"/>
      <c r="I204" s="1032"/>
    </row>
    <row r="205" spans="1:10" ht="3" customHeight="1">
      <c r="G205" s="1032"/>
      <c r="H205" s="1032"/>
      <c r="I205" s="1032"/>
    </row>
    <row r="206" spans="1:10" ht="76.5" customHeight="1">
      <c r="A206" s="2799" t="s">
        <v>3244</v>
      </c>
      <c r="B206" s="2799"/>
      <c r="C206" s="2799"/>
      <c r="D206" s="2799"/>
      <c r="E206" s="2799"/>
      <c r="F206" s="2799"/>
      <c r="G206" s="2799"/>
      <c r="H206" s="2799"/>
      <c r="I206" s="2799"/>
      <c r="J206" s="2799"/>
    </row>
    <row r="207" spans="1:10">
      <c r="A207" s="1032" t="s">
        <v>3245</v>
      </c>
      <c r="G207" s="1032"/>
      <c r="H207" s="1032"/>
      <c r="I207" s="1032"/>
    </row>
    <row r="208" spans="1:10" ht="38.25" customHeight="1">
      <c r="A208" s="2799" t="str">
        <f>'Subsidy Layering Memo'!A37&amp;".  "&amp;'Subsidy Layering Memo'!A38</f>
        <v xml:space="preserve">.  </v>
      </c>
      <c r="B208" s="2800"/>
      <c r="C208" s="2800"/>
      <c r="D208" s="2800"/>
      <c r="E208" s="2800"/>
      <c r="F208" s="2800"/>
      <c r="G208" s="2800"/>
      <c r="H208" s="2800"/>
      <c r="I208" s="2800"/>
      <c r="J208" s="2800"/>
    </row>
    <row r="209" spans="1:4">
      <c r="A209" s="1147"/>
    </row>
    <row r="210" spans="1:4">
      <c r="A210" s="1147"/>
    </row>
    <row r="211" spans="1:4">
      <c r="A211" s="1032"/>
    </row>
    <row r="215" spans="1:4">
      <c r="D215" s="1099" t="s">
        <v>255</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99" customWidth="1"/>
    <col min="2" max="2" width="4.28515625" style="1099" customWidth="1"/>
    <col min="3" max="3" width="18.5703125" style="1099" customWidth="1"/>
    <col min="4" max="4" width="2.7109375" style="1099" customWidth="1"/>
    <col min="5" max="5" width="6.5703125" style="1099" customWidth="1"/>
    <col min="6" max="6" width="39.28515625" style="1099" customWidth="1"/>
    <col min="7" max="8" width="8.42578125" style="1099" customWidth="1"/>
    <col min="9" max="16384" width="9.140625" style="1099"/>
  </cols>
  <sheetData>
    <row r="1" spans="1:11">
      <c r="A1" s="1032" t="s">
        <v>3554</v>
      </c>
      <c r="H1" s="1150" t="str">
        <f>Overview!C8</f>
        <v>Gateway Capitol View</v>
      </c>
    </row>
    <row r="2" spans="1:11">
      <c r="A2" s="1032" t="s">
        <v>3555</v>
      </c>
    </row>
    <row r="3" spans="1:11" ht="3" customHeight="1"/>
    <row r="4" spans="1:11" ht="51.75" customHeight="1">
      <c r="A4" s="2800" t="s">
        <v>3666</v>
      </c>
      <c r="B4" s="2800"/>
      <c r="C4" s="2800"/>
      <c r="D4" s="2800"/>
      <c r="E4" s="2800"/>
      <c r="F4" s="2800"/>
      <c r="G4" s="2800"/>
      <c r="H4" s="2800"/>
      <c r="J4" s="1192">
        <f>SUM('Part VII-Pro Forma'!B14:B16)/12</f>
        <v>112360.72139999999</v>
      </c>
      <c r="K4" s="1099" t="s">
        <v>4089</v>
      </c>
    </row>
    <row r="5" spans="1:11" ht="1.5" customHeight="1">
      <c r="C5" s="1193"/>
      <c r="D5" s="1193"/>
      <c r="E5" s="1193"/>
      <c r="F5" s="1193"/>
      <c r="G5" s="1193"/>
      <c r="H5" s="1193"/>
    </row>
    <row r="6" spans="1:11" ht="12.75" customHeight="1">
      <c r="B6" s="1194" t="s">
        <v>2532</v>
      </c>
      <c r="C6" s="2800" t="s">
        <v>3556</v>
      </c>
      <c r="D6" s="2800"/>
      <c r="E6" s="2800"/>
      <c r="F6" s="2800"/>
      <c r="G6" s="2800"/>
      <c r="H6" s="2800"/>
    </row>
    <row r="7" spans="1:11" ht="12.75" customHeight="1">
      <c r="B7" s="1194" t="s">
        <v>2533</v>
      </c>
      <c r="C7" s="2800" t="s">
        <v>3557</v>
      </c>
      <c r="D7" s="2800"/>
      <c r="E7" s="2800"/>
      <c r="F7" s="2800"/>
      <c r="G7" s="2800"/>
      <c r="H7" s="2800"/>
    </row>
    <row r="8" spans="1:11" ht="3" customHeight="1"/>
    <row r="9" spans="1:11">
      <c r="A9" s="1099" t="s">
        <v>3558</v>
      </c>
    </row>
    <row r="10" spans="1:11" ht="1.5" customHeight="1"/>
    <row r="11" spans="1:11" ht="26.25" customHeight="1">
      <c r="A11" s="1195" t="s">
        <v>2068</v>
      </c>
      <c r="B11" s="2815" t="s">
        <v>3663</v>
      </c>
      <c r="C11" s="2815"/>
      <c r="D11" s="2815"/>
      <c r="E11" s="2815"/>
      <c r="F11" s="2815"/>
      <c r="G11" s="2812">
        <f>'Part III-Sources of Funds'!I45+'Part III-Sources of Funds'!I46</f>
        <v>13655634</v>
      </c>
      <c r="H11" s="2812"/>
    </row>
    <row r="12" spans="1:11" ht="1.5" customHeight="1">
      <c r="G12" s="1158"/>
      <c r="H12" s="1158"/>
    </row>
    <row r="13" spans="1:11" ht="26.25" customHeight="1">
      <c r="A13" s="1195" t="s">
        <v>2071</v>
      </c>
      <c r="B13" s="2815" t="s">
        <v>3664</v>
      </c>
      <c r="C13" s="2815"/>
      <c r="D13" s="2815"/>
      <c r="E13" s="2815"/>
      <c r="F13" s="2815"/>
      <c r="G13" s="2814" t="s">
        <v>3482</v>
      </c>
      <c r="H13" s="2814"/>
    </row>
    <row r="14" spans="1:11" ht="12" customHeight="1">
      <c r="A14" s="1195"/>
      <c r="B14" s="2801"/>
      <c r="C14" s="2801"/>
      <c r="D14" s="2801"/>
      <c r="E14" s="2801"/>
      <c r="F14" s="2801"/>
      <c r="G14" s="2801"/>
      <c r="H14" s="2801"/>
    </row>
    <row r="15" spans="1:11" ht="1.5" customHeight="1"/>
    <row r="16" spans="1:11" ht="12" customHeight="1">
      <c r="A16" s="1195" t="s">
        <v>786</v>
      </c>
      <c r="B16" s="1099" t="s">
        <v>3668</v>
      </c>
      <c r="F16" s="1186"/>
      <c r="G16" s="2813" t="s">
        <v>3300</v>
      </c>
      <c r="H16" s="2813"/>
    </row>
    <row r="17" spans="1:8" ht="1.5" customHeight="1">
      <c r="G17" s="1165"/>
    </row>
    <row r="18" spans="1:8" ht="12" customHeight="1">
      <c r="A18" s="1195" t="s">
        <v>2203</v>
      </c>
      <c r="B18" s="1158" t="s">
        <v>3665</v>
      </c>
      <c r="C18" s="1195"/>
      <c r="D18" s="1195"/>
      <c r="E18" s="1195"/>
      <c r="G18" s="2801" t="s">
        <v>3058</v>
      </c>
      <c r="H18" s="2801"/>
    </row>
    <row r="19" spans="1:8" ht="12" customHeight="1">
      <c r="B19" s="2801"/>
      <c r="C19" s="2801"/>
      <c r="D19" s="2801"/>
      <c r="E19" s="2801"/>
      <c r="F19" s="2801"/>
      <c r="G19" s="2801"/>
      <c r="H19" s="2801"/>
    </row>
    <row r="20" spans="1:8" ht="13.5" customHeight="1"/>
    <row r="21" spans="1:8" ht="12" customHeight="1">
      <c r="A21" s="1032" t="s">
        <v>3559</v>
      </c>
    </row>
    <row r="22" spans="1:8" ht="3" customHeight="1"/>
    <row r="23" spans="1:8" ht="26.25" customHeight="1">
      <c r="A23" s="2810" t="s">
        <v>3667</v>
      </c>
      <c r="B23" s="2810"/>
      <c r="C23" s="2810"/>
      <c r="D23" s="2810"/>
      <c r="E23" s="2810"/>
      <c r="F23" s="2810"/>
      <c r="G23" s="2810"/>
      <c r="H23" s="2810"/>
    </row>
    <row r="24" spans="1:8" ht="26.25" customHeight="1">
      <c r="A24" s="2811" t="s">
        <v>3560</v>
      </c>
      <c r="B24" s="2811"/>
      <c r="C24" s="2811"/>
      <c r="D24" s="2811"/>
      <c r="E24" s="2811"/>
      <c r="F24" s="2811"/>
      <c r="G24" s="2811"/>
      <c r="H24" s="2811"/>
    </row>
    <row r="25" spans="1:8" ht="9" customHeight="1">
      <c r="A25" s="1125"/>
    </row>
    <row r="26" spans="1:8">
      <c r="A26" s="1165" t="s">
        <v>3669</v>
      </c>
      <c r="B26" s="1196"/>
      <c r="C26" s="1165" t="s">
        <v>3670</v>
      </c>
      <c r="D26" s="1197" t="s">
        <v>4048</v>
      </c>
    </row>
    <row r="27" spans="1:8" ht="6" customHeight="1"/>
    <row r="28" spans="1:8" ht="12.75" customHeight="1">
      <c r="C28" s="1158" t="s">
        <v>3561</v>
      </c>
      <c r="D28" s="1198" t="s">
        <v>2072</v>
      </c>
      <c r="E28" s="1199"/>
      <c r="F28" s="2800" t="s">
        <v>3562</v>
      </c>
      <c r="G28" s="2800"/>
      <c r="H28" s="2800"/>
    </row>
    <row r="29" spans="1:8" ht="12.75" customHeight="1">
      <c r="C29" s="1200" t="s">
        <v>1410</v>
      </c>
      <c r="D29" s="1198" t="s">
        <v>2074</v>
      </c>
      <c r="E29" s="2800" t="s">
        <v>3674</v>
      </c>
      <c r="F29" s="2800"/>
      <c r="G29" s="2800"/>
      <c r="H29" s="2800"/>
    </row>
    <row r="30" spans="1:8" ht="12.75" customHeight="1">
      <c r="E30" s="2800" t="s">
        <v>4044</v>
      </c>
      <c r="F30" s="2800"/>
      <c r="G30" s="2800"/>
      <c r="H30" s="2800"/>
    </row>
    <row r="31" spans="1:8" ht="12.75" customHeight="1">
      <c r="D31" s="1201" t="s">
        <v>3673</v>
      </c>
      <c r="E31" s="2800" t="s">
        <v>4045</v>
      </c>
      <c r="F31" s="2800"/>
      <c r="G31" s="2800"/>
      <c r="H31" s="2800"/>
    </row>
    <row r="32" spans="1:8" ht="3" customHeight="1">
      <c r="D32" s="1198"/>
      <c r="E32" s="1202"/>
      <c r="F32" s="1202"/>
      <c r="G32" s="1202"/>
      <c r="H32" s="1202"/>
    </row>
    <row r="33" spans="1:11">
      <c r="A33" s="1165" t="s">
        <v>3669</v>
      </c>
      <c r="B33" s="1196"/>
      <c r="C33" s="1165" t="s">
        <v>3671</v>
      </c>
      <c r="D33" s="1197" t="s">
        <v>4049</v>
      </c>
    </row>
    <row r="34" spans="1:11" ht="4.5" customHeight="1"/>
    <row r="35" spans="1:11" ht="12.75" customHeight="1">
      <c r="C35" s="1158" t="s">
        <v>3561</v>
      </c>
      <c r="D35" s="1198" t="s">
        <v>2072</v>
      </c>
      <c r="E35" s="1199"/>
      <c r="F35" s="2800" t="s">
        <v>3562</v>
      </c>
      <c r="G35" s="2800"/>
      <c r="H35" s="2800"/>
    </row>
    <row r="36" spans="1:11" ht="12.75" customHeight="1">
      <c r="C36" s="1200" t="s">
        <v>1410</v>
      </c>
      <c r="D36" s="1198" t="s">
        <v>2074</v>
      </c>
      <c r="E36" s="2800" t="s">
        <v>3675</v>
      </c>
      <c r="F36" s="2800"/>
      <c r="G36" s="2800"/>
      <c r="H36" s="2800"/>
    </row>
    <row r="37" spans="1:11" ht="12.75" customHeight="1">
      <c r="E37" s="2800" t="s">
        <v>4044</v>
      </c>
      <c r="F37" s="2800"/>
      <c r="G37" s="2800"/>
      <c r="H37" s="2800"/>
    </row>
    <row r="38" spans="1:11" ht="12.75" customHeight="1">
      <c r="D38" s="1201" t="s">
        <v>3673</v>
      </c>
      <c r="E38" s="2800" t="s">
        <v>4045</v>
      </c>
      <c r="F38" s="2800"/>
      <c r="G38" s="2800"/>
      <c r="H38" s="2800"/>
    </row>
    <row r="39" spans="1:11" ht="3" customHeight="1">
      <c r="D39" s="1198"/>
      <c r="E39" s="1202"/>
      <c r="F39" s="1202"/>
      <c r="G39" s="1202"/>
      <c r="H39" s="1202"/>
    </row>
    <row r="40" spans="1:11">
      <c r="A40" s="1165" t="s">
        <v>3669</v>
      </c>
      <c r="B40" s="1196"/>
      <c r="C40" s="1165" t="s">
        <v>3672</v>
      </c>
      <c r="D40" s="1197" t="s">
        <v>4050</v>
      </c>
    </row>
    <row r="41" spans="1:11" ht="4.5" customHeight="1"/>
    <row r="42" spans="1:11" ht="12.75" customHeight="1">
      <c r="C42" s="1158" t="s">
        <v>3561</v>
      </c>
      <c r="D42" s="1198" t="s">
        <v>2072</v>
      </c>
      <c r="E42" s="1199"/>
      <c r="F42" s="2800" t="s">
        <v>3562</v>
      </c>
      <c r="G42" s="2800"/>
      <c r="H42" s="2800"/>
      <c r="K42" s="1099" t="s">
        <v>255</v>
      </c>
    </row>
    <row r="43" spans="1:11" ht="12.75" customHeight="1">
      <c r="C43" s="1200" t="s">
        <v>1410</v>
      </c>
      <c r="D43" s="1198" t="s">
        <v>2074</v>
      </c>
      <c r="E43" s="2800" t="s">
        <v>3675</v>
      </c>
      <c r="F43" s="2800"/>
      <c r="G43" s="2800"/>
      <c r="H43" s="2800"/>
    </row>
    <row r="44" spans="1:11" ht="12.75" customHeight="1">
      <c r="E44" s="2800" t="s">
        <v>4044</v>
      </c>
      <c r="F44" s="2800"/>
      <c r="G44" s="2800"/>
      <c r="H44" s="2800"/>
    </row>
    <row r="45" spans="1:11" ht="12.75" customHeight="1">
      <c r="D45" s="1201" t="s">
        <v>3673</v>
      </c>
      <c r="E45" s="2800" t="s">
        <v>4045</v>
      </c>
      <c r="F45" s="2800"/>
      <c r="G45" s="2800"/>
      <c r="H45" s="2800"/>
    </row>
    <row r="46" spans="1:11" ht="9" customHeight="1"/>
    <row r="47" spans="1:11" ht="7.5" customHeight="1">
      <c r="E47" s="2800"/>
      <c r="F47" s="2800"/>
      <c r="G47" s="2800"/>
      <c r="H47" s="2800"/>
    </row>
    <row r="48" spans="1:11">
      <c r="A48" s="1125" t="s">
        <v>3563</v>
      </c>
      <c r="E48" s="1202"/>
      <c r="F48" s="1202"/>
      <c r="G48" s="1202"/>
      <c r="H48" s="1202"/>
    </row>
    <row r="49" spans="1:11" ht="9" customHeight="1"/>
    <row r="50" spans="1:11" ht="26.25" customHeight="1">
      <c r="A50" s="2810" t="s">
        <v>4046</v>
      </c>
      <c r="B50" s="2810"/>
      <c r="C50" s="2810"/>
      <c r="D50" s="2810"/>
      <c r="E50" s="2810"/>
      <c r="F50" s="2810"/>
      <c r="G50" s="2810"/>
      <c r="H50" s="2810"/>
    </row>
    <row r="51" spans="1:11" ht="9" customHeight="1">
      <c r="A51" s="1125"/>
    </row>
    <row r="52" spans="1:11">
      <c r="A52" s="1165" t="s">
        <v>3669</v>
      </c>
      <c r="B52" s="1196"/>
      <c r="C52" s="1165" t="s">
        <v>3670</v>
      </c>
      <c r="D52" s="1197" t="s">
        <v>4047</v>
      </c>
    </row>
    <row r="53" spans="1:11" ht="4.5" customHeight="1"/>
    <row r="54" spans="1:11" ht="12.75" customHeight="1">
      <c r="C54" s="1158" t="s">
        <v>3561</v>
      </c>
      <c r="D54" s="1198" t="s">
        <v>2072</v>
      </c>
      <c r="E54" s="1199"/>
      <c r="F54" s="2800" t="s">
        <v>3562</v>
      </c>
      <c r="G54" s="2800"/>
      <c r="H54" s="2800"/>
    </row>
    <row r="55" spans="1:11" ht="12.75" customHeight="1">
      <c r="C55" s="1200" t="s">
        <v>1410</v>
      </c>
      <c r="D55" s="1198" t="s">
        <v>2074</v>
      </c>
      <c r="E55" s="2800" t="s">
        <v>4053</v>
      </c>
      <c r="F55" s="2800"/>
      <c r="G55" s="2800"/>
      <c r="H55" s="2800"/>
    </row>
    <row r="56" spans="1:11" ht="3" customHeight="1">
      <c r="D56" s="1198"/>
      <c r="E56" s="1202"/>
      <c r="F56" s="1202"/>
      <c r="G56" s="1202"/>
      <c r="H56" s="1202"/>
    </row>
    <row r="57" spans="1:11">
      <c r="A57" s="1165" t="s">
        <v>3669</v>
      </c>
      <c r="B57" s="1196"/>
      <c r="C57" s="1165" t="s">
        <v>3671</v>
      </c>
      <c r="D57" s="1197" t="s">
        <v>4051</v>
      </c>
    </row>
    <row r="58" spans="1:11" ht="4.5" customHeight="1"/>
    <row r="59" spans="1:11">
      <c r="C59" s="1158" t="s">
        <v>3561</v>
      </c>
      <c r="D59" s="1198" t="s">
        <v>2072</v>
      </c>
      <c r="E59" s="1199"/>
      <c r="F59" s="2800" t="s">
        <v>3562</v>
      </c>
      <c r="G59" s="2800"/>
      <c r="H59" s="2800"/>
    </row>
    <row r="60" spans="1:11" ht="12.75" customHeight="1">
      <c r="C60" s="1200" t="s">
        <v>1410</v>
      </c>
      <c r="D60" s="1198" t="s">
        <v>2074</v>
      </c>
      <c r="E60" s="2800" t="s">
        <v>4053</v>
      </c>
      <c r="F60" s="2800"/>
      <c r="G60" s="2800"/>
      <c r="H60" s="2800"/>
    </row>
    <row r="61" spans="1:11" ht="3" customHeight="1">
      <c r="D61" s="1198"/>
      <c r="E61" s="1202"/>
      <c r="F61" s="1202"/>
      <c r="G61" s="1202"/>
      <c r="H61" s="1202"/>
    </row>
    <row r="62" spans="1:11">
      <c r="A62" s="1165" t="s">
        <v>3669</v>
      </c>
      <c r="B62" s="1196"/>
      <c r="C62" s="1165" t="s">
        <v>3672</v>
      </c>
      <c r="D62" s="1197" t="s">
        <v>4052</v>
      </c>
    </row>
    <row r="63" spans="1:11" ht="4.5" customHeight="1"/>
    <row r="64" spans="1:11">
      <c r="C64" s="1158" t="s">
        <v>3561</v>
      </c>
      <c r="D64" s="1198" t="s">
        <v>2072</v>
      </c>
      <c r="E64" s="1199"/>
      <c r="F64" s="2800" t="s">
        <v>3562</v>
      </c>
      <c r="G64" s="2800"/>
      <c r="H64" s="2800"/>
      <c r="K64" s="1099" t="s">
        <v>255</v>
      </c>
    </row>
    <row r="65" spans="3:8" ht="12.75" customHeight="1">
      <c r="C65" s="1200" t="s">
        <v>1410</v>
      </c>
      <c r="D65" s="1198" t="s">
        <v>2074</v>
      </c>
      <c r="E65" s="2800" t="s">
        <v>4053</v>
      </c>
      <c r="F65" s="2800"/>
      <c r="G65" s="2800"/>
      <c r="H65" s="2800"/>
    </row>
    <row r="66" spans="3:8" ht="7.5" customHeight="1">
      <c r="E66" s="2800"/>
      <c r="F66" s="2800"/>
      <c r="G66" s="2800"/>
      <c r="H66" s="280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20" customWidth="1"/>
    <col min="2" max="2" width="12.42578125" style="720" customWidth="1"/>
    <col min="3" max="3" width="12.28515625" style="720" customWidth="1"/>
    <col min="4" max="4" width="9.7109375" style="720" customWidth="1"/>
    <col min="5" max="5" width="10.42578125" style="720" customWidth="1"/>
    <col min="6" max="6" width="9.140625" style="720"/>
    <col min="7" max="7" width="11" style="720" customWidth="1"/>
    <col min="8" max="8" width="14.42578125" style="720" customWidth="1"/>
    <col min="9" max="9" width="10.140625" style="720" customWidth="1"/>
    <col min="10" max="16384" width="9.140625" style="720"/>
  </cols>
  <sheetData>
    <row r="1" spans="2:13">
      <c r="B1" s="2845" t="s">
        <v>3564</v>
      </c>
      <c r="C1" s="2846"/>
      <c r="D1" s="2846"/>
      <c r="E1" s="2846"/>
      <c r="F1" s="2846"/>
      <c r="G1" s="2846"/>
      <c r="H1" s="2846"/>
      <c r="I1" s="2847"/>
    </row>
    <row r="2" spans="2:13">
      <c r="B2" s="2848" t="s">
        <v>3565</v>
      </c>
      <c r="C2" s="2849"/>
      <c r="D2" s="2849"/>
      <c r="E2" s="2849" t="s">
        <v>3566</v>
      </c>
      <c r="F2" s="2849"/>
      <c r="G2" s="2849"/>
      <c r="H2" s="2849" t="s">
        <v>647</v>
      </c>
      <c r="I2" s="2850"/>
      <c r="J2" s="728" t="s">
        <v>3401</v>
      </c>
      <c r="K2" s="728"/>
      <c r="L2" s="729"/>
      <c r="M2" s="729"/>
    </row>
    <row r="3" spans="2:13">
      <c r="B3" s="2851" t="str">
        <f>'Closing term sheet'!C8</f>
        <v>Capital View Senior Residences I LP</v>
      </c>
      <c r="C3" s="2852"/>
      <c r="D3" s="2853"/>
      <c r="E3" s="2854"/>
      <c r="F3" s="2855"/>
      <c r="G3" s="2856"/>
      <c r="H3" s="2857" t="str">
        <f>'Preview term'!E15</f>
        <v>Gateway Capitol View</v>
      </c>
      <c r="I3" s="2858"/>
      <c r="K3" s="726"/>
    </row>
    <row r="4" spans="2:13" ht="15" customHeight="1">
      <c r="D4" s="944"/>
      <c r="E4" s="944"/>
      <c r="F4" s="944"/>
      <c r="G4" s="944"/>
      <c r="H4" s="944"/>
      <c r="I4" s="944"/>
      <c r="K4" s="726"/>
    </row>
    <row r="5" spans="2:13">
      <c r="B5" s="2832" t="s">
        <v>3567</v>
      </c>
      <c r="C5" s="2833"/>
      <c r="D5" s="730"/>
      <c r="H5" s="2843">
        <f>'Preview term'!E9</f>
        <v>0</v>
      </c>
      <c r="I5" s="2844"/>
    </row>
    <row r="6" spans="2:13" ht="7.5" customHeight="1">
      <c r="B6" s="782"/>
      <c r="C6" s="730"/>
      <c r="D6" s="730"/>
      <c r="E6" s="730"/>
      <c r="F6" s="730"/>
      <c r="G6" s="730"/>
      <c r="H6" s="730"/>
      <c r="I6" s="783"/>
    </row>
    <row r="7" spans="2:13">
      <c r="B7" s="801" t="s">
        <v>3568</v>
      </c>
      <c r="C7" s="802"/>
      <c r="D7" s="730"/>
      <c r="E7" s="732" t="s">
        <v>3569</v>
      </c>
      <c r="F7" s="730"/>
      <c r="G7" s="730"/>
      <c r="H7" s="730"/>
      <c r="I7" s="804" t="str">
        <f>'Closing term sheet'!D12</f>
        <v>&lt;&lt;Select&gt;&gt;</v>
      </c>
    </row>
    <row r="8" spans="2:13" ht="7.5" customHeight="1">
      <c r="B8" s="782"/>
      <c r="C8" s="730"/>
      <c r="D8" s="730"/>
      <c r="E8" s="730"/>
      <c r="F8" s="730"/>
      <c r="G8" s="730"/>
      <c r="H8" s="730"/>
      <c r="I8" s="783"/>
    </row>
    <row r="9" spans="2:13">
      <c r="B9" s="784" t="s">
        <v>3570</v>
      </c>
      <c r="C9" s="730"/>
      <c r="D9" s="731"/>
      <c r="E9" s="730"/>
      <c r="F9" s="730"/>
      <c r="G9" s="730"/>
      <c r="H9" s="730"/>
      <c r="I9" s="783"/>
    </row>
    <row r="10" spans="2:13">
      <c r="B10" s="784" t="s">
        <v>3571</v>
      </c>
      <c r="C10" s="730"/>
      <c r="D10" s="730"/>
      <c r="E10" s="730"/>
      <c r="F10" s="730"/>
      <c r="G10" s="730"/>
      <c r="H10" s="730"/>
      <c r="I10" s="804" t="s">
        <v>3300</v>
      </c>
    </row>
    <row r="11" spans="2:13">
      <c r="B11" s="782"/>
      <c r="C11" s="803"/>
      <c r="D11" s="730"/>
      <c r="E11" s="732" t="s">
        <v>3572</v>
      </c>
      <c r="F11" s="730"/>
      <c r="G11" s="730"/>
      <c r="H11" s="730"/>
      <c r="I11" s="783"/>
    </row>
    <row r="12" spans="2:13" ht="7.5" customHeight="1">
      <c r="B12" s="784"/>
      <c r="C12" s="730"/>
      <c r="D12" s="730"/>
      <c r="E12" s="730"/>
      <c r="F12" s="731"/>
      <c r="G12" s="730"/>
      <c r="H12" s="730"/>
      <c r="I12" s="783"/>
    </row>
    <row r="13" spans="2:13">
      <c r="B13" s="784" t="s">
        <v>3678</v>
      </c>
      <c r="C13" s="730"/>
      <c r="D13" s="730"/>
      <c r="E13" s="730"/>
      <c r="F13" s="727"/>
      <c r="G13" s="730"/>
      <c r="H13" s="730"/>
      <c r="I13" s="805"/>
    </row>
    <row r="14" spans="2:13">
      <c r="B14" s="785" t="s">
        <v>3677</v>
      </c>
      <c r="C14" s="730"/>
      <c r="D14" s="730"/>
      <c r="E14" s="800" t="s">
        <v>3833</v>
      </c>
      <c r="F14" s="730"/>
      <c r="G14" s="730"/>
      <c r="H14" s="730"/>
      <c r="I14" s="805"/>
    </row>
    <row r="15" spans="2:13" ht="7.5" customHeight="1">
      <c r="B15" s="782"/>
      <c r="C15" s="730"/>
      <c r="D15" s="730"/>
      <c r="E15" s="730"/>
      <c r="F15" s="730"/>
      <c r="G15" s="730"/>
      <c r="H15" s="730"/>
      <c r="I15" s="783"/>
    </row>
    <row r="16" spans="2:13">
      <c r="B16" s="784" t="s">
        <v>3573</v>
      </c>
      <c r="C16" s="730"/>
      <c r="D16" s="730"/>
      <c r="E16" s="730"/>
      <c r="F16" s="730"/>
      <c r="G16" s="730"/>
      <c r="H16" s="730"/>
      <c r="I16" s="804" t="s">
        <v>3300</v>
      </c>
    </row>
    <row r="17" spans="2:9" ht="7.5" customHeight="1">
      <c r="B17" s="786"/>
      <c r="C17" s="787"/>
      <c r="D17" s="787"/>
      <c r="E17" s="787"/>
      <c r="F17" s="787"/>
      <c r="G17" s="787"/>
      <c r="H17" s="787"/>
      <c r="I17" s="788"/>
    </row>
    <row r="18" spans="2:9" ht="15" customHeight="1">
      <c r="B18" s="730"/>
      <c r="C18" s="730"/>
      <c r="D18" s="730"/>
      <c r="E18" s="730"/>
      <c r="F18" s="730"/>
      <c r="G18" s="730"/>
      <c r="H18" s="730"/>
      <c r="I18" s="730"/>
    </row>
    <row r="19" spans="2:9" ht="7.5" customHeight="1">
      <c r="B19" s="789"/>
      <c r="C19" s="780"/>
      <c r="D19" s="780"/>
      <c r="E19" s="780"/>
      <c r="F19" s="780"/>
      <c r="G19" s="780"/>
      <c r="H19" s="780"/>
      <c r="I19" s="781"/>
    </row>
    <row r="20" spans="2:9">
      <c r="B20" s="784" t="s">
        <v>3574</v>
      </c>
      <c r="C20" s="730"/>
      <c r="D20" s="774">
        <v>2</v>
      </c>
      <c r="F20" s="730"/>
      <c r="G20" s="727" t="s">
        <v>3575</v>
      </c>
      <c r="H20" s="730"/>
      <c r="I20" s="790">
        <v>2</v>
      </c>
    </row>
    <row r="21" spans="2:9">
      <c r="B21" s="782"/>
      <c r="C21" s="800" t="s">
        <v>3576</v>
      </c>
      <c r="D21" s="736"/>
      <c r="E21" s="736"/>
      <c r="F21" s="736"/>
      <c r="H21" s="736" t="s">
        <v>3577</v>
      </c>
      <c r="I21" s="783"/>
    </row>
    <row r="22" spans="2:9">
      <c r="B22" s="782"/>
      <c r="C22" s="800" t="s">
        <v>3578</v>
      </c>
      <c r="D22" s="736"/>
      <c r="E22" s="736"/>
      <c r="F22" s="736"/>
      <c r="H22" s="736" t="s">
        <v>3579</v>
      </c>
      <c r="I22" s="783"/>
    </row>
    <row r="23" spans="2:9">
      <c r="B23" s="782"/>
      <c r="C23" s="800" t="s">
        <v>3580</v>
      </c>
      <c r="D23" s="736"/>
      <c r="E23" s="736"/>
      <c r="F23" s="736"/>
      <c r="H23" s="736" t="s">
        <v>3581</v>
      </c>
      <c r="I23" s="783"/>
    </row>
    <row r="24" spans="2:9" ht="7.5" customHeight="1">
      <c r="B24" s="786"/>
      <c r="C24" s="787"/>
      <c r="D24" s="787"/>
      <c r="E24" s="787"/>
      <c r="F24" s="787"/>
      <c r="G24" s="787"/>
      <c r="H24" s="787"/>
      <c r="I24" s="788"/>
    </row>
    <row r="25" spans="2:9" ht="15" customHeight="1"/>
    <row r="26" spans="2:9" ht="7.5" customHeight="1">
      <c r="B26" s="789"/>
      <c r="C26" s="780"/>
      <c r="D26" s="780"/>
      <c r="E26" s="780"/>
      <c r="F26" s="780"/>
      <c r="G26" s="780"/>
      <c r="H26" s="780"/>
      <c r="I26" s="781"/>
    </row>
    <row r="27" spans="2:9">
      <c r="B27" s="784" t="s">
        <v>3676</v>
      </c>
      <c r="C27" s="730"/>
      <c r="D27" s="775"/>
      <c r="F27" s="807" t="s">
        <v>3582</v>
      </c>
      <c r="H27" s="730"/>
      <c r="I27" s="783"/>
    </row>
    <row r="28" spans="2:9">
      <c r="B28" s="799" t="s">
        <v>3583</v>
      </c>
      <c r="C28" s="736"/>
      <c r="D28" s="736" t="s">
        <v>3584</v>
      </c>
      <c r="E28" s="730"/>
      <c r="F28" s="2834" t="str">
        <f>'Closing term sheet'!C30</f>
        <v>1374 Murphy Avenue</v>
      </c>
      <c r="G28" s="2835"/>
      <c r="H28" s="2835"/>
      <c r="I28" s="2836"/>
    </row>
    <row r="29" spans="2:9">
      <c r="B29" s="799" t="s">
        <v>3585</v>
      </c>
      <c r="D29" s="736" t="s">
        <v>3586</v>
      </c>
      <c r="E29" s="730"/>
      <c r="F29" s="2834"/>
      <c r="G29" s="2835"/>
      <c r="H29" s="2835"/>
      <c r="I29" s="2836"/>
    </row>
    <row r="30" spans="2:9">
      <c r="B30" s="799" t="s">
        <v>3587</v>
      </c>
      <c r="D30" s="730"/>
      <c r="E30" s="730"/>
      <c r="F30" s="2834"/>
      <c r="G30" s="2835"/>
      <c r="H30" s="2835"/>
      <c r="I30" s="2836"/>
    </row>
    <row r="31" spans="2:9" ht="7.5" customHeight="1">
      <c r="B31" s="782"/>
      <c r="C31" s="730"/>
      <c r="D31" s="730"/>
      <c r="E31" s="730"/>
      <c r="F31" s="730"/>
      <c r="G31" s="730"/>
      <c r="H31" s="730"/>
      <c r="I31" s="783"/>
    </row>
    <row r="32" spans="2:9">
      <c r="B32" s="797" t="s">
        <v>648</v>
      </c>
      <c r="C32" s="2837" t="str">
        <f>'Part I-Project Information'!F28</f>
        <v>Atlanta</v>
      </c>
      <c r="D32" s="2838"/>
      <c r="E32" s="735" t="s">
        <v>1875</v>
      </c>
      <c r="F32" s="773" t="s">
        <v>887</v>
      </c>
      <c r="G32" s="735" t="s">
        <v>3588</v>
      </c>
      <c r="H32" s="777">
        <f>'Part I-Project Information'!J28</f>
        <v>303100000</v>
      </c>
      <c r="I32" s="783"/>
    </row>
    <row r="33" spans="2:9">
      <c r="B33" s="797" t="s">
        <v>649</v>
      </c>
      <c r="C33" s="2837" t="str">
        <f>'Part I-Project Information'!J29</f>
        <v>Fulton</v>
      </c>
      <c r="D33" s="2838"/>
      <c r="E33" s="730"/>
      <c r="F33" s="730"/>
      <c r="G33" s="730"/>
      <c r="H33" s="730"/>
      <c r="I33" s="783"/>
    </row>
    <row r="34" spans="2:9">
      <c r="B34" s="798" t="s">
        <v>3589</v>
      </c>
      <c r="C34" s="2839" t="e">
        <f>'Subsidy Layering WS'!D12</f>
        <v>#REF!</v>
      </c>
      <c r="D34" s="2840"/>
      <c r="E34" s="730"/>
      <c r="F34" s="732" t="s">
        <v>3590</v>
      </c>
      <c r="G34" s="730"/>
      <c r="H34" s="730"/>
      <c r="I34" s="783"/>
    </row>
    <row r="35" spans="2:9">
      <c r="B35" s="798" t="s">
        <v>4042</v>
      </c>
      <c r="C35" s="2841">
        <f>'Closing term sheet'!D64</f>
        <v>13175000</v>
      </c>
      <c r="D35" s="2842"/>
      <c r="E35" s="730"/>
      <c r="F35" s="732" t="s">
        <v>3591</v>
      </c>
      <c r="G35" s="730"/>
      <c r="H35" s="730"/>
      <c r="I35" s="783"/>
    </row>
    <row r="36" spans="2:9">
      <c r="B36" s="791" t="s">
        <v>3592</v>
      </c>
      <c r="C36" s="734"/>
      <c r="D36" s="776"/>
      <c r="E36" s="730"/>
      <c r="F36" s="732" t="s">
        <v>3593</v>
      </c>
      <c r="G36" s="730"/>
      <c r="H36" s="730"/>
      <c r="I36" s="783"/>
    </row>
    <row r="37" spans="2:9" ht="7.5" customHeight="1">
      <c r="B37" s="786"/>
      <c r="C37" s="787"/>
      <c r="D37" s="787"/>
      <c r="E37" s="787"/>
      <c r="F37" s="787"/>
      <c r="G37" s="787"/>
      <c r="H37" s="787"/>
      <c r="I37" s="788"/>
    </row>
    <row r="38" spans="2:9" ht="15" customHeight="1"/>
    <row r="39" spans="2:9" ht="7.5" customHeight="1">
      <c r="B39" s="789"/>
      <c r="C39" s="780"/>
      <c r="D39" s="780"/>
      <c r="E39" s="780"/>
      <c r="F39" s="780"/>
      <c r="G39" s="780"/>
      <c r="H39" s="780"/>
      <c r="I39" s="781"/>
    </row>
    <row r="40" spans="2:9">
      <c r="B40" s="2826" t="s">
        <v>3594</v>
      </c>
      <c r="C40" s="2827"/>
      <c r="D40" s="2827"/>
      <c r="E40" s="2827"/>
      <c r="F40" s="2827"/>
      <c r="G40" s="2827"/>
      <c r="H40" s="2827"/>
      <c r="I40" s="2828"/>
    </row>
    <row r="41" spans="2:9" ht="7.5" customHeight="1">
      <c r="B41" s="2822"/>
      <c r="C41" s="2823"/>
      <c r="D41" s="2823"/>
      <c r="E41" s="730"/>
      <c r="F41" s="730"/>
      <c r="G41" s="792"/>
      <c r="H41" s="730"/>
      <c r="I41" s="783"/>
    </row>
    <row r="42" spans="2:9">
      <c r="B42" s="793" t="s">
        <v>3596</v>
      </c>
      <c r="C42" s="730"/>
      <c r="D42" s="778">
        <v>4</v>
      </c>
      <c r="F42" s="730"/>
      <c r="G42" s="2824" t="s">
        <v>3595</v>
      </c>
      <c r="H42" s="2824"/>
      <c r="I42" s="2825"/>
    </row>
    <row r="43" spans="2:9">
      <c r="B43" s="782"/>
      <c r="C43" s="736" t="s">
        <v>3599</v>
      </c>
      <c r="D43" s="736" t="s">
        <v>3600</v>
      </c>
      <c r="F43" s="730"/>
      <c r="G43" s="955" t="s">
        <v>3597</v>
      </c>
      <c r="H43" s="730"/>
      <c r="I43" s="794" t="e">
        <f>Overview!C13</f>
        <v>#REF!</v>
      </c>
    </row>
    <row r="44" spans="2:9">
      <c r="B44" s="782"/>
      <c r="C44" s="736" t="s">
        <v>3601</v>
      </c>
      <c r="D44" s="736" t="s">
        <v>3602</v>
      </c>
      <c r="F44" s="730"/>
      <c r="G44" s="795" t="s">
        <v>3598</v>
      </c>
      <c r="H44" s="730"/>
      <c r="I44" s="794" t="e">
        <f>C34</f>
        <v>#REF!</v>
      </c>
    </row>
    <row r="45" spans="2:9">
      <c r="B45" s="799"/>
      <c r="C45" s="736" t="s">
        <v>3603</v>
      </c>
      <c r="D45" s="730"/>
      <c r="E45" s="736"/>
      <c r="F45" s="730"/>
      <c r="H45" s="730"/>
      <c r="I45" s="806"/>
    </row>
    <row r="46" spans="2:9" ht="7.5" customHeight="1">
      <c r="B46" s="786"/>
      <c r="C46" s="787"/>
      <c r="D46" s="787"/>
      <c r="E46" s="787"/>
      <c r="F46" s="787"/>
      <c r="G46" s="787"/>
      <c r="H46" s="787"/>
      <c r="I46" s="788"/>
    </row>
    <row r="47" spans="2:9" ht="15" customHeight="1">
      <c r="B47" s="730"/>
      <c r="C47" s="730"/>
      <c r="D47" s="730"/>
      <c r="E47" s="730"/>
      <c r="F47" s="730"/>
      <c r="G47" s="730"/>
      <c r="H47" s="730"/>
      <c r="I47" s="730"/>
    </row>
    <row r="48" spans="2:9" ht="7.5" customHeight="1">
      <c r="B48" s="789"/>
      <c r="C48" s="780"/>
      <c r="D48" s="780"/>
      <c r="E48" s="780"/>
      <c r="F48" s="780"/>
      <c r="G48" s="780"/>
      <c r="H48" s="780"/>
      <c r="I48" s="781"/>
    </row>
    <row r="49" spans="2:9">
      <c r="B49" s="784" t="s">
        <v>3604</v>
      </c>
      <c r="C49" s="730"/>
      <c r="D49" s="730"/>
      <c r="E49" s="730"/>
      <c r="F49" s="730"/>
      <c r="G49" s="730"/>
      <c r="H49" s="730"/>
      <c r="I49" s="783"/>
    </row>
    <row r="50" spans="2:9" ht="7.5" customHeight="1">
      <c r="B50" s="782"/>
      <c r="C50" s="730"/>
      <c r="D50" s="730"/>
      <c r="E50" s="730"/>
      <c r="F50" s="730"/>
      <c r="G50" s="730"/>
      <c r="H50" s="730"/>
      <c r="I50" s="783"/>
    </row>
    <row r="51" spans="2:9">
      <c r="B51" s="784" t="s">
        <v>3605</v>
      </c>
      <c r="D51" s="730"/>
      <c r="E51" s="730"/>
      <c r="F51" s="730"/>
      <c r="G51" s="730"/>
      <c r="H51" s="730"/>
      <c r="I51" s="775"/>
    </row>
    <row r="52" spans="2:9" ht="7.5" customHeight="1">
      <c r="B52" s="782"/>
      <c r="C52" s="730"/>
      <c r="D52" s="730"/>
      <c r="E52" s="730"/>
      <c r="F52" s="730"/>
      <c r="G52" s="730"/>
      <c r="H52" s="730"/>
      <c r="I52" s="783"/>
    </row>
    <row r="53" spans="2:9">
      <c r="B53" s="782" t="s">
        <v>3606</v>
      </c>
      <c r="D53" s="730"/>
      <c r="E53" s="730"/>
      <c r="F53" s="730" t="s">
        <v>3679</v>
      </c>
      <c r="G53" s="730"/>
      <c r="H53" s="730"/>
      <c r="I53" s="779"/>
    </row>
    <row r="54" spans="2:9">
      <c r="B54" s="782"/>
      <c r="E54" s="730"/>
      <c r="F54" s="730" t="s">
        <v>3680</v>
      </c>
      <c r="G54" s="730"/>
      <c r="H54" s="730"/>
      <c r="I54" s="779"/>
    </row>
    <row r="55" spans="2:9">
      <c r="B55" s="782"/>
      <c r="E55" s="730"/>
      <c r="F55" s="730" t="s">
        <v>3681</v>
      </c>
      <c r="G55" s="730"/>
      <c r="H55" s="730"/>
      <c r="I55" s="779"/>
    </row>
    <row r="56" spans="2:9">
      <c r="B56" s="782"/>
      <c r="E56" s="730"/>
      <c r="F56" s="727" t="s">
        <v>3682</v>
      </c>
      <c r="G56" s="730"/>
      <c r="H56" s="730"/>
      <c r="I56" s="779"/>
    </row>
    <row r="57" spans="2:9" ht="7.5" customHeight="1">
      <c r="B57" s="786"/>
      <c r="C57" s="787"/>
      <c r="D57" s="787"/>
      <c r="E57" s="787"/>
      <c r="F57" s="787"/>
      <c r="G57" s="787"/>
      <c r="H57" s="787"/>
      <c r="I57" s="788"/>
    </row>
    <row r="58" spans="2:9" ht="7.5" customHeight="1"/>
    <row r="59" spans="2:9">
      <c r="B59" s="789"/>
      <c r="C59" s="780"/>
      <c r="D59" s="780"/>
      <c r="E59" s="780"/>
      <c r="F59" s="780"/>
      <c r="G59" s="780"/>
      <c r="H59" s="780"/>
      <c r="I59" s="781"/>
    </row>
    <row r="60" spans="2:9">
      <c r="B60" s="2826" t="s">
        <v>3607</v>
      </c>
      <c r="C60" s="2827"/>
      <c r="D60" s="2827"/>
      <c r="E60" s="2827"/>
      <c r="F60" s="2827"/>
      <c r="G60" s="2827"/>
      <c r="H60" s="2827"/>
      <c r="I60" s="2828"/>
    </row>
    <row r="61" spans="2:9">
      <c r="B61" s="782"/>
      <c r="C61" s="730"/>
      <c r="D61" s="730"/>
      <c r="E61" s="730"/>
      <c r="F61" s="730"/>
      <c r="G61" s="730"/>
      <c r="H61" s="730"/>
      <c r="I61" s="783"/>
    </row>
    <row r="62" spans="2:9">
      <c r="B62" s="784" t="s">
        <v>3608</v>
      </c>
      <c r="C62" s="730"/>
      <c r="D62" s="730"/>
      <c r="E62" s="730"/>
      <c r="F62" s="730"/>
      <c r="G62" s="730"/>
      <c r="H62" s="730"/>
      <c r="I62" s="783"/>
    </row>
    <row r="63" spans="2:9">
      <c r="B63" s="782"/>
      <c r="C63" s="727" t="s">
        <v>3609</v>
      </c>
      <c r="D63" s="730"/>
      <c r="E63" s="730"/>
      <c r="F63" s="2820">
        <f>'Closing term sheet'!D64</f>
        <v>13175000</v>
      </c>
      <c r="G63" s="2820"/>
      <c r="H63" s="730"/>
      <c r="I63" s="783"/>
    </row>
    <row r="64" spans="2:9">
      <c r="B64" s="782"/>
      <c r="C64" s="727" t="s">
        <v>3610</v>
      </c>
      <c r="D64" s="730"/>
      <c r="E64" s="730"/>
      <c r="F64" s="2829">
        <f>'Part III-Sources of Funds'!I43+'Part III-Sources of Funds'!I44</f>
        <v>0</v>
      </c>
      <c r="G64" s="2829"/>
      <c r="H64" s="730"/>
      <c r="I64" s="783"/>
    </row>
    <row r="65" spans="2:9">
      <c r="B65" s="782"/>
      <c r="C65" s="727" t="s">
        <v>3611</v>
      </c>
      <c r="D65" s="730"/>
      <c r="E65" s="730"/>
      <c r="F65" s="2830"/>
      <c r="G65" s="2830"/>
      <c r="H65" s="730"/>
      <c r="I65" s="783"/>
    </row>
    <row r="66" spans="2:9">
      <c r="B66" s="782"/>
      <c r="C66" s="736" t="s">
        <v>3612</v>
      </c>
      <c r="D66" s="730"/>
      <c r="E66" s="730"/>
      <c r="F66" s="2829">
        <v>11000</v>
      </c>
      <c r="G66" s="2829"/>
      <c r="H66" s="730"/>
      <c r="I66" s="783"/>
    </row>
    <row r="67" spans="2:9">
      <c r="B67" s="782"/>
      <c r="C67" s="727" t="s">
        <v>3613</v>
      </c>
      <c r="D67" s="730"/>
      <c r="E67" s="730"/>
      <c r="F67" s="2821"/>
      <c r="G67" s="2821"/>
      <c r="H67" s="730"/>
      <c r="I67" s="783"/>
    </row>
    <row r="68" spans="2:9">
      <c r="B68" s="782"/>
      <c r="C68" s="732" t="s">
        <v>3614</v>
      </c>
      <c r="D68" s="730"/>
      <c r="E68" s="730"/>
      <c r="F68" s="2816">
        <f>SUM(F63:G67)</f>
        <v>13186000</v>
      </c>
      <c r="G68" s="2816"/>
      <c r="H68" s="730"/>
      <c r="I68" s="783"/>
    </row>
    <row r="69" spans="2:9">
      <c r="B69" s="782"/>
      <c r="C69" s="730"/>
      <c r="D69" s="730"/>
      <c r="E69" s="730"/>
      <c r="F69" s="2831"/>
      <c r="G69" s="2831"/>
      <c r="H69" s="730"/>
      <c r="I69" s="783"/>
    </row>
    <row r="70" spans="2:9">
      <c r="B70" s="784" t="s">
        <v>3615</v>
      </c>
      <c r="C70" s="730"/>
      <c r="D70" s="730"/>
      <c r="E70" s="730"/>
      <c r="F70" s="730"/>
      <c r="G70" s="730"/>
      <c r="H70" s="730"/>
      <c r="I70" s="783"/>
    </row>
    <row r="71" spans="2:9">
      <c r="B71" s="782"/>
      <c r="C71" s="727" t="s">
        <v>3616</v>
      </c>
      <c r="D71" s="730"/>
      <c r="E71" s="730"/>
      <c r="F71" s="2820"/>
      <c r="G71" s="2820"/>
      <c r="H71" s="730"/>
      <c r="I71" s="783"/>
    </row>
    <row r="72" spans="2:9">
      <c r="B72" s="782"/>
      <c r="C72" s="727" t="s">
        <v>3617</v>
      </c>
      <c r="D72" s="730"/>
      <c r="E72" s="730"/>
      <c r="F72" s="2818"/>
      <c r="G72" s="2818"/>
      <c r="H72" s="730"/>
      <c r="I72" s="783"/>
    </row>
    <row r="73" spans="2:9">
      <c r="B73" s="782"/>
      <c r="C73" s="727" t="s">
        <v>3618</v>
      </c>
      <c r="D73" s="730"/>
      <c r="E73" s="730"/>
      <c r="F73" s="2819" t="s">
        <v>3482</v>
      </c>
      <c r="G73" s="2817"/>
      <c r="H73" s="730"/>
      <c r="I73" s="783"/>
    </row>
    <row r="74" spans="2:9">
      <c r="B74" s="782"/>
      <c r="C74" s="732" t="s">
        <v>3619</v>
      </c>
      <c r="D74" s="730"/>
      <c r="E74" s="730"/>
      <c r="F74" s="2816">
        <f>+SUM(F71:G73)</f>
        <v>0</v>
      </c>
      <c r="G74" s="2816"/>
      <c r="H74" s="730"/>
      <c r="I74" s="783"/>
    </row>
    <row r="75" spans="2:9">
      <c r="B75" s="782"/>
      <c r="C75" s="730"/>
      <c r="D75" s="730"/>
      <c r="E75" s="730"/>
      <c r="F75" s="730"/>
      <c r="G75" s="730"/>
      <c r="H75" s="730"/>
      <c r="I75" s="783"/>
    </row>
    <row r="76" spans="2:9">
      <c r="B76" s="784" t="s">
        <v>3620</v>
      </c>
      <c r="C76" s="730"/>
      <c r="D76" s="730"/>
      <c r="E76" s="730"/>
      <c r="F76" s="730"/>
      <c r="G76" s="730"/>
      <c r="H76" s="730"/>
      <c r="I76" s="783"/>
    </row>
    <row r="77" spans="2:9">
      <c r="B77" s="782"/>
      <c r="C77" s="727" t="s">
        <v>3621</v>
      </c>
      <c r="D77" s="730"/>
      <c r="E77" s="730"/>
      <c r="F77" s="2820"/>
      <c r="G77" s="2820"/>
      <c r="H77" s="730"/>
      <c r="I77" s="783"/>
    </row>
    <row r="78" spans="2:9">
      <c r="B78" s="782"/>
      <c r="C78" s="727" t="s">
        <v>3622</v>
      </c>
      <c r="D78" s="730"/>
      <c r="E78" s="730"/>
      <c r="F78" s="2818"/>
      <c r="G78" s="2818"/>
      <c r="H78" s="730"/>
      <c r="I78" s="783"/>
    </row>
    <row r="79" spans="2:9">
      <c r="B79" s="782"/>
      <c r="C79" s="727" t="s">
        <v>3623</v>
      </c>
      <c r="D79" s="730"/>
      <c r="E79" s="730"/>
      <c r="F79" s="2821"/>
      <c r="G79" s="2821"/>
      <c r="H79" s="730"/>
      <c r="I79" s="783"/>
    </row>
    <row r="80" spans="2:9">
      <c r="B80" s="782"/>
      <c r="C80" s="732" t="s">
        <v>3624</v>
      </c>
      <c r="D80" s="730"/>
      <c r="E80" s="730"/>
      <c r="F80" s="2816">
        <f>+SUM(F77:G79)</f>
        <v>0</v>
      </c>
      <c r="G80" s="2816"/>
      <c r="H80" s="730"/>
      <c r="I80" s="783"/>
    </row>
    <row r="81" spans="2:9">
      <c r="B81" s="782"/>
      <c r="C81" s="730"/>
      <c r="D81" s="730"/>
      <c r="E81" s="730"/>
      <c r="F81" s="730"/>
      <c r="G81" s="730"/>
      <c r="H81" s="730"/>
      <c r="I81" s="783"/>
    </row>
    <row r="82" spans="2:9">
      <c r="B82" s="793" t="s">
        <v>3625</v>
      </c>
      <c r="C82" s="727"/>
      <c r="D82" s="730"/>
      <c r="E82" s="730"/>
      <c r="F82" s="2817">
        <f>'Part III-Sources of Funds'!I45+'Part III-Sources of Funds'!I46</f>
        <v>13655634</v>
      </c>
      <c r="G82" s="2817"/>
      <c r="H82" s="730"/>
      <c r="I82" s="783"/>
    </row>
    <row r="83" spans="2:9">
      <c r="B83" s="782"/>
      <c r="C83" s="730"/>
      <c r="D83" s="730"/>
      <c r="E83" s="730"/>
      <c r="F83" s="730"/>
      <c r="G83" s="730"/>
      <c r="H83" s="730"/>
      <c r="I83" s="796" t="s">
        <v>3626</v>
      </c>
    </row>
    <row r="84" spans="2:9">
      <c r="B84" s="784" t="s">
        <v>3627</v>
      </c>
      <c r="C84" s="730"/>
      <c r="D84" s="730"/>
      <c r="E84" s="730"/>
      <c r="F84" s="2817">
        <f>+F82+F80+F74+F68</f>
        <v>26841634</v>
      </c>
      <c r="G84" s="2817"/>
      <c r="H84" s="730"/>
      <c r="I84" s="783"/>
    </row>
    <row r="85" spans="2:9">
      <c r="B85" s="786"/>
      <c r="C85" s="787"/>
      <c r="D85" s="787"/>
      <c r="E85" s="787"/>
      <c r="F85" s="787"/>
      <c r="G85" s="787"/>
      <c r="H85" s="787"/>
      <c r="I85" s="788"/>
    </row>
    <row r="87" spans="2:9">
      <c r="C87" s="737" t="s">
        <v>3297</v>
      </c>
    </row>
    <row r="88" spans="2:9">
      <c r="C88" s="737" t="s">
        <v>3300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workbookViewId="0">
      <selection sqref="A1:XFD1048576"/>
    </sheetView>
  </sheetViews>
  <sheetFormatPr defaultColWidth="8.85546875" defaultRowHeight="15.75"/>
  <cols>
    <col min="1" max="1" width="2.28515625" style="3426" customWidth="1"/>
    <col min="2" max="13" width="7.140625" style="3426" customWidth="1"/>
    <col min="14" max="15" width="5.85546875" style="3426" customWidth="1"/>
    <col min="16" max="16384" width="8.85546875" style="3426"/>
  </cols>
  <sheetData>
    <row r="1" spans="1:26" ht="19.5">
      <c r="N1" s="3427" t="s">
        <v>1564</v>
      </c>
      <c r="O1" s="3427"/>
      <c r="P1" s="3427"/>
      <c r="Q1" s="3427"/>
      <c r="R1" s="3427"/>
      <c r="S1" s="3427"/>
      <c r="T1" s="3427"/>
      <c r="U1" s="3427"/>
      <c r="V1" s="3427"/>
      <c r="W1" s="3427"/>
      <c r="X1" s="3427"/>
      <c r="Y1" s="3427"/>
      <c r="Z1" s="3427"/>
    </row>
    <row r="3" spans="1:26">
      <c r="N3" s="3428" t="s">
        <v>1565</v>
      </c>
      <c r="O3" s="3428"/>
      <c r="P3" s="3428"/>
      <c r="Q3" s="3428"/>
      <c r="R3" s="3428"/>
      <c r="S3" s="3428"/>
      <c r="T3" s="3428"/>
      <c r="U3" s="3428"/>
      <c r="V3" s="3428"/>
      <c r="W3" s="3428"/>
      <c r="X3" s="3428"/>
      <c r="Y3" s="3428"/>
      <c r="Z3" s="3428"/>
    </row>
    <row r="4" spans="1:26">
      <c r="N4" s="3429" t="s">
        <v>1566</v>
      </c>
      <c r="O4" s="3429"/>
      <c r="P4" s="3429"/>
      <c r="Q4" s="3429"/>
      <c r="R4" s="3429"/>
      <c r="S4" s="3429"/>
      <c r="T4" s="3429"/>
      <c r="U4" s="3429"/>
      <c r="V4" s="3429"/>
      <c r="W4" s="3429"/>
      <c r="X4" s="3429"/>
      <c r="Y4" s="3429"/>
      <c r="Z4" s="3429"/>
    </row>
    <row r="5" spans="1:26">
      <c r="B5" s="3430"/>
      <c r="C5" s="3430"/>
      <c r="D5" s="3430"/>
      <c r="E5" s="3430"/>
      <c r="F5" s="3430"/>
      <c r="G5" s="3430"/>
      <c r="H5" s="3430"/>
      <c r="I5" s="3430"/>
      <c r="J5" s="3430"/>
      <c r="K5" s="3430"/>
      <c r="L5" s="3430"/>
      <c r="M5" s="3430"/>
      <c r="N5" s="3431" t="s">
        <v>737</v>
      </c>
    </row>
    <row r="6" spans="1:26" ht="57" customHeight="1">
      <c r="A6" s="3432" t="s">
        <v>2946</v>
      </c>
      <c r="B6" s="3432"/>
      <c r="C6" s="3432"/>
      <c r="D6" s="3432"/>
      <c r="E6" s="3432"/>
      <c r="F6" s="3432"/>
      <c r="G6" s="3432"/>
      <c r="H6" s="3432"/>
      <c r="I6" s="3432"/>
      <c r="J6" s="3432"/>
      <c r="K6" s="3432"/>
      <c r="L6" s="3432"/>
      <c r="M6" s="3432"/>
    </row>
    <row r="7" spans="1:26" ht="11.45" customHeight="1">
      <c r="A7" s="3430"/>
      <c r="B7" s="3430"/>
      <c r="C7" s="3430"/>
      <c r="D7" s="3430"/>
      <c r="E7" s="3430"/>
      <c r="F7" s="3430"/>
      <c r="G7" s="3430"/>
      <c r="H7" s="3430"/>
      <c r="I7" s="3430"/>
      <c r="J7" s="3430"/>
      <c r="K7" s="3430"/>
      <c r="L7" s="3430"/>
      <c r="M7" s="3430"/>
    </row>
    <row r="8" spans="1:26">
      <c r="A8" s="3430" t="s">
        <v>742</v>
      </c>
      <c r="B8" s="3430"/>
      <c r="C8" s="3430"/>
      <c r="D8" s="3430"/>
      <c r="E8" s="3430"/>
      <c r="F8" s="3430"/>
      <c r="G8" s="3430"/>
      <c r="H8" s="3430"/>
      <c r="I8" s="3430"/>
      <c r="J8" s="3430"/>
      <c r="K8" s="3430"/>
      <c r="L8" s="3430"/>
      <c r="M8" s="3430"/>
    </row>
    <row r="9" spans="1:26" ht="11.45" customHeight="1">
      <c r="A9" s="3430"/>
      <c r="B9" s="3430"/>
      <c r="C9" s="3430"/>
      <c r="D9" s="3430"/>
      <c r="E9" s="3430"/>
      <c r="F9" s="3430"/>
      <c r="G9" s="3430"/>
      <c r="H9" s="3430"/>
      <c r="I9" s="3430"/>
      <c r="J9" s="3430"/>
      <c r="K9" s="3430"/>
      <c r="L9" s="3430"/>
      <c r="M9" s="3430"/>
    </row>
    <row r="10" spans="1:26">
      <c r="A10" s="3433" t="s">
        <v>1990</v>
      </c>
      <c r="B10" s="3433"/>
      <c r="C10" s="3433"/>
      <c r="D10" s="3433"/>
      <c r="E10" s="3433"/>
      <c r="F10" s="3433"/>
      <c r="G10" s="3433"/>
      <c r="H10" s="3433"/>
      <c r="I10" s="3433"/>
      <c r="J10" s="3433"/>
      <c r="K10" s="3433"/>
      <c r="L10" s="3433"/>
      <c r="M10" s="3433"/>
    </row>
    <row r="11" spans="1:26" ht="6.75" customHeight="1">
      <c r="A11" s="3433"/>
      <c r="B11" s="3433"/>
      <c r="C11" s="3433"/>
      <c r="D11" s="3433"/>
      <c r="E11" s="3433"/>
      <c r="F11" s="3433"/>
      <c r="G11" s="3433"/>
      <c r="H11" s="3433"/>
      <c r="I11" s="3433"/>
      <c r="J11" s="3433"/>
      <c r="K11" s="3433"/>
      <c r="L11" s="3433"/>
      <c r="M11" s="3433"/>
    </row>
    <row r="12" spans="1:26" ht="44.25" customHeight="1">
      <c r="A12" s="3434" t="s">
        <v>4475</v>
      </c>
      <c r="B12" s="3434"/>
      <c r="C12" s="3434"/>
      <c r="D12" s="3434"/>
      <c r="E12" s="3434"/>
      <c r="F12" s="3434"/>
      <c r="G12" s="3434"/>
      <c r="H12" s="3434"/>
      <c r="I12" s="3434"/>
      <c r="J12" s="3434"/>
      <c r="K12" s="3434"/>
      <c r="L12" s="3434"/>
      <c r="M12" s="3434"/>
    </row>
    <row r="13" spans="1:26" ht="3" customHeight="1">
      <c r="A13" s="3433"/>
      <c r="B13" s="3433"/>
      <c r="C13" s="3433"/>
      <c r="D13" s="3433"/>
      <c r="E13" s="3433"/>
      <c r="F13" s="3433"/>
      <c r="G13" s="3433"/>
      <c r="H13" s="3433"/>
      <c r="I13" s="3433"/>
      <c r="J13" s="3433"/>
      <c r="K13" s="3433"/>
      <c r="L13" s="3433"/>
      <c r="M13" s="3433"/>
    </row>
    <row r="14" spans="1:26" ht="104.25" customHeight="1">
      <c r="A14" s="3435" t="s">
        <v>1813</v>
      </c>
      <c r="B14" s="3436" t="s">
        <v>4476</v>
      </c>
      <c r="C14" s="3436"/>
      <c r="D14" s="3436"/>
      <c r="E14" s="3436"/>
      <c r="F14" s="3436"/>
      <c r="G14" s="3436"/>
      <c r="H14" s="3436"/>
      <c r="I14" s="3436"/>
      <c r="J14" s="3436"/>
      <c r="K14" s="3436"/>
      <c r="L14" s="3436"/>
      <c r="M14" s="3436"/>
    </row>
    <row r="15" spans="1:26" ht="57.75" customHeight="1">
      <c r="A15" s="3435" t="s">
        <v>1814</v>
      </c>
      <c r="B15" s="3436" t="s">
        <v>4477</v>
      </c>
      <c r="C15" s="3436"/>
      <c r="D15" s="3436"/>
      <c r="E15" s="3436"/>
      <c r="F15" s="3436"/>
      <c r="G15" s="3436"/>
      <c r="H15" s="3436"/>
      <c r="I15" s="3436"/>
      <c r="J15" s="3436"/>
      <c r="K15" s="3436"/>
      <c r="L15" s="3436"/>
      <c r="M15" s="3436"/>
    </row>
    <row r="16" spans="1:26" ht="119.25" customHeight="1">
      <c r="A16" s="3435" t="s">
        <v>1815</v>
      </c>
      <c r="B16" s="3436" t="s">
        <v>4478</v>
      </c>
      <c r="C16" s="3436"/>
      <c r="D16" s="3436"/>
      <c r="E16" s="3436"/>
      <c r="F16" s="3436"/>
      <c r="G16" s="3436"/>
      <c r="H16" s="3436"/>
      <c r="I16" s="3436"/>
      <c r="J16" s="3436"/>
      <c r="K16" s="3436"/>
      <c r="L16" s="3436"/>
      <c r="M16" s="3436"/>
    </row>
    <row r="17" spans="1:13" ht="159.75" customHeight="1">
      <c r="A17" s="3435" t="s">
        <v>2459</v>
      </c>
      <c r="B17" s="3436" t="s">
        <v>3857</v>
      </c>
      <c r="C17" s="3436"/>
      <c r="D17" s="3436"/>
      <c r="E17" s="3436"/>
      <c r="F17" s="3436"/>
      <c r="G17" s="3436"/>
      <c r="H17" s="3436"/>
      <c r="I17" s="3436"/>
      <c r="J17" s="3436"/>
      <c r="K17" s="3436"/>
      <c r="L17" s="3436"/>
      <c r="M17" s="3436"/>
    </row>
    <row r="18" spans="1:13" ht="45" customHeight="1">
      <c r="A18" s="3435" t="s">
        <v>1616</v>
      </c>
      <c r="B18" s="3436" t="s">
        <v>716</v>
      </c>
      <c r="C18" s="3436"/>
      <c r="D18" s="3436"/>
      <c r="E18" s="3436"/>
      <c r="F18" s="3436"/>
      <c r="G18" s="3436"/>
      <c r="H18" s="3436"/>
      <c r="I18" s="3436"/>
      <c r="J18" s="3436"/>
      <c r="K18" s="3436"/>
      <c r="L18" s="3436"/>
      <c r="M18" s="3436"/>
    </row>
    <row r="19" spans="1:13" ht="177.75" customHeight="1">
      <c r="A19" s="3435" t="s">
        <v>1617</v>
      </c>
      <c r="B19" s="3436" t="s">
        <v>3856</v>
      </c>
      <c r="C19" s="3436"/>
      <c r="D19" s="3436"/>
      <c r="E19" s="3436"/>
      <c r="F19" s="3436"/>
      <c r="G19" s="3436"/>
      <c r="H19" s="3436"/>
      <c r="I19" s="3436"/>
      <c r="J19" s="3436"/>
      <c r="K19" s="3436"/>
      <c r="L19" s="3436"/>
      <c r="M19" s="3436"/>
    </row>
    <row r="20" spans="1:13" ht="57" customHeight="1">
      <c r="A20" s="3435" t="s">
        <v>100</v>
      </c>
      <c r="B20" s="3437" t="s">
        <v>4479</v>
      </c>
      <c r="C20" s="3437"/>
      <c r="D20" s="3437"/>
      <c r="E20" s="3437"/>
      <c r="F20" s="3437"/>
      <c r="G20" s="3437"/>
      <c r="H20" s="3437"/>
      <c r="I20" s="3437"/>
      <c r="J20" s="3437"/>
      <c r="K20" s="3437"/>
      <c r="L20" s="3437"/>
      <c r="M20" s="3437"/>
    </row>
    <row r="21" spans="1:13" ht="57.75" customHeight="1">
      <c r="A21" s="3435" t="s">
        <v>536</v>
      </c>
      <c r="B21" s="3436" t="s">
        <v>3860</v>
      </c>
      <c r="C21" s="3436"/>
      <c r="D21" s="3436"/>
      <c r="E21" s="3436"/>
      <c r="F21" s="3436"/>
      <c r="G21" s="3436"/>
      <c r="H21" s="3436"/>
      <c r="I21" s="3436"/>
      <c r="J21" s="3436"/>
      <c r="K21" s="3436"/>
      <c r="L21" s="3436"/>
      <c r="M21" s="3436"/>
    </row>
    <row r="22" spans="1:13" ht="28.5" customHeight="1">
      <c r="A22" s="3435" t="s">
        <v>537</v>
      </c>
      <c r="B22" s="3436" t="s">
        <v>3982</v>
      </c>
      <c r="C22" s="3436"/>
      <c r="D22" s="3436"/>
      <c r="E22" s="3436"/>
      <c r="F22" s="3436"/>
      <c r="G22" s="3436"/>
      <c r="H22" s="3436"/>
      <c r="I22" s="3436"/>
      <c r="J22" s="3436"/>
      <c r="K22" s="3436"/>
      <c r="L22" s="3436"/>
      <c r="M22" s="3436"/>
    </row>
    <row r="23" spans="1:13" ht="1.5" customHeight="1">
      <c r="A23" s="3433"/>
      <c r="B23" s="3433"/>
      <c r="C23" s="3433"/>
      <c r="D23" s="3433"/>
      <c r="E23" s="3433"/>
      <c r="F23" s="3433"/>
      <c r="G23" s="3433"/>
      <c r="H23" s="3433"/>
      <c r="I23" s="3433"/>
      <c r="J23" s="3433"/>
      <c r="K23" s="3433"/>
      <c r="L23" s="3433"/>
      <c r="M23" s="3433"/>
    </row>
    <row r="24" spans="1:13" ht="3" customHeight="1">
      <c r="A24" s="3433"/>
      <c r="B24" s="3433"/>
      <c r="C24" s="3433"/>
      <c r="D24" s="3433"/>
      <c r="E24" s="3433"/>
      <c r="F24" s="3433"/>
      <c r="G24" s="3433"/>
      <c r="H24" s="3433"/>
      <c r="I24" s="3433"/>
      <c r="J24" s="3433"/>
      <c r="K24" s="3433"/>
      <c r="L24" s="3433"/>
      <c r="M24" s="3433"/>
    </row>
    <row r="25" spans="1:13" ht="13.5" customHeight="1">
      <c r="A25" s="3433" t="s">
        <v>1529</v>
      </c>
      <c r="B25" s="3433"/>
      <c r="C25" s="3433"/>
      <c r="D25" s="3433"/>
      <c r="E25" s="3433"/>
      <c r="F25" s="3433"/>
      <c r="G25" s="3433"/>
      <c r="H25" s="3433"/>
      <c r="I25" s="3433"/>
      <c r="J25" s="3433"/>
      <c r="K25" s="3433"/>
      <c r="L25" s="3433"/>
      <c r="M25" s="3433"/>
    </row>
    <row r="26" spans="1:13" ht="28.5" customHeight="1">
      <c r="A26" s="985" t="s">
        <v>1530</v>
      </c>
      <c r="B26" s="3436" t="s">
        <v>3983</v>
      </c>
      <c r="C26" s="3436"/>
      <c r="D26" s="3436"/>
      <c r="E26" s="3436"/>
      <c r="F26" s="3436"/>
      <c r="G26" s="3436"/>
      <c r="H26" s="3436"/>
      <c r="I26" s="3436"/>
      <c r="J26" s="3436"/>
      <c r="K26" s="3436"/>
      <c r="L26" s="3436"/>
      <c r="M26" s="3436"/>
    </row>
    <row r="27" spans="1:13" ht="28.5" customHeight="1">
      <c r="A27" s="985" t="s">
        <v>1530</v>
      </c>
      <c r="B27" s="3436" t="s">
        <v>3984</v>
      </c>
      <c r="C27" s="3436"/>
      <c r="D27" s="3436"/>
      <c r="E27" s="3436"/>
      <c r="F27" s="3436"/>
      <c r="G27" s="3436"/>
      <c r="H27" s="3436"/>
      <c r="I27" s="3436"/>
      <c r="J27" s="3436"/>
      <c r="K27" s="3436"/>
      <c r="L27" s="3436"/>
      <c r="M27" s="3436"/>
    </row>
    <row r="28" spans="1:13" ht="71.25" customHeight="1">
      <c r="A28" s="985" t="s">
        <v>1530</v>
      </c>
      <c r="B28" s="3436" t="s">
        <v>2947</v>
      </c>
      <c r="C28" s="3436"/>
      <c r="D28" s="3436"/>
      <c r="E28" s="3436"/>
      <c r="F28" s="3436"/>
      <c r="G28" s="3436"/>
      <c r="H28" s="3436"/>
      <c r="I28" s="3436"/>
      <c r="J28" s="3436"/>
      <c r="K28" s="3436"/>
      <c r="L28" s="3436"/>
      <c r="M28" s="3436"/>
    </row>
    <row r="29" spans="1:13" ht="3" customHeight="1">
      <c r="A29" s="3433"/>
      <c r="B29" s="3433"/>
      <c r="C29" s="3433"/>
      <c r="D29" s="3433"/>
      <c r="E29" s="3433"/>
      <c r="F29" s="3433"/>
      <c r="G29" s="3433"/>
      <c r="H29" s="3433"/>
      <c r="I29" s="3433"/>
      <c r="J29" s="3433"/>
      <c r="K29" s="3433"/>
      <c r="L29" s="3433"/>
      <c r="M29" s="3433"/>
    </row>
    <row r="30" spans="1:13" ht="43.5" customHeight="1">
      <c r="A30" s="3436" t="s">
        <v>986</v>
      </c>
      <c r="B30" s="3436"/>
      <c r="C30" s="3436"/>
      <c r="D30" s="3436"/>
      <c r="E30" s="3436"/>
      <c r="F30" s="3436"/>
      <c r="G30" s="3436"/>
      <c r="H30" s="3436"/>
      <c r="I30" s="3436"/>
      <c r="J30" s="3436"/>
      <c r="K30" s="3436"/>
      <c r="L30" s="3436"/>
      <c r="M30" s="3436"/>
    </row>
    <row r="31" spans="1:13" ht="3" customHeight="1">
      <c r="A31" s="3433"/>
      <c r="B31" s="3433"/>
      <c r="C31" s="3433"/>
      <c r="D31" s="3433"/>
      <c r="E31" s="3433"/>
      <c r="F31" s="3433"/>
      <c r="G31" s="3433"/>
      <c r="H31" s="3433"/>
      <c r="I31" s="3433"/>
      <c r="J31" s="3433"/>
      <c r="K31" s="3433"/>
      <c r="L31" s="3433"/>
      <c r="M31" s="3433"/>
    </row>
    <row r="32" spans="1:13" ht="28.5" customHeight="1">
      <c r="A32" s="3436" t="s">
        <v>2948</v>
      </c>
      <c r="B32" s="3436"/>
      <c r="C32" s="3436"/>
      <c r="D32" s="3436"/>
      <c r="E32" s="3436"/>
      <c r="F32" s="3436"/>
      <c r="G32" s="3436"/>
      <c r="H32" s="3436"/>
      <c r="I32" s="3436"/>
      <c r="J32" s="3436"/>
      <c r="K32" s="3436"/>
      <c r="L32" s="3436"/>
      <c r="M32" s="3436"/>
    </row>
    <row r="33" spans="1:13" ht="4.5" customHeight="1">
      <c r="A33" s="3433"/>
      <c r="B33" s="3433"/>
      <c r="C33" s="3433"/>
      <c r="D33" s="3433"/>
      <c r="E33" s="3433"/>
      <c r="F33" s="3433"/>
      <c r="G33" s="3433"/>
      <c r="H33" s="3433"/>
      <c r="I33" s="3433"/>
      <c r="J33" s="3433"/>
      <c r="K33" s="3433"/>
      <c r="L33" s="3433"/>
      <c r="M33" s="3433"/>
    </row>
    <row r="34" spans="1:13">
      <c r="A34" s="3433" t="s">
        <v>962</v>
      </c>
      <c r="B34" s="3433"/>
      <c r="C34" s="3433"/>
      <c r="D34" s="3433"/>
      <c r="E34" s="3433"/>
      <c r="F34" s="3433"/>
      <c r="G34" s="3433"/>
      <c r="H34" s="3433"/>
      <c r="I34" s="3433"/>
      <c r="J34" s="3433"/>
      <c r="K34" s="3433"/>
      <c r="L34" s="3433"/>
      <c r="M34" s="3433"/>
    </row>
    <row r="35" spans="1:13" ht="6" customHeight="1">
      <c r="A35" s="3438"/>
      <c r="B35" s="3438"/>
      <c r="C35" s="3438"/>
      <c r="D35" s="3438"/>
      <c r="E35" s="3438"/>
      <c r="F35" s="3438"/>
      <c r="G35" s="3438"/>
      <c r="H35" s="3438"/>
      <c r="I35" s="3438"/>
      <c r="J35" s="3438"/>
      <c r="K35" s="3438"/>
      <c r="L35" s="3438"/>
      <c r="M35" s="3438"/>
    </row>
    <row r="36" spans="1:13">
      <c r="A36" s="3439"/>
      <c r="B36" s="3439"/>
      <c r="C36" s="3439"/>
      <c r="D36" s="3439"/>
      <c r="E36" s="3439"/>
      <c r="F36" s="3439"/>
      <c r="G36" s="3440"/>
      <c r="H36" s="3439"/>
      <c r="I36" s="3439"/>
      <c r="J36" s="3439"/>
      <c r="K36" s="3439"/>
      <c r="L36" s="3439"/>
      <c r="M36" s="3439"/>
    </row>
    <row r="37" spans="1:13" ht="12" customHeight="1">
      <c r="A37" s="3441" t="s">
        <v>963</v>
      </c>
      <c r="B37" s="3441"/>
      <c r="C37" s="3441"/>
      <c r="D37" s="3441"/>
      <c r="E37" s="3441"/>
      <c r="F37" s="3441"/>
      <c r="G37" s="3440"/>
      <c r="H37" s="3441" t="s">
        <v>2065</v>
      </c>
      <c r="I37" s="3441"/>
      <c r="J37" s="3441"/>
      <c r="K37" s="3441"/>
      <c r="L37" s="3441"/>
      <c r="M37" s="3441"/>
    </row>
    <row r="38" spans="1:13" ht="6" customHeight="1">
      <c r="A38" s="3440"/>
      <c r="B38" s="3440"/>
      <c r="C38" s="3440"/>
      <c r="D38" s="3440"/>
      <c r="E38" s="3440"/>
      <c r="F38" s="3440"/>
      <c r="G38" s="3440"/>
      <c r="H38" s="3440"/>
      <c r="I38" s="3440"/>
      <c r="J38" s="3440"/>
      <c r="K38" s="3440"/>
      <c r="L38" s="3440"/>
      <c r="M38" s="3440"/>
    </row>
    <row r="39" spans="1:13">
      <c r="A39" s="3439"/>
      <c r="B39" s="3439"/>
      <c r="C39" s="3439"/>
      <c r="D39" s="3439"/>
      <c r="E39" s="3439"/>
      <c r="F39" s="3439"/>
      <c r="G39" s="3440"/>
      <c r="H39" s="3442"/>
      <c r="I39" s="3442"/>
      <c r="J39" s="3442"/>
      <c r="K39" s="3442"/>
      <c r="L39" s="3442"/>
      <c r="M39" s="3442"/>
    </row>
    <row r="40" spans="1:13" ht="12" customHeight="1">
      <c r="A40" s="3441" t="s">
        <v>964</v>
      </c>
      <c r="B40" s="3441"/>
      <c r="C40" s="3441"/>
      <c r="D40" s="3441"/>
      <c r="E40" s="3441"/>
      <c r="F40" s="3441"/>
      <c r="G40" s="3440"/>
      <c r="H40" s="3441" t="s">
        <v>965</v>
      </c>
      <c r="I40" s="3441"/>
      <c r="J40" s="3441"/>
      <c r="K40" s="3441"/>
      <c r="L40" s="3441"/>
      <c r="M40" s="3441"/>
    </row>
    <row r="41" spans="1:13" ht="3" customHeight="1">
      <c r="A41" s="3443"/>
      <c r="B41" s="3443"/>
      <c r="C41" s="3443"/>
      <c r="D41" s="3443"/>
      <c r="E41" s="3443"/>
      <c r="F41" s="3443"/>
      <c r="G41" s="3440"/>
      <c r="H41" s="3443"/>
      <c r="I41" s="3443"/>
      <c r="J41" s="3443"/>
      <c r="K41" s="3443"/>
      <c r="L41" s="3443"/>
      <c r="M41" s="3443"/>
    </row>
    <row r="42" spans="1:13" ht="11.45" customHeight="1">
      <c r="A42" s="3430"/>
      <c r="B42" s="3430"/>
      <c r="C42" s="3430"/>
      <c r="D42" s="3430"/>
      <c r="E42" s="3430"/>
      <c r="F42" s="3430"/>
      <c r="G42" s="3430"/>
      <c r="H42" s="3444" t="s">
        <v>966</v>
      </c>
      <c r="I42" s="3444"/>
      <c r="J42" s="3444"/>
      <c r="K42" s="3444"/>
      <c r="L42" s="3444"/>
      <c r="M42" s="3444"/>
    </row>
    <row r="43" spans="1:13" ht="11.45" customHeight="1">
      <c r="A43" s="3430"/>
      <c r="B43" s="3430"/>
      <c r="C43" s="3430"/>
      <c r="D43" s="3430"/>
      <c r="E43" s="3430"/>
      <c r="F43" s="3430"/>
      <c r="G43" s="3430"/>
    </row>
    <row r="44" spans="1:13" ht="11.45" customHeight="1">
      <c r="A44" s="3430"/>
      <c r="B44" s="3430"/>
      <c r="C44" s="3430"/>
      <c r="D44" s="3430"/>
      <c r="E44" s="3430"/>
      <c r="F44" s="3430"/>
      <c r="G44" s="3430"/>
      <c r="H44" s="3430"/>
      <c r="I44" s="3430"/>
      <c r="J44" s="3430"/>
      <c r="K44" s="3430"/>
      <c r="L44" s="3430"/>
      <c r="M44" s="3430"/>
    </row>
    <row r="45" spans="1:13" ht="11.45" customHeight="1">
      <c r="A45" s="3430"/>
      <c r="B45" s="3430"/>
      <c r="C45" s="3430"/>
      <c r="D45" s="3430"/>
      <c r="E45" s="3430"/>
      <c r="F45" s="3430"/>
      <c r="G45" s="3430"/>
      <c r="H45" s="3430"/>
      <c r="I45" s="3430"/>
      <c r="J45" s="3430"/>
      <c r="K45" s="3430"/>
      <c r="L45" s="3430"/>
      <c r="M45" s="3430"/>
    </row>
    <row r="46" spans="1:13" ht="11.45" customHeight="1"/>
    <row r="47" spans="1:13" ht="11.45" customHeight="1"/>
    <row r="48" spans="1:13" ht="11.45" customHeight="1"/>
    <row r="49" ht="11.45" customHeight="1"/>
    <row r="50" ht="11.45" customHeight="1"/>
  </sheetData>
  <sheetProtection algorithmName="SHA-512" hashValue="19+VwS4bEgVJh1AgePq4yFwwNZJnjJKTrn5GiRSI/ruS7SDb29fTsseJQu5ya6LnSep3PWMwNiO7ueYNSRnTLQ==" saltValue="4qGcAyoZ5iOcrIDyvvon5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36" zoomScaleNormal="13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5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485"/>
      <c r="AB1" s="1485"/>
    </row>
    <row r="2" spans="1:28" s="299" customFormat="1" ht="13.15" customHeight="1">
      <c r="A2" s="2869" t="s">
        <v>758</v>
      </c>
      <c r="B2" s="2870"/>
      <c r="C2" s="2870"/>
      <c r="D2" s="2870"/>
      <c r="E2" s="2870"/>
      <c r="F2" s="2870"/>
      <c r="G2" s="2870"/>
      <c r="H2" s="2870"/>
      <c r="I2" s="2870"/>
      <c r="J2" s="2870"/>
      <c r="K2" s="2870"/>
      <c r="L2" s="2870"/>
      <c r="M2" s="2870"/>
      <c r="N2" s="2870"/>
      <c r="O2" s="2870"/>
      <c r="P2" s="2870"/>
      <c r="Q2" s="2870"/>
      <c r="R2" s="2871"/>
      <c r="S2" s="183"/>
      <c r="T2" s="183"/>
      <c r="U2" s="183"/>
      <c r="AA2" s="651"/>
      <c r="AB2" s="65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51"/>
      <c r="AB3" s="651"/>
    </row>
    <row r="4" spans="1:28" s="299" customFormat="1" ht="12" customHeight="1">
      <c r="A4" s="300" t="s">
        <v>1803</v>
      </c>
      <c r="B4" s="300"/>
      <c r="C4" s="300"/>
      <c r="D4" s="183"/>
      <c r="E4" s="183"/>
      <c r="F4" s="300" t="s">
        <v>1804</v>
      </c>
      <c r="G4" s="300"/>
      <c r="H4" s="183"/>
      <c r="I4" s="183"/>
      <c r="J4" s="300" t="s">
        <v>1805</v>
      </c>
      <c r="K4" s="300"/>
      <c r="L4" s="300"/>
      <c r="M4" s="300"/>
      <c r="N4" s="300"/>
      <c r="O4" s="300"/>
      <c r="P4" s="183"/>
      <c r="Q4" s="301" t="s">
        <v>3351</v>
      </c>
      <c r="R4" s="302" t="s">
        <v>1806</v>
      </c>
      <c r="S4" s="183"/>
      <c r="T4" s="183"/>
      <c r="U4" s="183"/>
      <c r="W4" s="303"/>
      <c r="X4" s="303"/>
      <c r="Y4" s="303"/>
      <c r="Z4" s="303"/>
      <c r="AA4" s="651"/>
      <c r="AB4" s="65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51"/>
      <c r="AB5" s="651"/>
    </row>
    <row r="6" spans="1:28" s="299" customFormat="1" ht="11.45" customHeight="1">
      <c r="A6" s="304" t="s">
        <v>1807</v>
      </c>
      <c r="B6" s="185"/>
      <c r="C6" s="185"/>
      <c r="D6" s="183"/>
      <c r="E6" s="183"/>
      <c r="F6" s="185" t="s">
        <v>532</v>
      </c>
      <c r="G6" s="185"/>
      <c r="H6" s="183"/>
      <c r="I6" s="183"/>
      <c r="J6" s="185" t="s">
        <v>1808</v>
      </c>
      <c r="K6" s="185"/>
      <c r="L6" s="185"/>
      <c r="M6" s="185"/>
      <c r="N6" s="185"/>
      <c r="O6" s="185"/>
      <c r="P6" s="183"/>
      <c r="Q6" s="2057" t="s">
        <v>1809</v>
      </c>
      <c r="R6" s="2057">
        <v>1000000</v>
      </c>
      <c r="S6" s="183"/>
      <c r="U6" s="183"/>
      <c r="V6" s="2047"/>
      <c r="W6" s="2047"/>
      <c r="X6" s="186"/>
      <c r="AA6" s="651"/>
      <c r="AB6" s="651"/>
    </row>
    <row r="7" spans="1:28" s="299" customFormat="1" ht="11.45" customHeight="1">
      <c r="A7" s="304"/>
      <c r="B7" s="185"/>
      <c r="C7" s="185"/>
      <c r="D7" s="183"/>
      <c r="E7" s="183"/>
      <c r="F7" s="185"/>
      <c r="G7" s="185"/>
      <c r="H7" s="183"/>
      <c r="I7" s="183"/>
      <c r="J7" s="185" t="s">
        <v>1808</v>
      </c>
      <c r="L7" s="185" t="s">
        <v>3096</v>
      </c>
      <c r="M7" s="185"/>
      <c r="N7" s="185"/>
      <c r="O7" s="185"/>
      <c r="P7" s="183"/>
      <c r="Q7" s="2057" t="s">
        <v>1809</v>
      </c>
      <c r="R7" s="2057">
        <v>1200000</v>
      </c>
      <c r="S7" s="183"/>
      <c r="T7" s="183"/>
      <c r="U7" s="183"/>
      <c r="V7" s="2047"/>
      <c r="W7" s="2047"/>
      <c r="X7" s="186"/>
      <c r="AA7" s="651"/>
      <c r="AB7" s="651"/>
    </row>
    <row r="8" spans="1:28" s="299" customFormat="1" ht="11.45" customHeight="1">
      <c r="A8" s="304"/>
      <c r="B8" s="185"/>
      <c r="C8" s="185"/>
      <c r="D8" s="183"/>
      <c r="E8" s="183"/>
      <c r="F8" s="185"/>
      <c r="G8" s="185"/>
      <c r="H8" s="183"/>
      <c r="I8" s="183"/>
      <c r="J8" s="185" t="s">
        <v>1310</v>
      </c>
      <c r="K8" s="185"/>
      <c r="L8" s="185"/>
      <c r="M8" s="185"/>
      <c r="N8" s="185"/>
      <c r="O8" s="185"/>
      <c r="P8" s="183"/>
      <c r="Q8" s="2057" t="s">
        <v>1809</v>
      </c>
      <c r="R8" s="2057">
        <v>1800000</v>
      </c>
      <c r="S8" s="183"/>
      <c r="T8" s="183"/>
      <c r="U8" s="183"/>
      <c r="V8" s="2047"/>
      <c r="W8" s="2047"/>
      <c r="X8" s="186"/>
      <c r="AA8" s="651"/>
      <c r="AB8" s="651"/>
    </row>
    <row r="9" spans="1:28" s="299" customFormat="1" ht="11.45" customHeight="1">
      <c r="A9" s="185"/>
      <c r="B9" s="185"/>
      <c r="C9" s="185"/>
      <c r="D9" s="183"/>
      <c r="E9" s="183"/>
      <c r="F9" s="185" t="s">
        <v>2505</v>
      </c>
      <c r="G9" s="185"/>
      <c r="H9" s="183"/>
      <c r="I9" s="183"/>
      <c r="J9" s="185" t="s">
        <v>1839</v>
      </c>
      <c r="K9" s="185"/>
      <c r="L9" s="185"/>
      <c r="M9" s="185"/>
      <c r="N9" s="185"/>
      <c r="O9" s="185"/>
      <c r="P9" s="183"/>
      <c r="Q9" s="2057">
        <v>1000000</v>
      </c>
      <c r="R9" s="2057">
        <v>2000000</v>
      </c>
      <c r="S9" s="305"/>
      <c r="T9" s="305"/>
      <c r="U9" s="183"/>
      <c r="V9" s="306"/>
      <c r="W9" s="306"/>
      <c r="X9" s="306"/>
      <c r="AA9" s="651"/>
      <c r="AB9" s="651"/>
    </row>
    <row r="10" spans="1:28" s="299" customFormat="1" ht="11.45" customHeight="1">
      <c r="A10" s="304"/>
      <c r="B10" s="185"/>
      <c r="C10" s="185"/>
      <c r="D10" s="183"/>
      <c r="E10" s="183"/>
      <c r="F10" s="185"/>
      <c r="G10" s="185"/>
      <c r="H10" s="183"/>
      <c r="I10" s="183"/>
      <c r="J10" s="185" t="s">
        <v>2480</v>
      </c>
      <c r="K10" s="185"/>
      <c r="L10" s="185"/>
      <c r="M10" s="185"/>
      <c r="N10" s="185"/>
      <c r="O10" s="185"/>
      <c r="P10" s="183"/>
      <c r="Q10" s="2057" t="s">
        <v>1809</v>
      </c>
      <c r="R10" s="2056">
        <v>0.25</v>
      </c>
      <c r="S10" s="183"/>
      <c r="T10" s="183"/>
      <c r="U10" s="183"/>
      <c r="V10" s="2047"/>
      <c r="W10" s="2047"/>
      <c r="X10" s="186"/>
      <c r="AA10" s="651"/>
      <c r="AB10" s="651"/>
    </row>
    <row r="11" spans="1:28" s="299" customFormat="1" ht="11.45" customHeight="1">
      <c r="A11" s="185"/>
      <c r="B11" s="185"/>
      <c r="C11" s="185"/>
      <c r="D11" s="183"/>
      <c r="E11" s="183"/>
      <c r="F11" s="185" t="s">
        <v>4290</v>
      </c>
      <c r="G11" s="185"/>
      <c r="H11" s="183"/>
      <c r="I11" s="183"/>
      <c r="J11" s="811" t="s">
        <v>4291</v>
      </c>
      <c r="K11" s="310"/>
      <c r="M11" s="310"/>
      <c r="N11" s="310"/>
      <c r="O11" s="185"/>
      <c r="Q11" s="308"/>
      <c r="R11" s="308"/>
      <c r="S11" s="322"/>
      <c r="T11" s="183"/>
      <c r="U11" s="183"/>
      <c r="V11" s="306"/>
      <c r="W11" s="306"/>
      <c r="X11" s="306"/>
      <c r="AA11" s="651"/>
      <c r="AB11" s="651"/>
    </row>
    <row r="12" spans="1:28" s="299" customFormat="1" ht="11.45" customHeight="1">
      <c r="A12" s="185"/>
      <c r="B12" s="185"/>
      <c r="C12" s="185"/>
      <c r="D12" s="183"/>
      <c r="E12" s="183"/>
      <c r="F12" s="185"/>
      <c r="G12" s="185"/>
      <c r="H12" s="183"/>
      <c r="I12" s="183"/>
      <c r="J12" s="811"/>
      <c r="K12" s="310"/>
      <c r="M12" s="310"/>
      <c r="N12" s="310"/>
      <c r="O12" s="185"/>
      <c r="Q12" s="308"/>
      <c r="R12" s="308"/>
      <c r="S12" s="322"/>
      <c r="T12" s="183"/>
      <c r="U12" s="183"/>
      <c r="V12" s="306"/>
      <c r="W12" s="306"/>
      <c r="X12" s="306"/>
      <c r="AA12" s="651"/>
      <c r="AB12" s="651"/>
    </row>
    <row r="13" spans="1:28" s="299" customFormat="1" ht="11.45" customHeight="1">
      <c r="A13" s="185"/>
      <c r="B13" s="185"/>
      <c r="C13" s="185"/>
      <c r="D13" s="183"/>
      <c r="E13" s="183"/>
      <c r="F13" s="2866" t="s">
        <v>3690</v>
      </c>
      <c r="G13" s="2867"/>
      <c r="H13" s="2867"/>
      <c r="I13" s="2867"/>
      <c r="J13" s="2868"/>
      <c r="K13" s="310"/>
      <c r="L13" s="813" t="s">
        <v>4125</v>
      </c>
      <c r="M13" s="310"/>
      <c r="N13" s="2866" t="s">
        <v>3690</v>
      </c>
      <c r="O13" s="2867"/>
      <c r="P13" s="2867"/>
      <c r="Q13" s="2867"/>
      <c r="R13" s="2868"/>
      <c r="S13" s="322"/>
      <c r="T13" s="183"/>
      <c r="U13" s="183"/>
      <c r="V13" s="306"/>
      <c r="W13" s="306"/>
      <c r="X13" s="306"/>
      <c r="AA13" s="651"/>
      <c r="AB13" s="651"/>
    </row>
    <row r="14" spans="1:28" s="299" customFormat="1" ht="11.45" customHeight="1">
      <c r="A14" s="185"/>
      <c r="D14" s="814" t="s">
        <v>2713</v>
      </c>
      <c r="E14" s="814" t="s">
        <v>1352</v>
      </c>
      <c r="F14" s="815">
        <v>0</v>
      </c>
      <c r="G14" s="816">
        <v>1</v>
      </c>
      <c r="H14" s="817">
        <v>2</v>
      </c>
      <c r="I14" s="817">
        <v>3</v>
      </c>
      <c r="J14" s="818" t="s">
        <v>3687</v>
      </c>
      <c r="L14" s="814" t="s">
        <v>2713</v>
      </c>
      <c r="M14" s="814" t="s">
        <v>1352</v>
      </c>
      <c r="N14" s="815">
        <v>0</v>
      </c>
      <c r="O14" s="816">
        <v>1</v>
      </c>
      <c r="P14" s="817">
        <v>2</v>
      </c>
      <c r="Q14" s="817">
        <v>3</v>
      </c>
      <c r="R14" s="818" t="s">
        <v>3687</v>
      </c>
      <c r="S14" s="322"/>
      <c r="T14" s="183"/>
      <c r="U14" s="183"/>
      <c r="V14" s="306"/>
      <c r="W14" s="306"/>
      <c r="X14" s="306"/>
      <c r="AA14" s="651"/>
      <c r="AB14" s="651"/>
    </row>
    <row r="15" spans="1:28" s="299" customFormat="1" ht="11.45" customHeight="1">
      <c r="A15" s="185"/>
      <c r="C15" s="345"/>
      <c r="D15" s="322" t="s">
        <v>1858</v>
      </c>
      <c r="E15" s="322" t="s">
        <v>3689</v>
      </c>
      <c r="F15" s="812">
        <v>118024</v>
      </c>
      <c r="G15" s="812">
        <v>155590</v>
      </c>
      <c r="H15" s="812">
        <v>186567</v>
      </c>
      <c r="I15" s="812">
        <v>224896</v>
      </c>
      <c r="J15" s="812">
        <v>265234</v>
      </c>
      <c r="L15" s="322" t="s">
        <v>1858</v>
      </c>
      <c r="M15" s="322" t="s">
        <v>3689</v>
      </c>
      <c r="N15" s="810">
        <f t="shared" ref="N15:R22" si="0">ROUNDDOWN(F15*1.1,0)</f>
        <v>129826</v>
      </c>
      <c r="O15" s="810">
        <f t="shared" si="0"/>
        <v>171149</v>
      </c>
      <c r="P15" s="810">
        <f t="shared" si="0"/>
        <v>205223</v>
      </c>
      <c r="Q15" s="810">
        <f t="shared" si="0"/>
        <v>247385</v>
      </c>
      <c r="R15" s="810">
        <f t="shared" si="0"/>
        <v>291757</v>
      </c>
      <c r="S15" s="322"/>
      <c r="T15" s="183"/>
      <c r="U15" s="183"/>
      <c r="V15" s="306"/>
      <c r="W15" s="306"/>
      <c r="X15" s="306"/>
      <c r="AA15" s="651"/>
      <c r="AB15" s="651"/>
    </row>
    <row r="16" spans="1:28" s="299" customFormat="1" ht="11.45" customHeight="1">
      <c r="A16" s="185"/>
      <c r="C16" s="345"/>
      <c r="D16" s="322" t="s">
        <v>1858</v>
      </c>
      <c r="E16" s="322" t="s">
        <v>3686</v>
      </c>
      <c r="F16" s="812">
        <v>97116</v>
      </c>
      <c r="G16" s="812">
        <v>135962</v>
      </c>
      <c r="H16" s="812">
        <v>174808</v>
      </c>
      <c r="I16" s="812">
        <v>233078</v>
      </c>
      <c r="J16" s="812">
        <v>291347</v>
      </c>
      <c r="L16" s="322" t="s">
        <v>1858</v>
      </c>
      <c r="M16" s="322" t="s">
        <v>3686</v>
      </c>
      <c r="N16" s="810">
        <f t="shared" si="0"/>
        <v>106827</v>
      </c>
      <c r="O16" s="810">
        <f t="shared" si="0"/>
        <v>149558</v>
      </c>
      <c r="P16" s="810">
        <f t="shared" si="0"/>
        <v>192288</v>
      </c>
      <c r="Q16" s="810">
        <f t="shared" si="0"/>
        <v>256385</v>
      </c>
      <c r="R16" s="810">
        <f t="shared" si="0"/>
        <v>320481</v>
      </c>
      <c r="S16" s="322"/>
      <c r="T16" s="183"/>
      <c r="U16" s="183"/>
      <c r="V16" s="306"/>
      <c r="W16" s="306"/>
      <c r="X16" s="306"/>
      <c r="AA16" s="651"/>
      <c r="AB16" s="651"/>
    </row>
    <row r="17" spans="1:28" s="299" customFormat="1" ht="11.45" customHeight="1">
      <c r="A17" s="185"/>
      <c r="C17" s="345"/>
      <c r="D17" s="322" t="s">
        <v>1858</v>
      </c>
      <c r="E17" s="322" t="s">
        <v>3684</v>
      </c>
      <c r="F17" s="812">
        <v>112014</v>
      </c>
      <c r="G17" s="812">
        <v>148067</v>
      </c>
      <c r="H17" s="812">
        <v>178048</v>
      </c>
      <c r="I17" s="812">
        <v>215837</v>
      </c>
      <c r="J17" s="812">
        <v>257008</v>
      </c>
      <c r="L17" s="322" t="s">
        <v>1858</v>
      </c>
      <c r="M17" s="322" t="s">
        <v>3684</v>
      </c>
      <c r="N17" s="810">
        <f t="shared" si="0"/>
        <v>123215</v>
      </c>
      <c r="O17" s="810">
        <f t="shared" si="0"/>
        <v>162873</v>
      </c>
      <c r="P17" s="810">
        <f t="shared" si="0"/>
        <v>195852</v>
      </c>
      <c r="Q17" s="810">
        <f t="shared" si="0"/>
        <v>237420</v>
      </c>
      <c r="R17" s="810">
        <f t="shared" si="0"/>
        <v>282708</v>
      </c>
      <c r="S17" s="322"/>
      <c r="T17" s="183"/>
      <c r="U17" s="183"/>
      <c r="V17" s="306"/>
      <c r="W17" s="306"/>
      <c r="X17" s="306"/>
      <c r="AA17" s="651"/>
      <c r="AB17" s="651"/>
    </row>
    <row r="18" spans="1:28" s="299" customFormat="1" ht="11.45" customHeight="1">
      <c r="A18" s="185"/>
      <c r="C18" s="345"/>
      <c r="D18" s="322" t="s">
        <v>1858</v>
      </c>
      <c r="E18" s="322" t="s">
        <v>3685</v>
      </c>
      <c r="F18" s="812">
        <v>91285</v>
      </c>
      <c r="G18" s="812">
        <v>126011</v>
      </c>
      <c r="H18" s="812">
        <v>159708</v>
      </c>
      <c r="I18" s="812">
        <v>208340</v>
      </c>
      <c r="J18" s="812">
        <v>259672</v>
      </c>
      <c r="L18" s="322" t="s">
        <v>1858</v>
      </c>
      <c r="M18" s="322" t="s">
        <v>3685</v>
      </c>
      <c r="N18" s="810">
        <f t="shared" si="0"/>
        <v>100413</v>
      </c>
      <c r="O18" s="810">
        <f t="shared" si="0"/>
        <v>138612</v>
      </c>
      <c r="P18" s="810">
        <f t="shared" si="0"/>
        <v>175678</v>
      </c>
      <c r="Q18" s="810">
        <f t="shared" si="0"/>
        <v>229174</v>
      </c>
      <c r="R18" s="810">
        <f t="shared" si="0"/>
        <v>285639</v>
      </c>
      <c r="S18" s="322"/>
      <c r="T18" s="183"/>
      <c r="U18" s="183"/>
      <c r="V18" s="306"/>
      <c r="W18" s="306"/>
      <c r="X18" s="306"/>
      <c r="AA18" s="651"/>
      <c r="AB18" s="651"/>
    </row>
    <row r="19" spans="1:28" s="299" customFormat="1" ht="11.45" customHeight="1">
      <c r="A19" s="185"/>
      <c r="C19" s="345"/>
      <c r="D19" s="322" t="s">
        <v>1258</v>
      </c>
      <c r="E19" s="322" t="s">
        <v>3689</v>
      </c>
      <c r="F19" s="812">
        <v>135361</v>
      </c>
      <c r="G19" s="812">
        <v>178380</v>
      </c>
      <c r="H19" s="812">
        <v>213793</v>
      </c>
      <c r="I19" s="812">
        <v>257538</v>
      </c>
      <c r="J19" s="812">
        <v>303696</v>
      </c>
      <c r="L19" s="811" t="s">
        <v>1258</v>
      </c>
      <c r="M19" s="811" t="s">
        <v>3689</v>
      </c>
      <c r="N19" s="810">
        <f t="shared" si="0"/>
        <v>148897</v>
      </c>
      <c r="O19" s="810">
        <f t="shared" si="0"/>
        <v>196218</v>
      </c>
      <c r="P19" s="810">
        <f t="shared" si="0"/>
        <v>235172</v>
      </c>
      <c r="Q19" s="810">
        <f t="shared" si="0"/>
        <v>283291</v>
      </c>
      <c r="R19" s="810">
        <f t="shared" si="0"/>
        <v>334065</v>
      </c>
      <c r="S19" s="322"/>
      <c r="T19" s="183"/>
      <c r="U19" s="183"/>
      <c r="V19" s="306"/>
      <c r="W19" s="306"/>
      <c r="X19" s="306"/>
      <c r="AA19" s="651"/>
      <c r="AB19" s="651"/>
    </row>
    <row r="20" spans="1:28" s="299" customFormat="1" ht="11.45" customHeight="1">
      <c r="A20" s="185"/>
      <c r="C20" s="345"/>
      <c r="D20" s="322" t="s">
        <v>1258</v>
      </c>
      <c r="E20" s="322" t="s">
        <v>3686</v>
      </c>
      <c r="F20" s="812">
        <v>111281</v>
      </c>
      <c r="G20" s="812">
        <v>155793</v>
      </c>
      <c r="H20" s="812">
        <v>200306</v>
      </c>
      <c r="I20" s="812">
        <v>267074</v>
      </c>
      <c r="J20" s="812">
        <v>333843</v>
      </c>
      <c r="L20" s="811" t="s">
        <v>1258</v>
      </c>
      <c r="M20" s="811" t="s">
        <v>3686</v>
      </c>
      <c r="N20" s="810">
        <f t="shared" si="0"/>
        <v>122409</v>
      </c>
      <c r="O20" s="810">
        <f t="shared" si="0"/>
        <v>171372</v>
      </c>
      <c r="P20" s="810">
        <f t="shared" si="0"/>
        <v>220336</v>
      </c>
      <c r="Q20" s="810">
        <f t="shared" si="0"/>
        <v>293781</v>
      </c>
      <c r="R20" s="810">
        <f t="shared" si="0"/>
        <v>367227</v>
      </c>
      <c r="S20" s="322"/>
      <c r="T20" s="183"/>
      <c r="U20" s="183"/>
      <c r="V20" s="306"/>
      <c r="W20" s="306"/>
      <c r="X20" s="306"/>
      <c r="AA20" s="651"/>
      <c r="AB20" s="651"/>
    </row>
    <row r="21" spans="1:28" s="299" customFormat="1" ht="11.45" customHeight="1">
      <c r="A21" s="185"/>
      <c r="C21" s="345"/>
      <c r="D21" s="322" t="s">
        <v>1258</v>
      </c>
      <c r="E21" s="322" t="s">
        <v>3684</v>
      </c>
      <c r="F21" s="812">
        <v>128554</v>
      </c>
      <c r="G21" s="812">
        <v>169860</v>
      </c>
      <c r="H21" s="812">
        <v>204145</v>
      </c>
      <c r="I21" s="812">
        <v>247279</v>
      </c>
      <c r="J21" s="812">
        <v>294379</v>
      </c>
      <c r="L21" s="811" t="s">
        <v>1258</v>
      </c>
      <c r="M21" s="811" t="s">
        <v>3684</v>
      </c>
      <c r="N21" s="810">
        <f t="shared" si="0"/>
        <v>141409</v>
      </c>
      <c r="O21" s="810">
        <f t="shared" si="0"/>
        <v>186846</v>
      </c>
      <c r="P21" s="810">
        <f t="shared" si="0"/>
        <v>224559</v>
      </c>
      <c r="Q21" s="810">
        <f t="shared" si="0"/>
        <v>272006</v>
      </c>
      <c r="R21" s="810">
        <f t="shared" si="0"/>
        <v>323816</v>
      </c>
      <c r="S21" s="322"/>
      <c r="T21" s="183"/>
      <c r="U21" s="183"/>
      <c r="V21" s="306"/>
      <c r="W21" s="306"/>
      <c r="X21" s="306"/>
      <c r="AA21" s="651"/>
      <c r="AB21" s="651"/>
    </row>
    <row r="22" spans="1:28" s="299" customFormat="1" ht="11.45" customHeight="1">
      <c r="A22" s="185"/>
      <c r="C22" s="345"/>
      <c r="D22" s="322" t="s">
        <v>1258</v>
      </c>
      <c r="E22" s="322" t="s">
        <v>3685</v>
      </c>
      <c r="F22" s="812">
        <v>104901</v>
      </c>
      <c r="G22" s="812">
        <v>144835</v>
      </c>
      <c r="H22" s="812">
        <v>183605</v>
      </c>
      <c r="I22" s="812">
        <v>239593</v>
      </c>
      <c r="J22" s="812">
        <v>298638</v>
      </c>
      <c r="L22" s="811" t="s">
        <v>1258</v>
      </c>
      <c r="M22" s="811" t="s">
        <v>3685</v>
      </c>
      <c r="N22" s="810">
        <f t="shared" si="0"/>
        <v>115391</v>
      </c>
      <c r="O22" s="810">
        <f t="shared" si="0"/>
        <v>159318</v>
      </c>
      <c r="P22" s="810">
        <f t="shared" si="0"/>
        <v>201965</v>
      </c>
      <c r="Q22" s="810">
        <f t="shared" si="0"/>
        <v>263552</v>
      </c>
      <c r="R22" s="810">
        <f t="shared" si="0"/>
        <v>328501</v>
      </c>
      <c r="S22" s="322"/>
      <c r="T22" s="183"/>
      <c r="U22" s="183"/>
      <c r="V22" s="306"/>
      <c r="W22" s="306"/>
      <c r="X22" s="306"/>
      <c r="AA22" s="651"/>
      <c r="AB22" s="651"/>
    </row>
    <row r="23" spans="1:28" s="299" customFormat="1" ht="11.45" customHeight="1">
      <c r="A23" s="185"/>
      <c r="C23" s="345"/>
      <c r="D23" s="322" t="s">
        <v>1386</v>
      </c>
      <c r="E23" s="322" t="s">
        <v>3689</v>
      </c>
      <c r="F23" s="812">
        <v>122960</v>
      </c>
      <c r="G23" s="812">
        <v>161910</v>
      </c>
      <c r="H23" s="812">
        <v>193847</v>
      </c>
      <c r="I23" s="812">
        <v>233158</v>
      </c>
      <c r="J23" s="812">
        <v>274874</v>
      </c>
      <c r="L23" s="811" t="s">
        <v>1386</v>
      </c>
      <c r="M23" s="811" t="s">
        <v>3689</v>
      </c>
      <c r="N23" s="810">
        <f t="shared" ref="N23:N50" si="1">ROUNDDOWN(F23*1.1,0)</f>
        <v>135256</v>
      </c>
      <c r="O23" s="810">
        <f t="shared" ref="O23:O50" si="2">ROUNDDOWN(G23*1.1,0)</f>
        <v>178101</v>
      </c>
      <c r="P23" s="810">
        <f t="shared" ref="P23:P50" si="3">ROUNDDOWN(H23*1.1,0)</f>
        <v>213231</v>
      </c>
      <c r="Q23" s="810">
        <f t="shared" ref="Q23:Q50" si="4">ROUNDDOWN(I23*1.1,0)</f>
        <v>256473</v>
      </c>
      <c r="R23" s="810">
        <f t="shared" ref="R23:R50" si="5">ROUNDDOWN(J23*1.1,0)</f>
        <v>302361</v>
      </c>
      <c r="S23" s="322"/>
      <c r="T23" s="183"/>
      <c r="U23" s="183"/>
      <c r="V23" s="306"/>
      <c r="W23" s="306"/>
      <c r="X23" s="306"/>
      <c r="AA23" s="651"/>
      <c r="AB23" s="651"/>
    </row>
    <row r="24" spans="1:28" s="299" customFormat="1" ht="11.45" customHeight="1">
      <c r="A24" s="185"/>
      <c r="C24" s="345"/>
      <c r="D24" s="322" t="s">
        <v>1386</v>
      </c>
      <c r="E24" s="322" t="s">
        <v>3686</v>
      </c>
      <c r="F24" s="812">
        <v>100885</v>
      </c>
      <c r="G24" s="812">
        <v>141240</v>
      </c>
      <c r="H24" s="812">
        <v>181594</v>
      </c>
      <c r="I24" s="812">
        <v>242125</v>
      </c>
      <c r="J24" s="812">
        <v>302656</v>
      </c>
      <c r="L24" s="811" t="s">
        <v>1386</v>
      </c>
      <c r="M24" s="811" t="s">
        <v>3686</v>
      </c>
      <c r="N24" s="810">
        <f t="shared" si="1"/>
        <v>110973</v>
      </c>
      <c r="O24" s="810">
        <f t="shared" si="2"/>
        <v>155364</v>
      </c>
      <c r="P24" s="810">
        <f t="shared" si="3"/>
        <v>199753</v>
      </c>
      <c r="Q24" s="810">
        <f t="shared" si="4"/>
        <v>266337</v>
      </c>
      <c r="R24" s="810">
        <f t="shared" si="5"/>
        <v>332921</v>
      </c>
      <c r="S24" s="322"/>
      <c r="T24" s="183"/>
      <c r="U24" s="183"/>
      <c r="V24" s="306"/>
      <c r="W24" s="306"/>
      <c r="X24" s="306"/>
      <c r="AA24" s="651"/>
      <c r="AB24" s="651"/>
    </row>
    <row r="25" spans="1:28" s="299" customFormat="1" ht="11.45" customHeight="1">
      <c r="A25" s="185"/>
      <c r="C25" s="345"/>
      <c r="D25" s="322" t="s">
        <v>1386</v>
      </c>
      <c r="E25" s="322" t="s">
        <v>3684</v>
      </c>
      <c r="F25" s="812">
        <v>116950</v>
      </c>
      <c r="G25" s="812">
        <v>154387</v>
      </c>
      <c r="H25" s="812">
        <v>185328</v>
      </c>
      <c r="I25" s="812">
        <v>224100</v>
      </c>
      <c r="J25" s="812">
        <v>266647</v>
      </c>
      <c r="L25" s="811" t="s">
        <v>1386</v>
      </c>
      <c r="M25" s="811" t="s">
        <v>3684</v>
      </c>
      <c r="N25" s="810">
        <f t="shared" si="1"/>
        <v>128645</v>
      </c>
      <c r="O25" s="810">
        <f t="shared" si="2"/>
        <v>169825</v>
      </c>
      <c r="P25" s="810">
        <f t="shared" si="3"/>
        <v>203860</v>
      </c>
      <c r="Q25" s="810">
        <f t="shared" si="4"/>
        <v>246510</v>
      </c>
      <c r="R25" s="810">
        <f t="shared" si="5"/>
        <v>293311</v>
      </c>
      <c r="S25" s="322"/>
      <c r="T25" s="183"/>
      <c r="U25" s="183"/>
      <c r="V25" s="306"/>
      <c r="W25" s="306"/>
      <c r="X25" s="306"/>
      <c r="AA25" s="651"/>
      <c r="AB25" s="651"/>
    </row>
    <row r="26" spans="1:28" s="299" customFormat="1" ht="11.45" customHeight="1">
      <c r="A26" s="185"/>
      <c r="C26" s="345"/>
      <c r="D26" s="322" t="s">
        <v>1386</v>
      </c>
      <c r="E26" s="322" t="s">
        <v>3685</v>
      </c>
      <c r="F26" s="812">
        <v>95704</v>
      </c>
      <c r="G26" s="812">
        <v>132198</v>
      </c>
      <c r="H26" s="812">
        <v>167662</v>
      </c>
      <c r="I26" s="812">
        <v>218946</v>
      </c>
      <c r="J26" s="812">
        <v>272929</v>
      </c>
      <c r="L26" s="811" t="s">
        <v>1386</v>
      </c>
      <c r="M26" s="811" t="s">
        <v>3685</v>
      </c>
      <c r="N26" s="810">
        <f t="shared" si="1"/>
        <v>105274</v>
      </c>
      <c r="O26" s="810">
        <f t="shared" si="2"/>
        <v>145417</v>
      </c>
      <c r="P26" s="810">
        <f t="shared" si="3"/>
        <v>184428</v>
      </c>
      <c r="Q26" s="810">
        <f t="shared" si="4"/>
        <v>240840</v>
      </c>
      <c r="R26" s="810">
        <f t="shared" si="5"/>
        <v>300221</v>
      </c>
      <c r="S26" s="322"/>
      <c r="T26" s="183"/>
      <c r="U26" s="183"/>
      <c r="V26" s="306"/>
      <c r="W26" s="306"/>
      <c r="X26" s="306"/>
      <c r="AA26" s="651"/>
      <c r="AB26" s="651"/>
    </row>
    <row r="27" spans="1:28" s="299" customFormat="1" ht="11.45" customHeight="1">
      <c r="A27" s="185"/>
      <c r="C27" s="345"/>
      <c r="D27" s="322" t="s">
        <v>12</v>
      </c>
      <c r="E27" s="322" t="s">
        <v>3689</v>
      </c>
      <c r="F27" s="812">
        <v>123063</v>
      </c>
      <c r="G27" s="812">
        <v>162311</v>
      </c>
      <c r="H27" s="812">
        <v>194751</v>
      </c>
      <c r="I27" s="812">
        <v>234976</v>
      </c>
      <c r="J27" s="812">
        <v>277167</v>
      </c>
      <c r="L27" s="811" t="s">
        <v>12</v>
      </c>
      <c r="M27" s="811" t="s">
        <v>3689</v>
      </c>
      <c r="N27" s="810">
        <f t="shared" si="1"/>
        <v>135369</v>
      </c>
      <c r="O27" s="810">
        <f t="shared" si="2"/>
        <v>178542</v>
      </c>
      <c r="P27" s="810">
        <f t="shared" si="3"/>
        <v>214226</v>
      </c>
      <c r="Q27" s="810">
        <f t="shared" si="4"/>
        <v>258473</v>
      </c>
      <c r="R27" s="810">
        <f t="shared" si="5"/>
        <v>304883</v>
      </c>
      <c r="S27" s="322"/>
      <c r="T27" s="183"/>
      <c r="U27" s="183"/>
      <c r="V27" s="306"/>
      <c r="W27" s="306"/>
      <c r="X27" s="306"/>
      <c r="AA27" s="651"/>
      <c r="AB27" s="651"/>
    </row>
    <row r="28" spans="1:28" s="299" customFormat="1" ht="11.45" customHeight="1">
      <c r="A28" s="185"/>
      <c r="C28" s="345"/>
      <c r="D28" s="322" t="s">
        <v>12</v>
      </c>
      <c r="E28" s="322" t="s">
        <v>3686</v>
      </c>
      <c r="F28" s="812">
        <v>101384</v>
      </c>
      <c r="G28" s="812">
        <v>141938</v>
      </c>
      <c r="H28" s="812">
        <v>182491</v>
      </c>
      <c r="I28" s="812">
        <v>243321</v>
      </c>
      <c r="J28" s="812">
        <v>304152</v>
      </c>
      <c r="L28" s="811" t="s">
        <v>12</v>
      </c>
      <c r="M28" s="811" t="s">
        <v>3686</v>
      </c>
      <c r="N28" s="810">
        <f t="shared" si="1"/>
        <v>111522</v>
      </c>
      <c r="O28" s="810">
        <f t="shared" si="2"/>
        <v>156131</v>
      </c>
      <c r="P28" s="810">
        <f t="shared" si="3"/>
        <v>200740</v>
      </c>
      <c r="Q28" s="810">
        <f t="shared" si="4"/>
        <v>267653</v>
      </c>
      <c r="R28" s="810">
        <f t="shared" si="5"/>
        <v>334567</v>
      </c>
      <c r="S28" s="322"/>
      <c r="T28" s="183"/>
      <c r="U28" s="183"/>
      <c r="V28" s="306"/>
      <c r="W28" s="306"/>
      <c r="X28" s="306"/>
      <c r="AA28" s="651"/>
      <c r="AB28" s="651"/>
    </row>
    <row r="29" spans="1:28" s="299" customFormat="1" ht="11.45" customHeight="1">
      <c r="A29" s="185"/>
      <c r="C29" s="345"/>
      <c r="D29" s="322" t="s">
        <v>12</v>
      </c>
      <c r="E29" s="322" t="s">
        <v>3684</v>
      </c>
      <c r="F29" s="812">
        <v>116690</v>
      </c>
      <c r="G29" s="812">
        <v>154334</v>
      </c>
      <c r="H29" s="812">
        <v>185719</v>
      </c>
      <c r="I29" s="812">
        <v>225372</v>
      </c>
      <c r="J29" s="812">
        <v>268445</v>
      </c>
      <c r="L29" s="811" t="s">
        <v>12</v>
      </c>
      <c r="M29" s="811" t="s">
        <v>3684</v>
      </c>
      <c r="N29" s="810">
        <f t="shared" si="1"/>
        <v>128359</v>
      </c>
      <c r="O29" s="810">
        <f t="shared" si="2"/>
        <v>169767</v>
      </c>
      <c r="P29" s="810">
        <f t="shared" si="3"/>
        <v>204290</v>
      </c>
      <c r="Q29" s="810">
        <f t="shared" si="4"/>
        <v>247909</v>
      </c>
      <c r="R29" s="810">
        <f t="shared" si="5"/>
        <v>295289</v>
      </c>
      <c r="S29" s="322"/>
      <c r="T29" s="183"/>
      <c r="U29" s="183"/>
      <c r="V29" s="306"/>
      <c r="W29" s="306"/>
      <c r="X29" s="306"/>
      <c r="AA29" s="651"/>
      <c r="AB29" s="651"/>
    </row>
    <row r="30" spans="1:28" s="299" customFormat="1" ht="11.45" customHeight="1">
      <c r="A30" s="185"/>
      <c r="C30" s="345"/>
      <c r="D30" s="322" t="s">
        <v>12</v>
      </c>
      <c r="E30" s="322" t="s">
        <v>3685</v>
      </c>
      <c r="F30" s="812">
        <v>94930</v>
      </c>
      <c r="G30" s="812">
        <v>131005</v>
      </c>
      <c r="H30" s="812">
        <v>165990</v>
      </c>
      <c r="I30" s="812">
        <v>216440</v>
      </c>
      <c r="J30" s="812">
        <v>269751</v>
      </c>
      <c r="L30" s="811" t="s">
        <v>12</v>
      </c>
      <c r="M30" s="811" t="s">
        <v>3685</v>
      </c>
      <c r="N30" s="810">
        <f t="shared" si="1"/>
        <v>104423</v>
      </c>
      <c r="O30" s="810">
        <f t="shared" si="2"/>
        <v>144105</v>
      </c>
      <c r="P30" s="810">
        <f t="shared" si="3"/>
        <v>182589</v>
      </c>
      <c r="Q30" s="810">
        <f t="shared" si="4"/>
        <v>238084</v>
      </c>
      <c r="R30" s="810">
        <f t="shared" si="5"/>
        <v>296726</v>
      </c>
      <c r="S30" s="322"/>
      <c r="T30" s="183"/>
      <c r="U30" s="183"/>
      <c r="V30" s="306"/>
      <c r="W30" s="306"/>
      <c r="X30" s="306"/>
      <c r="AA30" s="651"/>
      <c r="AB30" s="651"/>
    </row>
    <row r="31" spans="1:28" s="299" customFormat="1" ht="11.45" customHeight="1">
      <c r="A31" s="185"/>
      <c r="C31" s="345"/>
      <c r="D31" s="322" t="s">
        <v>167</v>
      </c>
      <c r="E31" s="322" t="s">
        <v>3689</v>
      </c>
      <c r="F31" s="812">
        <v>120492</v>
      </c>
      <c r="G31" s="812">
        <v>158750</v>
      </c>
      <c r="H31" s="812">
        <v>190207</v>
      </c>
      <c r="I31" s="812">
        <v>229027</v>
      </c>
      <c r="J31" s="812">
        <v>270054</v>
      </c>
      <c r="L31" s="322" t="s">
        <v>167</v>
      </c>
      <c r="M31" s="322" t="s">
        <v>3689</v>
      </c>
      <c r="N31" s="810">
        <f t="shared" ref="N31:R34" si="6">ROUNDDOWN(F31*1.1,0)</f>
        <v>132541</v>
      </c>
      <c r="O31" s="810">
        <f t="shared" si="6"/>
        <v>174625</v>
      </c>
      <c r="P31" s="810">
        <f t="shared" si="6"/>
        <v>209227</v>
      </c>
      <c r="Q31" s="810">
        <f t="shared" si="6"/>
        <v>251929</v>
      </c>
      <c r="R31" s="810">
        <f t="shared" si="6"/>
        <v>297059</v>
      </c>
      <c r="S31" s="322"/>
      <c r="T31" s="183"/>
      <c r="U31" s="183"/>
      <c r="V31" s="306"/>
      <c r="W31" s="306"/>
      <c r="X31" s="306"/>
      <c r="AA31" s="651"/>
      <c r="AB31" s="651"/>
    </row>
    <row r="32" spans="1:28" s="299" customFormat="1" ht="11.45" customHeight="1">
      <c r="A32" s="185"/>
      <c r="C32" s="345"/>
      <c r="D32" s="322" t="s">
        <v>167</v>
      </c>
      <c r="E32" s="322" t="s">
        <v>3686</v>
      </c>
      <c r="F32" s="812">
        <v>99001</v>
      </c>
      <c r="G32" s="812">
        <v>138601</v>
      </c>
      <c r="H32" s="812">
        <v>178201</v>
      </c>
      <c r="I32" s="812">
        <v>237601</v>
      </c>
      <c r="J32" s="812">
        <v>297002</v>
      </c>
      <c r="L32" s="322" t="s">
        <v>167</v>
      </c>
      <c r="M32" s="322" t="s">
        <v>3686</v>
      </c>
      <c r="N32" s="810">
        <f t="shared" si="6"/>
        <v>108901</v>
      </c>
      <c r="O32" s="810">
        <f t="shared" si="6"/>
        <v>152461</v>
      </c>
      <c r="P32" s="810">
        <f t="shared" si="6"/>
        <v>196021</v>
      </c>
      <c r="Q32" s="810">
        <f t="shared" si="6"/>
        <v>261361</v>
      </c>
      <c r="R32" s="810">
        <f t="shared" si="6"/>
        <v>326702</v>
      </c>
      <c r="S32" s="322"/>
      <c r="T32" s="183"/>
      <c r="U32" s="183"/>
      <c r="V32" s="306"/>
      <c r="W32" s="306"/>
      <c r="X32" s="306"/>
      <c r="AA32" s="651"/>
      <c r="AB32" s="651"/>
    </row>
    <row r="33" spans="1:28" s="299" customFormat="1" ht="11.45" customHeight="1">
      <c r="A33" s="185"/>
      <c r="C33" s="345"/>
      <c r="D33" s="322" t="s">
        <v>167</v>
      </c>
      <c r="E33" s="322" t="s">
        <v>3684</v>
      </c>
      <c r="F33" s="812">
        <v>114482</v>
      </c>
      <c r="G33" s="812">
        <v>151227</v>
      </c>
      <c r="H33" s="812">
        <v>181688</v>
      </c>
      <c r="I33" s="812">
        <v>219969</v>
      </c>
      <c r="J33" s="812">
        <v>261827</v>
      </c>
      <c r="L33" s="322" t="s">
        <v>167</v>
      </c>
      <c r="M33" s="322" t="s">
        <v>3684</v>
      </c>
      <c r="N33" s="810">
        <f t="shared" si="6"/>
        <v>125930</v>
      </c>
      <c r="O33" s="810">
        <f t="shared" si="6"/>
        <v>166349</v>
      </c>
      <c r="P33" s="810">
        <f t="shared" si="6"/>
        <v>199856</v>
      </c>
      <c r="Q33" s="810">
        <f t="shared" si="6"/>
        <v>241965</v>
      </c>
      <c r="R33" s="810">
        <f t="shared" si="6"/>
        <v>288009</v>
      </c>
      <c r="S33" s="322"/>
      <c r="T33" s="183"/>
      <c r="U33" s="183"/>
      <c r="V33" s="306"/>
      <c r="W33" s="306"/>
      <c r="X33" s="306"/>
      <c r="AA33" s="651"/>
      <c r="AB33" s="651"/>
    </row>
    <row r="34" spans="1:28" s="299" customFormat="1" ht="11.45" customHeight="1">
      <c r="A34" s="185"/>
      <c r="C34" s="345"/>
      <c r="D34" s="322" t="s">
        <v>167</v>
      </c>
      <c r="E34" s="322" t="s">
        <v>3685</v>
      </c>
      <c r="F34" s="812">
        <v>93495</v>
      </c>
      <c r="G34" s="812">
        <v>129104</v>
      </c>
      <c r="H34" s="812">
        <v>163685</v>
      </c>
      <c r="I34" s="812">
        <v>213643</v>
      </c>
      <c r="J34" s="812">
        <v>266301</v>
      </c>
      <c r="L34" s="322" t="s">
        <v>167</v>
      </c>
      <c r="M34" s="322" t="s">
        <v>3685</v>
      </c>
      <c r="N34" s="810">
        <f t="shared" si="6"/>
        <v>102844</v>
      </c>
      <c r="O34" s="810">
        <f t="shared" si="6"/>
        <v>142014</v>
      </c>
      <c r="P34" s="810">
        <f t="shared" si="6"/>
        <v>180053</v>
      </c>
      <c r="Q34" s="810">
        <f t="shared" si="6"/>
        <v>235007</v>
      </c>
      <c r="R34" s="810">
        <f t="shared" si="6"/>
        <v>292931</v>
      </c>
      <c r="S34" s="322"/>
      <c r="T34" s="183"/>
      <c r="U34" s="183"/>
      <c r="V34" s="306"/>
      <c r="W34" s="306"/>
      <c r="X34" s="306"/>
      <c r="AA34" s="651"/>
      <c r="AB34" s="651"/>
    </row>
    <row r="35" spans="1:28" s="299" customFormat="1" ht="11.45" customHeight="1">
      <c r="A35" s="185"/>
      <c r="C35" s="345"/>
      <c r="D35" s="322" t="s">
        <v>1376</v>
      </c>
      <c r="E35" s="322" t="s">
        <v>3689</v>
      </c>
      <c r="F35" s="812">
        <v>121705</v>
      </c>
      <c r="G35" s="812">
        <v>160465</v>
      </c>
      <c r="H35" s="812">
        <v>192448</v>
      </c>
      <c r="I35" s="812">
        <v>232045</v>
      </c>
      <c r="J35" s="812">
        <v>273679</v>
      </c>
      <c r="L35" s="811" t="s">
        <v>1376</v>
      </c>
      <c r="M35" s="811" t="s">
        <v>3689</v>
      </c>
      <c r="N35" s="810">
        <f t="shared" si="1"/>
        <v>133875</v>
      </c>
      <c r="O35" s="810">
        <f t="shared" si="2"/>
        <v>176511</v>
      </c>
      <c r="P35" s="810">
        <f t="shared" si="3"/>
        <v>211692</v>
      </c>
      <c r="Q35" s="810">
        <f t="shared" si="4"/>
        <v>255249</v>
      </c>
      <c r="R35" s="810">
        <f t="shared" si="5"/>
        <v>301046</v>
      </c>
      <c r="S35" s="322"/>
      <c r="T35" s="183"/>
      <c r="U35" s="183"/>
      <c r="V35" s="306"/>
      <c r="W35" s="306"/>
      <c r="X35" s="306"/>
      <c r="AA35" s="651"/>
      <c r="AB35" s="651"/>
    </row>
    <row r="36" spans="1:28" s="299" customFormat="1" ht="11.45" customHeight="1">
      <c r="A36" s="185"/>
      <c r="C36" s="345"/>
      <c r="D36" s="322" t="s">
        <v>1376</v>
      </c>
      <c r="E36" s="322" t="s">
        <v>3686</v>
      </c>
      <c r="F36" s="812">
        <v>100179</v>
      </c>
      <c r="G36" s="812">
        <v>140251</v>
      </c>
      <c r="H36" s="812">
        <v>180323</v>
      </c>
      <c r="I36" s="812">
        <v>240430</v>
      </c>
      <c r="J36" s="812">
        <v>300538</v>
      </c>
      <c r="L36" s="811" t="s">
        <v>1376</v>
      </c>
      <c r="M36" s="811" t="s">
        <v>3686</v>
      </c>
      <c r="N36" s="810">
        <f t="shared" si="1"/>
        <v>110196</v>
      </c>
      <c r="O36" s="810">
        <f t="shared" si="2"/>
        <v>154276</v>
      </c>
      <c r="P36" s="810">
        <f t="shared" si="3"/>
        <v>198355</v>
      </c>
      <c r="Q36" s="810">
        <f t="shared" si="4"/>
        <v>264473</v>
      </c>
      <c r="R36" s="810">
        <f t="shared" si="5"/>
        <v>330591</v>
      </c>
      <c r="S36" s="322"/>
      <c r="T36" s="183"/>
      <c r="U36" s="183"/>
      <c r="V36" s="306"/>
      <c r="W36" s="306"/>
      <c r="X36" s="306"/>
      <c r="AA36" s="651"/>
      <c r="AB36" s="651"/>
    </row>
    <row r="37" spans="1:28" s="299" customFormat="1" ht="11.45" customHeight="1">
      <c r="A37" s="185"/>
      <c r="C37" s="345"/>
      <c r="D37" s="322" t="s">
        <v>1376</v>
      </c>
      <c r="E37" s="322" t="s">
        <v>3684</v>
      </c>
      <c r="F37" s="812">
        <v>115478</v>
      </c>
      <c r="G37" s="812">
        <v>152670</v>
      </c>
      <c r="H37" s="812">
        <v>183621</v>
      </c>
      <c r="I37" s="812">
        <v>222660</v>
      </c>
      <c r="J37" s="812">
        <v>265155</v>
      </c>
      <c r="L37" s="811" t="s">
        <v>1376</v>
      </c>
      <c r="M37" s="811" t="s">
        <v>3684</v>
      </c>
      <c r="N37" s="810">
        <f t="shared" si="1"/>
        <v>127025</v>
      </c>
      <c r="O37" s="810">
        <f t="shared" si="2"/>
        <v>167937</v>
      </c>
      <c r="P37" s="810">
        <f t="shared" si="3"/>
        <v>201983</v>
      </c>
      <c r="Q37" s="810">
        <f t="shared" si="4"/>
        <v>244926</v>
      </c>
      <c r="R37" s="810">
        <f t="shared" si="5"/>
        <v>291670</v>
      </c>
      <c r="S37" s="322"/>
      <c r="T37" s="183"/>
      <c r="U37" s="183"/>
      <c r="V37" s="306"/>
      <c r="W37" s="306"/>
      <c r="X37" s="306"/>
      <c r="AA37" s="651"/>
      <c r="AB37" s="651"/>
    </row>
    <row r="38" spans="1:28" s="299" customFormat="1" ht="11.45" customHeight="1">
      <c r="A38" s="185"/>
      <c r="C38" s="345"/>
      <c r="D38" s="322" t="s">
        <v>1376</v>
      </c>
      <c r="E38" s="322" t="s">
        <v>3685</v>
      </c>
      <c r="F38" s="812">
        <v>94061</v>
      </c>
      <c r="G38" s="812">
        <v>129832</v>
      </c>
      <c r="H38" s="812">
        <v>164538</v>
      </c>
      <c r="I38" s="812">
        <v>214614</v>
      </c>
      <c r="J38" s="812">
        <v>267487</v>
      </c>
      <c r="L38" s="811" t="s">
        <v>1376</v>
      </c>
      <c r="M38" s="811" t="s">
        <v>3685</v>
      </c>
      <c r="N38" s="810">
        <f t="shared" si="1"/>
        <v>103467</v>
      </c>
      <c r="O38" s="810">
        <f t="shared" si="2"/>
        <v>142815</v>
      </c>
      <c r="P38" s="810">
        <f t="shared" si="3"/>
        <v>180991</v>
      </c>
      <c r="Q38" s="810">
        <f t="shared" si="4"/>
        <v>236075</v>
      </c>
      <c r="R38" s="810">
        <f t="shared" si="5"/>
        <v>294235</v>
      </c>
      <c r="S38" s="322"/>
      <c r="T38" s="183"/>
      <c r="U38" s="183"/>
      <c r="V38" s="306"/>
      <c r="W38" s="306"/>
      <c r="X38" s="306"/>
      <c r="AA38" s="651"/>
      <c r="AB38" s="651"/>
    </row>
    <row r="39" spans="1:28" s="299" customFormat="1" ht="11.45" customHeight="1">
      <c r="A39" s="185"/>
      <c r="C39" s="345"/>
      <c r="D39" s="322" t="s">
        <v>2359</v>
      </c>
      <c r="E39" s="322" t="s">
        <v>3689</v>
      </c>
      <c r="F39" s="812">
        <v>131289</v>
      </c>
      <c r="G39" s="812">
        <v>172843</v>
      </c>
      <c r="H39" s="812">
        <v>206884</v>
      </c>
      <c r="I39" s="812">
        <v>248747</v>
      </c>
      <c r="J39" s="812">
        <v>293233</v>
      </c>
      <c r="L39" s="811" t="s">
        <v>2359</v>
      </c>
      <c r="M39" s="811" t="s">
        <v>3689</v>
      </c>
      <c r="N39" s="810">
        <f t="shared" si="1"/>
        <v>144417</v>
      </c>
      <c r="O39" s="810">
        <f t="shared" si="2"/>
        <v>190127</v>
      </c>
      <c r="P39" s="810">
        <f t="shared" si="3"/>
        <v>227572</v>
      </c>
      <c r="Q39" s="810">
        <f t="shared" si="4"/>
        <v>273621</v>
      </c>
      <c r="R39" s="810">
        <f t="shared" si="5"/>
        <v>322556</v>
      </c>
      <c r="S39" s="322"/>
      <c r="T39" s="183"/>
      <c r="U39" s="183"/>
      <c r="V39" s="306"/>
      <c r="W39" s="306"/>
      <c r="X39" s="306"/>
      <c r="AA39" s="651"/>
      <c r="AB39" s="651"/>
    </row>
    <row r="40" spans="1:28" s="299" customFormat="1" ht="11.45" customHeight="1">
      <c r="A40" s="185"/>
      <c r="C40" s="345"/>
      <c r="D40" s="322" t="s">
        <v>2359</v>
      </c>
      <c r="E40" s="322" t="s">
        <v>3686</v>
      </c>
      <c r="F40" s="812">
        <v>107667</v>
      </c>
      <c r="G40" s="812">
        <v>150734</v>
      </c>
      <c r="H40" s="812">
        <v>193800</v>
      </c>
      <c r="I40" s="812">
        <v>258401</v>
      </c>
      <c r="J40" s="812">
        <v>323001</v>
      </c>
      <c r="L40" s="811" t="s">
        <v>2359</v>
      </c>
      <c r="M40" s="811" t="s">
        <v>3686</v>
      </c>
      <c r="N40" s="810">
        <f t="shared" si="1"/>
        <v>118433</v>
      </c>
      <c r="O40" s="810">
        <f t="shared" si="2"/>
        <v>165807</v>
      </c>
      <c r="P40" s="810">
        <f t="shared" si="3"/>
        <v>213180</v>
      </c>
      <c r="Q40" s="810">
        <f t="shared" si="4"/>
        <v>284241</v>
      </c>
      <c r="R40" s="810">
        <f t="shared" si="5"/>
        <v>355301</v>
      </c>
      <c r="S40" s="322"/>
      <c r="T40" s="183"/>
      <c r="U40" s="183"/>
      <c r="V40" s="306"/>
      <c r="W40" s="306"/>
      <c r="X40" s="306"/>
      <c r="AA40" s="651"/>
      <c r="AB40" s="651"/>
    </row>
    <row r="41" spans="1:28" s="299" customFormat="1" ht="11.45" customHeight="1">
      <c r="A41" s="185"/>
      <c r="C41" s="345"/>
      <c r="D41" s="322" t="s">
        <v>2359</v>
      </c>
      <c r="E41" s="322" t="s">
        <v>3684</v>
      </c>
      <c r="F41" s="812">
        <v>124917</v>
      </c>
      <c r="G41" s="812">
        <v>164867</v>
      </c>
      <c r="H41" s="812">
        <v>197852</v>
      </c>
      <c r="I41" s="812">
        <v>239143</v>
      </c>
      <c r="J41" s="812">
        <v>284510</v>
      </c>
      <c r="L41" s="811" t="s">
        <v>2359</v>
      </c>
      <c r="M41" s="811" t="s">
        <v>3684</v>
      </c>
      <c r="N41" s="810">
        <f t="shared" si="1"/>
        <v>137408</v>
      </c>
      <c r="O41" s="810">
        <f t="shared" si="2"/>
        <v>181353</v>
      </c>
      <c r="P41" s="810">
        <f t="shared" si="3"/>
        <v>217637</v>
      </c>
      <c r="Q41" s="810">
        <f t="shared" si="4"/>
        <v>263057</v>
      </c>
      <c r="R41" s="810">
        <f t="shared" si="5"/>
        <v>312961</v>
      </c>
      <c r="S41" s="322"/>
      <c r="T41" s="183"/>
      <c r="U41" s="183"/>
      <c r="V41" s="306"/>
      <c r="W41" s="306"/>
      <c r="X41" s="306"/>
      <c r="AA41" s="651"/>
      <c r="AB41" s="651"/>
    </row>
    <row r="42" spans="1:28" s="299" customFormat="1" ht="11.45" customHeight="1">
      <c r="A42" s="185"/>
      <c r="C42" s="345"/>
      <c r="D42" s="322" t="s">
        <v>2359</v>
      </c>
      <c r="E42" s="322" t="s">
        <v>3685</v>
      </c>
      <c r="F42" s="812">
        <v>102295</v>
      </c>
      <c r="G42" s="812">
        <v>141317</v>
      </c>
      <c r="H42" s="812">
        <v>179248</v>
      </c>
      <c r="I42" s="812">
        <v>234116</v>
      </c>
      <c r="J42" s="812">
        <v>291847</v>
      </c>
      <c r="L42" s="811" t="s">
        <v>2359</v>
      </c>
      <c r="M42" s="811" t="s">
        <v>3685</v>
      </c>
      <c r="N42" s="810">
        <f t="shared" si="1"/>
        <v>112524</v>
      </c>
      <c r="O42" s="810">
        <f t="shared" si="2"/>
        <v>155448</v>
      </c>
      <c r="P42" s="810">
        <f t="shared" si="3"/>
        <v>197172</v>
      </c>
      <c r="Q42" s="810">
        <f t="shared" si="4"/>
        <v>257527</v>
      </c>
      <c r="R42" s="810">
        <f t="shared" si="5"/>
        <v>321031</v>
      </c>
      <c r="S42" s="322"/>
      <c r="T42" s="183"/>
      <c r="U42" s="183"/>
      <c r="V42" s="306"/>
      <c r="W42" s="306"/>
      <c r="X42" s="306"/>
      <c r="AA42" s="651"/>
      <c r="AB42" s="651"/>
    </row>
    <row r="43" spans="1:28" s="299" customFormat="1" ht="11.45" customHeight="1">
      <c r="A43" s="185"/>
      <c r="C43" s="345"/>
      <c r="D43" s="322" t="s">
        <v>1382</v>
      </c>
      <c r="E43" s="322" t="s">
        <v>3689</v>
      </c>
      <c r="F43" s="812">
        <v>123885</v>
      </c>
      <c r="G43" s="812">
        <v>163364</v>
      </c>
      <c r="H43" s="812">
        <v>195965</v>
      </c>
      <c r="I43" s="812">
        <v>236353</v>
      </c>
      <c r="J43" s="812">
        <v>278774</v>
      </c>
      <c r="L43" s="811" t="s">
        <v>1382</v>
      </c>
      <c r="M43" s="811" t="s">
        <v>3689</v>
      </c>
      <c r="N43" s="810">
        <f t="shared" si="1"/>
        <v>136273</v>
      </c>
      <c r="O43" s="810">
        <f t="shared" si="2"/>
        <v>179700</v>
      </c>
      <c r="P43" s="810">
        <f t="shared" si="3"/>
        <v>215561</v>
      </c>
      <c r="Q43" s="810">
        <f t="shared" si="4"/>
        <v>259988</v>
      </c>
      <c r="R43" s="810">
        <f t="shared" si="5"/>
        <v>306651</v>
      </c>
      <c r="S43" s="322"/>
      <c r="T43" s="183"/>
      <c r="U43" s="183"/>
      <c r="V43" s="306"/>
      <c r="W43" s="306"/>
      <c r="X43" s="306"/>
      <c r="AA43" s="651"/>
      <c r="AB43" s="651"/>
    </row>
    <row r="44" spans="1:28" s="299" customFormat="1" ht="11.45" customHeight="1">
      <c r="A44" s="185"/>
      <c r="C44" s="345"/>
      <c r="D44" s="322" t="s">
        <v>1382</v>
      </c>
      <c r="E44" s="322" t="s">
        <v>3686</v>
      </c>
      <c r="F44" s="812">
        <v>102012</v>
      </c>
      <c r="G44" s="812">
        <v>142817</v>
      </c>
      <c r="H44" s="812">
        <v>183622</v>
      </c>
      <c r="I44" s="812">
        <v>244829</v>
      </c>
      <c r="J44" s="812">
        <v>306037</v>
      </c>
      <c r="L44" s="811" t="s">
        <v>1382</v>
      </c>
      <c r="M44" s="811" t="s">
        <v>3686</v>
      </c>
      <c r="N44" s="810">
        <f t="shared" si="1"/>
        <v>112213</v>
      </c>
      <c r="O44" s="810">
        <f t="shared" si="2"/>
        <v>157098</v>
      </c>
      <c r="P44" s="810">
        <f t="shared" si="3"/>
        <v>201984</v>
      </c>
      <c r="Q44" s="810">
        <f t="shared" si="4"/>
        <v>269311</v>
      </c>
      <c r="R44" s="810">
        <f t="shared" si="5"/>
        <v>336640</v>
      </c>
      <c r="S44" s="322"/>
      <c r="T44" s="183"/>
      <c r="U44" s="183"/>
      <c r="V44" s="306"/>
      <c r="W44" s="306"/>
      <c r="X44" s="306"/>
      <c r="AA44" s="651"/>
      <c r="AB44" s="651"/>
    </row>
    <row r="45" spans="1:28" s="299" customFormat="1" ht="11.45" customHeight="1">
      <c r="A45" s="185"/>
      <c r="C45" s="345"/>
      <c r="D45" s="322" t="s">
        <v>1382</v>
      </c>
      <c r="E45" s="322" t="s">
        <v>3684</v>
      </c>
      <c r="F45" s="812">
        <v>117513</v>
      </c>
      <c r="G45" s="812">
        <v>155388</v>
      </c>
      <c r="H45" s="812">
        <v>186932</v>
      </c>
      <c r="I45" s="812">
        <v>226749</v>
      </c>
      <c r="J45" s="812">
        <v>270051</v>
      </c>
      <c r="L45" s="811" t="s">
        <v>1382</v>
      </c>
      <c r="M45" s="811" t="s">
        <v>3684</v>
      </c>
      <c r="N45" s="810">
        <f t="shared" si="1"/>
        <v>129264</v>
      </c>
      <c r="O45" s="810">
        <f t="shared" si="2"/>
        <v>170926</v>
      </c>
      <c r="P45" s="810">
        <f t="shared" si="3"/>
        <v>205625</v>
      </c>
      <c r="Q45" s="810">
        <f t="shared" si="4"/>
        <v>249423</v>
      </c>
      <c r="R45" s="810">
        <f t="shared" si="5"/>
        <v>297056</v>
      </c>
      <c r="S45" s="322"/>
      <c r="T45" s="183"/>
      <c r="U45" s="183"/>
      <c r="V45" s="306"/>
      <c r="W45" s="306"/>
      <c r="X45" s="306"/>
      <c r="AA45" s="651"/>
      <c r="AB45" s="651"/>
    </row>
    <row r="46" spans="1:28" s="299" customFormat="1" ht="11.45" customHeight="1">
      <c r="A46" s="185"/>
      <c r="C46" s="345"/>
      <c r="D46" s="322" t="s">
        <v>1382</v>
      </c>
      <c r="E46" s="322" t="s">
        <v>3685</v>
      </c>
      <c r="F46" s="812">
        <v>95666</v>
      </c>
      <c r="G46" s="812">
        <v>132036</v>
      </c>
      <c r="H46" s="812">
        <v>167316</v>
      </c>
      <c r="I46" s="812">
        <v>218207</v>
      </c>
      <c r="J46" s="812">
        <v>271960</v>
      </c>
      <c r="L46" s="811" t="s">
        <v>1382</v>
      </c>
      <c r="M46" s="811" t="s">
        <v>3685</v>
      </c>
      <c r="N46" s="810">
        <f t="shared" si="1"/>
        <v>105232</v>
      </c>
      <c r="O46" s="810">
        <f t="shared" si="2"/>
        <v>145239</v>
      </c>
      <c r="P46" s="810">
        <f t="shared" si="3"/>
        <v>184047</v>
      </c>
      <c r="Q46" s="810">
        <f t="shared" si="4"/>
        <v>240027</v>
      </c>
      <c r="R46" s="810">
        <f t="shared" si="5"/>
        <v>299156</v>
      </c>
      <c r="S46" s="322"/>
      <c r="T46" s="183"/>
      <c r="U46" s="183"/>
      <c r="V46" s="306"/>
      <c r="W46" s="306"/>
      <c r="X46" s="306"/>
      <c r="AA46" s="651"/>
      <c r="AB46" s="651"/>
    </row>
    <row r="47" spans="1:28" s="299" customFormat="1" ht="11.45" customHeight="1">
      <c r="A47" s="185"/>
      <c r="C47" s="345"/>
      <c r="D47" s="322" t="s">
        <v>1770</v>
      </c>
      <c r="E47" s="322" t="s">
        <v>3689</v>
      </c>
      <c r="F47" s="812">
        <v>116379</v>
      </c>
      <c r="G47" s="812">
        <v>153483</v>
      </c>
      <c r="H47" s="812">
        <v>184141</v>
      </c>
      <c r="I47" s="812">
        <v>222141</v>
      </c>
      <c r="J47" s="812">
        <v>262021</v>
      </c>
      <c r="L47" s="811" t="s">
        <v>1770</v>
      </c>
      <c r="M47" s="811" t="s">
        <v>3689</v>
      </c>
      <c r="N47" s="810">
        <f t="shared" si="1"/>
        <v>128016</v>
      </c>
      <c r="O47" s="810">
        <f t="shared" si="2"/>
        <v>168831</v>
      </c>
      <c r="P47" s="810">
        <f t="shared" si="3"/>
        <v>202555</v>
      </c>
      <c r="Q47" s="810">
        <f t="shared" si="4"/>
        <v>244355</v>
      </c>
      <c r="R47" s="810">
        <f t="shared" si="5"/>
        <v>288223</v>
      </c>
      <c r="S47" s="322"/>
      <c r="T47" s="183"/>
      <c r="U47" s="183"/>
      <c r="V47" s="306"/>
      <c r="W47" s="306"/>
      <c r="X47" s="306"/>
      <c r="AA47" s="651"/>
      <c r="AB47" s="651"/>
    </row>
    <row r="48" spans="1:28" s="299" customFormat="1" ht="11.45" customHeight="1">
      <c r="A48" s="185"/>
      <c r="C48" s="345"/>
      <c r="D48" s="322" t="s">
        <v>1770</v>
      </c>
      <c r="E48" s="322" t="s">
        <v>3686</v>
      </c>
      <c r="F48" s="812">
        <v>95859</v>
      </c>
      <c r="G48" s="812">
        <v>134203</v>
      </c>
      <c r="H48" s="812">
        <v>172546</v>
      </c>
      <c r="I48" s="812">
        <v>230062</v>
      </c>
      <c r="J48" s="812">
        <v>287577</v>
      </c>
      <c r="L48" s="811" t="s">
        <v>1770</v>
      </c>
      <c r="M48" s="811" t="s">
        <v>3686</v>
      </c>
      <c r="N48" s="810">
        <f t="shared" si="1"/>
        <v>105444</v>
      </c>
      <c r="O48" s="810">
        <f t="shared" si="2"/>
        <v>147623</v>
      </c>
      <c r="P48" s="810">
        <f t="shared" si="3"/>
        <v>189800</v>
      </c>
      <c r="Q48" s="810">
        <f t="shared" si="4"/>
        <v>253068</v>
      </c>
      <c r="R48" s="810">
        <f t="shared" si="5"/>
        <v>316334</v>
      </c>
      <c r="S48" s="322"/>
      <c r="T48" s="183"/>
      <c r="U48" s="183"/>
      <c r="V48" s="306"/>
      <c r="W48" s="306"/>
      <c r="X48" s="306"/>
      <c r="AA48" s="651"/>
      <c r="AB48" s="651"/>
    </row>
    <row r="49" spans="1:28" s="299" customFormat="1" ht="11.45" customHeight="1">
      <c r="A49" s="185"/>
      <c r="C49" s="345"/>
      <c r="D49" s="322" t="s">
        <v>1770</v>
      </c>
      <c r="E49" s="322" t="s">
        <v>3684</v>
      </c>
      <c r="F49" s="812">
        <v>110368</v>
      </c>
      <c r="G49" s="812">
        <v>145960</v>
      </c>
      <c r="H49" s="812">
        <v>175622</v>
      </c>
      <c r="I49" s="812">
        <v>213083</v>
      </c>
      <c r="J49" s="812">
        <v>253794</v>
      </c>
      <c r="L49" s="811" t="s">
        <v>1770</v>
      </c>
      <c r="M49" s="811" t="s">
        <v>3684</v>
      </c>
      <c r="N49" s="810">
        <f t="shared" si="1"/>
        <v>121404</v>
      </c>
      <c r="O49" s="810">
        <f t="shared" si="2"/>
        <v>160556</v>
      </c>
      <c r="P49" s="810">
        <f t="shared" si="3"/>
        <v>193184</v>
      </c>
      <c r="Q49" s="810">
        <f t="shared" si="4"/>
        <v>234391</v>
      </c>
      <c r="R49" s="810">
        <f t="shared" si="5"/>
        <v>279173</v>
      </c>
      <c r="S49" s="322"/>
      <c r="T49" s="183"/>
      <c r="U49" s="183"/>
      <c r="V49" s="306"/>
      <c r="W49" s="306"/>
      <c r="X49" s="306"/>
      <c r="AA49" s="651"/>
      <c r="AB49" s="651"/>
    </row>
    <row r="50" spans="1:28" s="299" customFormat="1" ht="11.45" customHeight="1">
      <c r="A50" s="185"/>
      <c r="C50" s="345"/>
      <c r="D50" s="322" t="s">
        <v>1770</v>
      </c>
      <c r="E50" s="322" t="s">
        <v>3685</v>
      </c>
      <c r="F50" s="812">
        <v>89812</v>
      </c>
      <c r="G50" s="812">
        <v>123948</v>
      </c>
      <c r="H50" s="812">
        <v>157056</v>
      </c>
      <c r="I50" s="812">
        <v>204805</v>
      </c>
      <c r="J50" s="812">
        <v>255253</v>
      </c>
      <c r="L50" s="811" t="s">
        <v>1770</v>
      </c>
      <c r="M50" s="811" t="s">
        <v>3685</v>
      </c>
      <c r="N50" s="810">
        <f t="shared" si="1"/>
        <v>98793</v>
      </c>
      <c r="O50" s="810">
        <f t="shared" si="2"/>
        <v>136342</v>
      </c>
      <c r="P50" s="810">
        <f t="shared" si="3"/>
        <v>172761</v>
      </c>
      <c r="Q50" s="810">
        <f t="shared" si="4"/>
        <v>225285</v>
      </c>
      <c r="R50" s="810">
        <f t="shared" si="5"/>
        <v>280778</v>
      </c>
      <c r="S50" s="322"/>
      <c r="T50" s="183"/>
      <c r="U50" s="183"/>
      <c r="V50" s="306"/>
      <c r="W50" s="306"/>
      <c r="X50" s="306"/>
      <c r="AA50" s="651"/>
      <c r="AB50" s="651"/>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651"/>
      <c r="AB51" s="651"/>
    </row>
    <row r="52" spans="1:28" s="299" customFormat="1" ht="11.25" customHeight="1">
      <c r="A52" s="185"/>
      <c r="B52" s="185"/>
      <c r="C52" s="185"/>
      <c r="D52" s="185"/>
      <c r="E52" s="183"/>
      <c r="F52" s="185" t="s">
        <v>4082</v>
      </c>
      <c r="G52" s="185"/>
      <c r="H52" s="309"/>
      <c r="I52" s="183"/>
      <c r="J52" s="185"/>
      <c r="K52" s="310"/>
      <c r="L52" s="310"/>
      <c r="M52" s="310"/>
      <c r="N52" s="310"/>
      <c r="O52" s="185"/>
      <c r="P52" s="183"/>
      <c r="Q52" s="308"/>
      <c r="R52" s="308"/>
      <c r="S52" s="183"/>
      <c r="T52" s="183"/>
      <c r="U52" s="183"/>
      <c r="AA52" s="651"/>
      <c r="AB52" s="651"/>
    </row>
    <row r="53" spans="1:28" s="299" customFormat="1" ht="11.45" customHeight="1">
      <c r="A53" s="185"/>
      <c r="B53" s="185"/>
      <c r="C53" s="185"/>
      <c r="D53" s="183"/>
      <c r="E53" s="183"/>
      <c r="F53" s="185"/>
      <c r="G53" s="185"/>
      <c r="H53" s="183"/>
      <c r="I53" s="183"/>
      <c r="J53" s="307" t="s">
        <v>508</v>
      </c>
      <c r="K53" s="307" t="s">
        <v>2537</v>
      </c>
      <c r="L53" s="307" t="s">
        <v>2538</v>
      </c>
      <c r="M53" s="307" t="s">
        <v>2539</v>
      </c>
      <c r="N53" s="307" t="s">
        <v>2540</v>
      </c>
      <c r="O53" s="185"/>
      <c r="P53" s="183"/>
      <c r="Q53" s="308"/>
      <c r="R53" s="308"/>
      <c r="S53" s="305"/>
      <c r="T53" s="305"/>
      <c r="U53" s="183"/>
      <c r="V53" s="306"/>
      <c r="W53" s="306"/>
      <c r="X53" s="306"/>
      <c r="AA53" s="651"/>
      <c r="AB53" s="651"/>
    </row>
    <row r="54" spans="1:28" s="299" customFormat="1" ht="11.45" customHeight="1">
      <c r="A54" s="185"/>
      <c r="B54" s="185"/>
      <c r="C54" s="185"/>
      <c r="D54" s="183"/>
      <c r="E54" s="183"/>
      <c r="F54" s="185" t="s">
        <v>4068</v>
      </c>
      <c r="G54" s="185"/>
      <c r="H54" s="183"/>
      <c r="I54" s="183"/>
      <c r="J54" s="947">
        <v>110481</v>
      </c>
      <c r="K54" s="947">
        <v>126647</v>
      </c>
      <c r="L54" s="947">
        <v>154003</v>
      </c>
      <c r="M54" s="947">
        <v>199229</v>
      </c>
      <c r="N54" s="947">
        <v>199229</v>
      </c>
      <c r="O54" s="185"/>
      <c r="Q54" s="948">
        <v>1000</v>
      </c>
      <c r="R54" s="948">
        <v>0</v>
      </c>
      <c r="S54" s="322" t="s">
        <v>4067</v>
      </c>
      <c r="T54" s="305"/>
      <c r="U54" s="183"/>
      <c r="V54" s="306"/>
      <c r="W54" s="306"/>
      <c r="X54" s="306"/>
      <c r="AA54" s="651"/>
      <c r="AB54" s="651"/>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651"/>
      <c r="AB55" s="651"/>
    </row>
    <row r="56" spans="1:28" s="299" customFormat="1" ht="12" customHeight="1">
      <c r="A56" s="304" t="s">
        <v>1245</v>
      </c>
      <c r="B56" s="300"/>
      <c r="C56" s="300"/>
      <c r="D56" s="300"/>
      <c r="E56" s="183"/>
      <c r="F56" s="300"/>
      <c r="G56" s="300"/>
      <c r="H56" s="300"/>
      <c r="I56" s="183"/>
      <c r="J56" s="185"/>
      <c r="K56" s="300"/>
      <c r="L56" s="300"/>
      <c r="M56" s="300"/>
      <c r="N56" s="300"/>
      <c r="O56" s="300"/>
      <c r="P56" s="183"/>
      <c r="Q56" s="301"/>
      <c r="R56" s="302"/>
      <c r="S56" s="303"/>
      <c r="AA56" s="651"/>
      <c r="AB56" s="651"/>
    </row>
    <row r="57" spans="1:28" s="299" customFormat="1" ht="11.45" customHeight="1">
      <c r="A57" s="183"/>
      <c r="B57" s="185" t="s">
        <v>1245</v>
      </c>
      <c r="C57" s="185"/>
      <c r="D57" s="183"/>
      <c r="E57" s="183"/>
      <c r="F57" s="185" t="s">
        <v>1246</v>
      </c>
      <c r="G57" s="185" t="s">
        <v>4444</v>
      </c>
      <c r="H57" s="183"/>
      <c r="I57" s="183"/>
      <c r="J57" s="185" t="s">
        <v>1596</v>
      </c>
      <c r="K57" s="185"/>
      <c r="L57" s="185"/>
      <c r="M57" s="185"/>
      <c r="N57" s="185"/>
      <c r="O57" s="185"/>
      <c r="P57" s="183"/>
      <c r="Q57" s="187">
        <v>4500</v>
      </c>
      <c r="R57" s="311" t="s">
        <v>1809</v>
      </c>
      <c r="S57" s="312"/>
      <c r="AA57" s="651"/>
      <c r="AB57" s="651"/>
    </row>
    <row r="58" spans="1:28" s="299" customFormat="1" ht="11.45" customHeight="1">
      <c r="A58" s="183"/>
      <c r="B58" s="185"/>
      <c r="C58" s="185"/>
      <c r="D58" s="183"/>
      <c r="E58" s="183"/>
      <c r="F58" s="185"/>
      <c r="G58" s="185" t="s">
        <v>4443</v>
      </c>
      <c r="H58" s="183"/>
      <c r="I58" s="183"/>
      <c r="J58" s="185" t="s">
        <v>1596</v>
      </c>
      <c r="K58" s="185"/>
      <c r="L58" s="185"/>
      <c r="M58" s="185"/>
      <c r="N58" s="185"/>
      <c r="O58" s="185"/>
      <c r="P58" s="183"/>
      <c r="Q58" s="187">
        <v>4000</v>
      </c>
      <c r="R58" s="311" t="s">
        <v>1809</v>
      </c>
      <c r="S58" s="312"/>
      <c r="AA58" s="651"/>
      <c r="AB58" s="651"/>
    </row>
    <row r="59" spans="1:28" s="299" customFormat="1" ht="11.45" customHeight="1">
      <c r="A59" s="183"/>
      <c r="B59" s="185"/>
      <c r="C59" s="185"/>
      <c r="D59" s="183"/>
      <c r="E59" s="183"/>
      <c r="F59" s="185" t="s">
        <v>2699</v>
      </c>
      <c r="G59" s="185" t="s">
        <v>2713</v>
      </c>
      <c r="H59" s="183"/>
      <c r="I59" s="183"/>
      <c r="J59" s="185" t="s">
        <v>1596</v>
      </c>
      <c r="K59" s="185"/>
      <c r="L59" s="185"/>
      <c r="M59" s="185"/>
      <c r="N59" s="185"/>
      <c r="O59" s="185"/>
      <c r="P59" s="183"/>
      <c r="Q59" s="187">
        <v>3500</v>
      </c>
      <c r="R59" s="311" t="s">
        <v>1809</v>
      </c>
      <c r="S59" s="312"/>
      <c r="AA59" s="651"/>
      <c r="AB59" s="651"/>
    </row>
    <row r="60" spans="1:28" s="299" customFormat="1" ht="11.45" customHeight="1">
      <c r="A60" s="185"/>
      <c r="B60" s="185"/>
      <c r="C60" s="185"/>
      <c r="D60" s="183"/>
      <c r="E60" s="183"/>
      <c r="G60" s="185" t="s">
        <v>3804</v>
      </c>
      <c r="H60" s="183"/>
      <c r="I60" s="183"/>
      <c r="J60" s="185" t="s">
        <v>1596</v>
      </c>
      <c r="K60" s="185"/>
      <c r="L60" s="185"/>
      <c r="M60" s="185"/>
      <c r="N60" s="185"/>
      <c r="O60" s="185"/>
      <c r="P60" s="183"/>
      <c r="Q60" s="187">
        <v>3000</v>
      </c>
      <c r="R60" s="311" t="s">
        <v>1809</v>
      </c>
      <c r="S60" s="312"/>
      <c r="AA60" s="651"/>
      <c r="AB60" s="651"/>
    </row>
    <row r="61" spans="1:28" s="299" customFormat="1" ht="11.45" customHeight="1">
      <c r="A61" s="185"/>
      <c r="B61" s="185"/>
      <c r="C61" s="185"/>
      <c r="D61" s="183"/>
      <c r="E61" s="183"/>
      <c r="G61" s="185" t="s">
        <v>3805</v>
      </c>
      <c r="H61" s="183"/>
      <c r="I61" s="183"/>
      <c r="J61" s="185" t="s">
        <v>1596</v>
      </c>
      <c r="K61" s="185"/>
      <c r="L61" s="185"/>
      <c r="M61" s="185"/>
      <c r="N61" s="185"/>
      <c r="O61" s="185"/>
      <c r="P61" s="183"/>
      <c r="Q61" s="187">
        <v>3000</v>
      </c>
      <c r="R61" s="311" t="s">
        <v>1809</v>
      </c>
      <c r="S61" s="312"/>
      <c r="T61" s="312"/>
      <c r="U61" s="312"/>
      <c r="AA61" s="651"/>
      <c r="AB61" s="651"/>
    </row>
    <row r="62" spans="1:28" s="299" customFormat="1" ht="11.45" customHeight="1">
      <c r="A62" s="185"/>
      <c r="B62" s="185" t="s">
        <v>1247</v>
      </c>
      <c r="C62" s="185"/>
      <c r="D62" s="183"/>
      <c r="E62" s="183"/>
      <c r="F62" s="185" t="s">
        <v>289</v>
      </c>
      <c r="G62" s="185"/>
      <c r="H62" s="183"/>
      <c r="I62" s="183"/>
      <c r="J62" s="185" t="s">
        <v>1596</v>
      </c>
      <c r="K62" s="185"/>
      <c r="L62" s="185"/>
      <c r="M62" s="185"/>
      <c r="N62" s="185"/>
      <c r="O62" s="185"/>
      <c r="P62" s="183"/>
      <c r="Q62" s="313">
        <v>350</v>
      </c>
      <c r="R62" s="311" t="s">
        <v>1809</v>
      </c>
      <c r="S62" s="312"/>
      <c r="T62" s="312"/>
      <c r="U62" s="312"/>
      <c r="AA62" s="651"/>
      <c r="AB62" s="651"/>
    </row>
    <row r="63" spans="1:28" s="299" customFormat="1" ht="11.45" customHeight="1">
      <c r="A63" s="185"/>
      <c r="B63" s="185"/>
      <c r="C63" s="185"/>
      <c r="D63" s="183"/>
      <c r="E63" s="183"/>
      <c r="F63" s="185" t="s">
        <v>1248</v>
      </c>
      <c r="G63" s="185"/>
      <c r="H63" s="183"/>
      <c r="I63" s="183"/>
      <c r="J63" s="185" t="s">
        <v>1596</v>
      </c>
      <c r="K63" s="185"/>
      <c r="L63" s="185"/>
      <c r="M63" s="185"/>
      <c r="N63" s="185"/>
      <c r="O63" s="185"/>
      <c r="P63" s="183"/>
      <c r="Q63" s="313">
        <v>250</v>
      </c>
      <c r="R63" s="311" t="s">
        <v>1809</v>
      </c>
      <c r="S63" s="312"/>
      <c r="T63" s="312"/>
      <c r="U63" s="312"/>
      <c r="AA63" s="651"/>
      <c r="AB63" s="651"/>
    </row>
    <row r="64" spans="1:28" s="299" customFormat="1" ht="11.45" customHeight="1">
      <c r="A64" s="185"/>
      <c r="B64" s="185"/>
      <c r="C64" s="185"/>
      <c r="D64" s="185"/>
      <c r="E64" s="183"/>
      <c r="F64" s="185" t="s">
        <v>3820</v>
      </c>
      <c r="G64" s="185"/>
      <c r="H64" s="183"/>
      <c r="I64" s="183"/>
      <c r="J64" s="185" t="s">
        <v>1596</v>
      </c>
      <c r="K64" s="185"/>
      <c r="L64" s="185"/>
      <c r="M64" s="185"/>
      <c r="N64" s="185"/>
      <c r="O64" s="185"/>
      <c r="P64" s="183"/>
      <c r="Q64" s="313">
        <v>420</v>
      </c>
      <c r="R64" s="311" t="s">
        <v>1809</v>
      </c>
      <c r="S64" s="312"/>
      <c r="T64" s="312"/>
      <c r="U64" s="312"/>
      <c r="AA64" s="651"/>
      <c r="AB64" s="651"/>
    </row>
    <row r="65" spans="1:28" s="299" customFormat="1" ht="11.45" customHeight="1">
      <c r="A65" s="185"/>
      <c r="B65" s="185"/>
      <c r="C65" s="185"/>
      <c r="D65" s="185"/>
      <c r="E65" s="183"/>
      <c r="F65" s="185" t="s">
        <v>381</v>
      </c>
      <c r="G65" s="185"/>
      <c r="H65" s="183"/>
      <c r="I65" s="183"/>
      <c r="J65" s="185" t="s">
        <v>1596</v>
      </c>
      <c r="K65" s="185"/>
      <c r="L65" s="185"/>
      <c r="M65" s="185"/>
      <c r="N65" s="185"/>
      <c r="O65" s="185"/>
      <c r="P65" s="183"/>
      <c r="Q65" s="313">
        <v>420</v>
      </c>
      <c r="R65" s="311" t="s">
        <v>1809</v>
      </c>
      <c r="S65" s="312"/>
      <c r="T65" s="312"/>
      <c r="U65" s="312"/>
      <c r="AA65" s="651"/>
      <c r="AB65" s="651"/>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651"/>
      <c r="AB66" s="651"/>
    </row>
    <row r="67" spans="1:28" s="299" customFormat="1" ht="12" customHeight="1">
      <c r="A67" s="304" t="s">
        <v>1249</v>
      </c>
      <c r="B67" s="185"/>
      <c r="C67" s="185"/>
      <c r="D67" s="185"/>
      <c r="E67" s="183"/>
      <c r="F67" s="185"/>
      <c r="G67" s="185"/>
      <c r="H67" s="183"/>
      <c r="I67" s="183"/>
      <c r="J67" s="185"/>
      <c r="K67" s="185"/>
      <c r="L67" s="185"/>
      <c r="M67" s="185"/>
      <c r="N67" s="185"/>
      <c r="O67" s="185"/>
      <c r="P67" s="183"/>
      <c r="Q67" s="185"/>
      <c r="R67" s="307"/>
      <c r="S67" s="312"/>
      <c r="T67" s="312"/>
      <c r="U67" s="312"/>
      <c r="AA67" s="651"/>
      <c r="AB67" s="651"/>
    </row>
    <row r="68" spans="1:28" s="299" customFormat="1" ht="11.45" customHeight="1">
      <c r="A68" s="185"/>
      <c r="B68" s="185" t="s">
        <v>1250</v>
      </c>
      <c r="C68" s="185"/>
      <c r="D68" s="185"/>
      <c r="E68" s="183"/>
      <c r="F68" s="188" t="s">
        <v>1251</v>
      </c>
      <c r="G68" s="185"/>
      <c r="H68" s="183"/>
      <c r="I68" s="183"/>
      <c r="J68" s="185" t="s">
        <v>1252</v>
      </c>
      <c r="K68" s="185"/>
      <c r="L68" s="185"/>
      <c r="M68" s="185"/>
      <c r="N68" s="185"/>
      <c r="O68" s="185"/>
      <c r="P68" s="183"/>
      <c r="Q68" s="2860">
        <v>6500</v>
      </c>
      <c r="R68" s="2861"/>
      <c r="S68" s="312"/>
      <c r="T68" s="312"/>
      <c r="U68" s="312"/>
      <c r="AA68" s="651"/>
      <c r="AB68" s="651"/>
    </row>
    <row r="69" spans="1:28" s="299" customFormat="1" ht="11.45" customHeight="1">
      <c r="A69" s="185"/>
      <c r="B69" s="185"/>
      <c r="C69" s="185"/>
      <c r="D69" s="185"/>
      <c r="E69" s="183"/>
      <c r="F69" s="188" t="s">
        <v>1251</v>
      </c>
      <c r="G69" s="185"/>
      <c r="H69" s="183"/>
      <c r="I69" s="183"/>
      <c r="J69" s="185" t="s">
        <v>1253</v>
      </c>
      <c r="K69" s="185"/>
      <c r="L69" s="185"/>
      <c r="M69" s="185"/>
      <c r="N69" s="185"/>
      <c r="O69" s="185"/>
      <c r="P69" s="183"/>
      <c r="Q69" s="2860">
        <v>5500</v>
      </c>
      <c r="R69" s="2861"/>
      <c r="S69" s="312"/>
      <c r="T69" s="312"/>
      <c r="U69" s="312"/>
      <c r="AA69" s="651"/>
      <c r="AB69" s="651"/>
    </row>
    <row r="70" spans="1:28" s="299" customFormat="1" ht="11.45" customHeight="1">
      <c r="A70" s="185"/>
      <c r="B70" s="185"/>
      <c r="C70" s="185"/>
      <c r="D70" s="185"/>
      <c r="E70" s="183"/>
      <c r="F70" s="188" t="s">
        <v>3829</v>
      </c>
      <c r="G70" s="185"/>
      <c r="H70" s="183"/>
      <c r="I70" s="183"/>
      <c r="J70" s="185"/>
      <c r="K70" s="185"/>
      <c r="L70" s="185"/>
      <c r="M70" s="185"/>
      <c r="N70" s="185"/>
      <c r="O70" s="185"/>
      <c r="P70" s="183"/>
      <c r="Q70" s="2860">
        <v>5000</v>
      </c>
      <c r="R70" s="2861"/>
      <c r="S70" s="312"/>
      <c r="T70" s="312"/>
      <c r="U70" s="312"/>
      <c r="AA70" s="651"/>
      <c r="AB70" s="651"/>
    </row>
    <row r="71" spans="1:28" s="299" customFormat="1" ht="11.45" customHeight="1">
      <c r="A71" s="183"/>
      <c r="B71" s="183"/>
      <c r="C71" s="185"/>
      <c r="D71" s="185"/>
      <c r="E71" s="183"/>
      <c r="F71" s="188" t="s">
        <v>3967</v>
      </c>
      <c r="G71" s="185"/>
      <c r="H71" s="183"/>
      <c r="I71" s="183"/>
      <c r="J71" s="185" t="s">
        <v>1252</v>
      </c>
      <c r="K71" s="185"/>
      <c r="L71" s="185"/>
      <c r="M71" s="185"/>
      <c r="N71" s="185"/>
      <c r="O71" s="185"/>
      <c r="P71" s="183"/>
      <c r="Q71" s="2860">
        <v>1000</v>
      </c>
      <c r="R71" s="2861"/>
      <c r="S71" s="312"/>
      <c r="T71" s="312"/>
      <c r="U71" s="312"/>
      <c r="AA71" s="651"/>
      <c r="AB71" s="651"/>
    </row>
    <row r="72" spans="1:28" s="299" customFormat="1" ht="11.45" customHeight="1">
      <c r="A72" s="185"/>
      <c r="B72" s="185"/>
      <c r="C72" s="185"/>
      <c r="D72" s="185"/>
      <c r="E72" s="183"/>
      <c r="F72" s="188" t="s">
        <v>3967</v>
      </c>
      <c r="G72" s="185"/>
      <c r="H72" s="183"/>
      <c r="I72" s="183"/>
      <c r="J72" s="185" t="s">
        <v>1253</v>
      </c>
      <c r="K72" s="185"/>
      <c r="L72" s="185"/>
      <c r="M72" s="185"/>
      <c r="N72" s="185"/>
      <c r="O72" s="185"/>
      <c r="P72" s="183"/>
      <c r="Q72" s="2860">
        <v>500</v>
      </c>
      <c r="R72" s="2861"/>
      <c r="S72" s="312"/>
      <c r="T72" s="312"/>
      <c r="U72" s="312"/>
      <c r="AA72" s="651"/>
      <c r="AB72" s="651"/>
    </row>
    <row r="73" spans="1:28" s="299" customFormat="1" ht="11.45" customHeight="1">
      <c r="A73" s="185"/>
      <c r="B73" s="185"/>
      <c r="C73" s="185"/>
      <c r="D73" s="185"/>
      <c r="E73" s="183"/>
      <c r="F73" s="188" t="s">
        <v>797</v>
      </c>
      <c r="G73" s="185"/>
      <c r="H73" s="183"/>
      <c r="I73" s="183"/>
      <c r="J73" s="185" t="s">
        <v>1252</v>
      </c>
      <c r="K73" s="185"/>
      <c r="L73" s="185"/>
      <c r="M73" s="185"/>
      <c r="N73" s="185"/>
      <c r="O73" s="185"/>
      <c r="P73" s="183"/>
      <c r="Q73" s="2860">
        <v>7000</v>
      </c>
      <c r="R73" s="2861"/>
      <c r="S73" s="312"/>
      <c r="T73" s="312"/>
      <c r="U73" s="312"/>
      <c r="AA73" s="651"/>
      <c r="AB73" s="651"/>
    </row>
    <row r="74" spans="1:28" s="299" customFormat="1" ht="11.45" customHeight="1">
      <c r="A74" s="185"/>
      <c r="B74" s="185"/>
      <c r="C74" s="185"/>
      <c r="D74" s="185"/>
      <c r="E74" s="183"/>
      <c r="F74" s="188" t="s">
        <v>797</v>
      </c>
      <c r="G74" s="185"/>
      <c r="H74" s="183"/>
      <c r="I74" s="183"/>
      <c r="J74" s="185" t="s">
        <v>1253</v>
      </c>
      <c r="K74" s="185"/>
      <c r="L74" s="185"/>
      <c r="M74" s="185"/>
      <c r="N74" s="185"/>
      <c r="O74" s="185"/>
      <c r="P74" s="183"/>
      <c r="Q74" s="2860">
        <v>6000</v>
      </c>
      <c r="R74" s="2861"/>
      <c r="S74" s="312"/>
      <c r="T74" s="312"/>
      <c r="U74" s="312"/>
      <c r="AA74" s="651"/>
      <c r="AB74" s="651"/>
    </row>
    <row r="75" spans="1:28" s="299" customFormat="1" ht="11.45" customHeight="1">
      <c r="A75" s="185"/>
      <c r="B75" s="185" t="s">
        <v>798</v>
      </c>
      <c r="C75" s="185"/>
      <c r="D75" s="183"/>
      <c r="E75" s="183"/>
      <c r="F75" s="185" t="s">
        <v>289</v>
      </c>
      <c r="G75" s="185"/>
      <c r="H75" s="183"/>
      <c r="I75" s="183"/>
      <c r="J75" s="185" t="s">
        <v>2840</v>
      </c>
      <c r="K75" s="185"/>
      <c r="L75" s="185"/>
      <c r="M75" s="185"/>
      <c r="N75" s="185"/>
      <c r="O75" s="185"/>
      <c r="P75" s="183"/>
      <c r="Q75" s="2057">
        <v>25000</v>
      </c>
      <c r="R75" s="311" t="s">
        <v>531</v>
      </c>
      <c r="S75" s="312"/>
      <c r="T75" s="312"/>
      <c r="U75" s="312"/>
      <c r="AA75" s="651"/>
      <c r="AB75" s="651"/>
    </row>
    <row r="76" spans="1:28" s="299" customFormat="1" ht="11.45" customHeight="1">
      <c r="A76" s="185"/>
      <c r="B76" s="185" t="s">
        <v>2046</v>
      </c>
      <c r="C76" s="185"/>
      <c r="D76" s="183"/>
      <c r="E76" s="183"/>
      <c r="F76" s="185" t="s">
        <v>1248</v>
      </c>
      <c r="G76" s="185"/>
      <c r="H76" s="183"/>
      <c r="I76" s="183"/>
      <c r="J76" s="185" t="s">
        <v>1012</v>
      </c>
      <c r="K76" s="185"/>
      <c r="L76" s="185"/>
      <c r="M76" s="185"/>
      <c r="N76" s="185"/>
      <c r="O76" s="185"/>
      <c r="P76" s="183"/>
      <c r="Q76" s="2056" t="s">
        <v>1013</v>
      </c>
      <c r="R76" s="2056">
        <v>0.05</v>
      </c>
      <c r="S76" s="312"/>
      <c r="T76" s="312"/>
      <c r="U76" s="312"/>
      <c r="AA76" s="651"/>
      <c r="AB76" s="651"/>
    </row>
    <row r="77" spans="1:28" s="299" customFormat="1" ht="11.45" customHeight="1">
      <c r="A77" s="185"/>
      <c r="B77" s="185"/>
      <c r="C77" s="185"/>
      <c r="D77" s="183"/>
      <c r="E77" s="183"/>
      <c r="F77" s="185"/>
      <c r="G77" s="185"/>
      <c r="H77" s="183"/>
      <c r="I77" s="183"/>
      <c r="J77" s="185" t="s">
        <v>2118</v>
      </c>
      <c r="K77" s="185"/>
      <c r="L77" s="185"/>
      <c r="M77" s="185"/>
      <c r="N77" s="185"/>
      <c r="O77" s="185"/>
      <c r="P77" s="183"/>
      <c r="Q77" s="2056" t="s">
        <v>1013</v>
      </c>
      <c r="R77" s="2057">
        <v>500000</v>
      </c>
      <c r="S77" s="312"/>
      <c r="T77" s="312"/>
      <c r="U77" s="312"/>
      <c r="AA77" s="651"/>
      <c r="AB77" s="651"/>
    </row>
    <row r="78" spans="1:28" s="299" customFormat="1" ht="11.45" customHeight="1">
      <c r="A78" s="185"/>
      <c r="B78" s="185"/>
      <c r="C78" s="185"/>
      <c r="D78" s="183"/>
      <c r="E78" s="183"/>
      <c r="F78" s="185" t="s">
        <v>289</v>
      </c>
      <c r="G78" s="185"/>
      <c r="H78" s="183"/>
      <c r="I78" s="183"/>
      <c r="J78" s="185" t="s">
        <v>1012</v>
      </c>
      <c r="K78" s="185"/>
      <c r="L78" s="185"/>
      <c r="M78" s="185"/>
      <c r="N78" s="185"/>
      <c r="O78" s="185"/>
      <c r="P78" s="183"/>
      <c r="Q78" s="2056" t="s">
        <v>1013</v>
      </c>
      <c r="R78" s="2056">
        <v>7.0000000000000007E-2</v>
      </c>
      <c r="S78" s="312"/>
      <c r="T78" s="312"/>
      <c r="U78" s="312"/>
      <c r="AA78" s="651"/>
      <c r="AB78" s="651"/>
    </row>
    <row r="79" spans="1:28" s="299" customFormat="1" ht="11.45" customHeight="1">
      <c r="A79" s="185"/>
      <c r="B79" s="185"/>
      <c r="C79" s="185"/>
      <c r="D79" s="183"/>
      <c r="E79" s="183"/>
      <c r="F79" s="185"/>
      <c r="G79" s="185"/>
      <c r="H79" s="183"/>
      <c r="I79" s="183"/>
      <c r="J79" s="185" t="s">
        <v>2118</v>
      </c>
      <c r="K79" s="185"/>
      <c r="L79" s="185"/>
      <c r="M79" s="185"/>
      <c r="N79" s="185"/>
      <c r="O79" s="185"/>
      <c r="P79" s="183"/>
      <c r="Q79" s="2056" t="s">
        <v>1013</v>
      </c>
      <c r="R79" s="2057">
        <v>500000</v>
      </c>
      <c r="S79" s="312"/>
      <c r="T79" s="312"/>
      <c r="U79" s="312"/>
      <c r="AA79" s="651"/>
      <c r="AB79" s="651"/>
    </row>
    <row r="80" spans="1:28" s="299" customFormat="1" ht="11.45" customHeight="1">
      <c r="A80" s="185"/>
      <c r="B80" s="185" t="s">
        <v>2125</v>
      </c>
      <c r="C80" s="185"/>
      <c r="D80" s="183"/>
      <c r="E80" s="183"/>
      <c r="F80" s="185" t="s">
        <v>1809</v>
      </c>
      <c r="G80" s="185"/>
      <c r="H80" s="183"/>
      <c r="I80" s="183"/>
      <c r="J80" s="185" t="s">
        <v>372</v>
      </c>
      <c r="K80" s="185"/>
      <c r="L80" s="185"/>
      <c r="M80" s="185"/>
      <c r="N80" s="185"/>
      <c r="O80" s="185"/>
      <c r="P80" s="183"/>
      <c r="Q80" s="311" t="s">
        <v>1809</v>
      </c>
      <c r="R80" s="2056">
        <v>0.06</v>
      </c>
      <c r="S80" s="312"/>
      <c r="T80" s="312"/>
      <c r="U80" s="312"/>
      <c r="AA80" s="651"/>
      <c r="AB80" s="651"/>
    </row>
    <row r="81" spans="1:28" s="299" customFormat="1" ht="11.45" customHeight="1">
      <c r="A81" s="185"/>
      <c r="B81" s="185" t="s">
        <v>2126</v>
      </c>
      <c r="C81" s="185"/>
      <c r="D81" s="183"/>
      <c r="E81" s="183"/>
      <c r="F81" s="185" t="s">
        <v>1809</v>
      </c>
      <c r="G81" s="185"/>
      <c r="H81" s="183"/>
      <c r="I81" s="183"/>
      <c r="J81" s="185" t="s">
        <v>372</v>
      </c>
      <c r="K81" s="185"/>
      <c r="L81" s="185"/>
      <c r="M81" s="185"/>
      <c r="N81" s="185"/>
      <c r="O81" s="185"/>
      <c r="P81" s="183"/>
      <c r="Q81" s="311" t="s">
        <v>1809</v>
      </c>
      <c r="R81" s="2056">
        <v>0.02</v>
      </c>
      <c r="S81" s="312"/>
      <c r="T81" s="312"/>
      <c r="U81" s="312"/>
      <c r="AA81" s="651"/>
      <c r="AB81" s="651"/>
    </row>
    <row r="82" spans="1:28" s="299" customFormat="1" ht="11.45" customHeight="1">
      <c r="A82" s="185"/>
      <c r="B82" s="185" t="s">
        <v>3051</v>
      </c>
      <c r="C82" s="185"/>
      <c r="D82" s="183"/>
      <c r="E82" s="183"/>
      <c r="F82" s="185" t="s">
        <v>1809</v>
      </c>
      <c r="G82" s="185"/>
      <c r="H82" s="183"/>
      <c r="I82" s="183"/>
      <c r="J82" s="185" t="s">
        <v>372</v>
      </c>
      <c r="K82" s="185"/>
      <c r="L82" s="185"/>
      <c r="M82" s="185"/>
      <c r="N82" s="185"/>
      <c r="O82" s="185"/>
      <c r="P82" s="183"/>
      <c r="Q82" s="311" t="s">
        <v>1809</v>
      </c>
      <c r="R82" s="2056">
        <v>0.06</v>
      </c>
      <c r="S82" s="312"/>
      <c r="T82" s="312"/>
      <c r="U82" s="312"/>
      <c r="AA82" s="651"/>
      <c r="AB82" s="651"/>
    </row>
    <row r="83" spans="1:28" s="299" customFormat="1" ht="11.45" customHeight="1">
      <c r="A83" s="185"/>
      <c r="B83" s="188" t="s">
        <v>988</v>
      </c>
      <c r="C83" s="185"/>
      <c r="D83" s="183"/>
      <c r="E83" s="183"/>
      <c r="F83" s="185" t="s">
        <v>989</v>
      </c>
      <c r="G83" s="185"/>
      <c r="H83" s="183"/>
      <c r="I83" s="183"/>
      <c r="J83" s="185" t="s">
        <v>990</v>
      </c>
      <c r="K83" s="185"/>
      <c r="L83" s="185"/>
      <c r="M83" s="185"/>
      <c r="N83" s="185"/>
      <c r="O83" s="185"/>
      <c r="P83" s="183"/>
      <c r="Q83" s="2859">
        <v>0.08</v>
      </c>
      <c r="R83" s="2859"/>
      <c r="S83" s="312"/>
      <c r="T83" s="312"/>
      <c r="U83" s="312"/>
      <c r="AA83" s="651"/>
      <c r="AB83" s="651"/>
    </row>
    <row r="84" spans="1:28" s="299" customFormat="1" ht="11.45" customHeight="1">
      <c r="A84" s="185"/>
      <c r="B84" s="188" t="s">
        <v>991</v>
      </c>
      <c r="C84" s="185"/>
      <c r="D84" s="183"/>
      <c r="E84" s="183"/>
      <c r="F84" s="185" t="s">
        <v>989</v>
      </c>
      <c r="G84" s="185"/>
      <c r="H84" s="183"/>
      <c r="I84" s="183"/>
      <c r="J84" s="185" t="s">
        <v>990</v>
      </c>
      <c r="K84" s="185"/>
      <c r="L84" s="185"/>
      <c r="M84" s="185"/>
      <c r="N84" s="185"/>
      <c r="O84" s="185"/>
      <c r="P84" s="183"/>
      <c r="Q84" s="2859">
        <v>0.08</v>
      </c>
      <c r="R84" s="2859"/>
      <c r="S84" s="312"/>
      <c r="T84" s="312"/>
      <c r="U84" s="312"/>
      <c r="AA84" s="651"/>
      <c r="AB84" s="651"/>
    </row>
    <row r="85" spans="1:28" s="299" customFormat="1" ht="11.45" customHeight="1">
      <c r="A85" s="185"/>
      <c r="B85" s="188" t="s">
        <v>3968</v>
      </c>
      <c r="C85" s="185"/>
      <c r="D85" s="183"/>
      <c r="E85" s="183"/>
      <c r="F85" s="185"/>
      <c r="G85" s="185"/>
      <c r="H85" s="183"/>
      <c r="I85" s="183"/>
      <c r="J85" s="185"/>
      <c r="K85" s="185"/>
      <c r="L85" s="185"/>
      <c r="M85" s="185"/>
      <c r="N85" s="185"/>
      <c r="O85" s="185"/>
      <c r="P85" s="183"/>
      <c r="Q85" s="2860">
        <v>2700</v>
      </c>
      <c r="R85" s="2861"/>
      <c r="S85" s="312"/>
      <c r="T85" s="312"/>
      <c r="U85" s="312"/>
      <c r="AA85" s="651"/>
      <c r="AB85" s="651"/>
    </row>
    <row r="86" spans="1:28" s="299" customFormat="1" ht="11.45" customHeight="1">
      <c r="A86" s="185"/>
      <c r="B86" s="188" t="s">
        <v>2836</v>
      </c>
      <c r="C86" s="185"/>
      <c r="D86" s="183"/>
      <c r="E86" s="183"/>
      <c r="F86" s="185"/>
      <c r="G86" s="185"/>
      <c r="H86" s="183"/>
      <c r="I86" s="183"/>
      <c r="J86" s="185"/>
      <c r="K86" s="185"/>
      <c r="L86" s="185"/>
      <c r="M86" s="185"/>
      <c r="N86" s="185"/>
      <c r="O86" s="185"/>
      <c r="P86" s="183"/>
      <c r="Q86" s="2860">
        <v>1500</v>
      </c>
      <c r="R86" s="2861"/>
      <c r="S86" s="312"/>
      <c r="T86" s="312"/>
      <c r="U86" s="312"/>
      <c r="AA86" s="651"/>
      <c r="AB86" s="651"/>
    </row>
    <row r="87" spans="1:28" s="299" customFormat="1" ht="11.45" customHeight="1">
      <c r="A87" s="185"/>
      <c r="B87" s="185" t="s">
        <v>992</v>
      </c>
      <c r="C87" s="185"/>
      <c r="D87" s="183"/>
      <c r="E87" s="183"/>
      <c r="F87" s="185" t="s">
        <v>1679</v>
      </c>
      <c r="G87" s="185"/>
      <c r="H87" s="183"/>
      <c r="I87" s="183"/>
      <c r="J87" s="185" t="s">
        <v>1596</v>
      </c>
      <c r="K87" s="185"/>
      <c r="L87" s="185"/>
      <c r="M87" s="185"/>
      <c r="N87" s="185"/>
      <c r="O87" s="185"/>
      <c r="P87" s="183"/>
      <c r="Q87" s="311">
        <v>800</v>
      </c>
      <c r="R87" s="311" t="s">
        <v>1809</v>
      </c>
      <c r="S87" s="312"/>
      <c r="T87" s="312"/>
      <c r="U87" s="312"/>
      <c r="AA87" s="651"/>
      <c r="AB87" s="651"/>
    </row>
    <row r="88" spans="1:28" s="299" customFormat="1" ht="11.45" customHeight="1">
      <c r="A88" s="185"/>
      <c r="B88" s="185"/>
      <c r="C88" s="185"/>
      <c r="D88" s="183"/>
      <c r="E88" s="183"/>
      <c r="F88" s="185" t="s">
        <v>2789</v>
      </c>
      <c r="G88" s="185"/>
      <c r="H88" s="183"/>
      <c r="I88" s="183"/>
      <c r="J88" s="185" t="s">
        <v>1596</v>
      </c>
      <c r="K88" s="185"/>
      <c r="L88" s="185"/>
      <c r="M88" s="185"/>
      <c r="N88" s="185"/>
      <c r="O88" s="185"/>
      <c r="P88" s="183"/>
      <c r="Q88" s="311">
        <v>400</v>
      </c>
      <c r="R88" s="311" t="s">
        <v>1809</v>
      </c>
      <c r="S88" s="312"/>
      <c r="T88" s="312"/>
      <c r="U88" s="312"/>
      <c r="AA88" s="651"/>
      <c r="AB88" s="651"/>
    </row>
    <row r="89" spans="1:28" s="299" customFormat="1" ht="11.45" customHeight="1">
      <c r="A89" s="185"/>
      <c r="B89" s="185"/>
      <c r="C89" s="185"/>
      <c r="D89" s="183"/>
      <c r="E89" s="183"/>
      <c r="F89" s="185" t="s">
        <v>3056</v>
      </c>
      <c r="G89" s="185"/>
      <c r="H89" s="183"/>
      <c r="I89" s="183"/>
      <c r="J89" s="185" t="s">
        <v>2788</v>
      </c>
      <c r="K89" s="185"/>
      <c r="L89" s="185"/>
      <c r="M89" s="185"/>
      <c r="N89" s="185"/>
      <c r="O89" s="185"/>
      <c r="P89" s="183"/>
      <c r="Q89" s="311">
        <v>1500</v>
      </c>
      <c r="R89" s="311" t="s">
        <v>1809</v>
      </c>
      <c r="S89" s="312"/>
      <c r="T89" s="312"/>
      <c r="U89" s="312"/>
      <c r="AA89" s="651"/>
      <c r="AB89" s="651"/>
    </row>
    <row r="90" spans="1:28" s="299" customFormat="1" ht="11.45" customHeight="1">
      <c r="A90" s="185"/>
      <c r="B90" s="185"/>
      <c r="C90" s="185"/>
      <c r="D90" s="183"/>
      <c r="E90" s="183"/>
      <c r="F90" s="185" t="s">
        <v>2505</v>
      </c>
      <c r="G90" s="185"/>
      <c r="H90" s="183"/>
      <c r="I90" s="183"/>
      <c r="J90" s="185" t="s">
        <v>1596</v>
      </c>
      <c r="K90" s="185"/>
      <c r="L90" s="185"/>
      <c r="M90" s="185"/>
      <c r="N90" s="185"/>
      <c r="O90" s="185"/>
      <c r="P90" s="183"/>
      <c r="Q90" s="311">
        <v>750</v>
      </c>
      <c r="R90" s="311" t="s">
        <v>1809</v>
      </c>
      <c r="S90" s="312"/>
      <c r="T90" s="312"/>
      <c r="U90" s="312"/>
      <c r="AA90" s="651"/>
      <c r="AB90" s="651"/>
    </row>
    <row r="91" spans="1:28" s="299" customFormat="1" ht="11.45" customHeight="1">
      <c r="A91" s="185"/>
      <c r="B91" s="188"/>
      <c r="C91" s="185"/>
      <c r="D91" s="183"/>
      <c r="E91" s="183"/>
      <c r="F91" s="185" t="s">
        <v>3830</v>
      </c>
      <c r="G91" s="185"/>
      <c r="H91" s="183"/>
      <c r="I91" s="183"/>
      <c r="J91" s="185" t="s">
        <v>3831</v>
      </c>
      <c r="K91" s="185"/>
      <c r="L91" s="185" t="s">
        <v>3055</v>
      </c>
      <c r="M91" s="185"/>
      <c r="N91" s="185"/>
      <c r="O91" s="185"/>
      <c r="P91" s="183"/>
      <c r="Q91" s="2860">
        <v>75</v>
      </c>
      <c r="R91" s="2861"/>
      <c r="S91" s="312"/>
      <c r="T91" s="312"/>
      <c r="U91" s="312"/>
      <c r="AA91" s="651"/>
      <c r="AB91" s="651"/>
    </row>
    <row r="92" spans="1:28" s="299" customFormat="1" ht="11.45" customHeight="1">
      <c r="A92" s="185"/>
      <c r="B92" s="185" t="s">
        <v>1942</v>
      </c>
      <c r="C92" s="185"/>
      <c r="D92" s="183"/>
      <c r="E92" s="183"/>
      <c r="F92" s="185"/>
      <c r="G92" s="185"/>
      <c r="H92" s="185"/>
      <c r="I92" s="183"/>
      <c r="J92" s="185" t="s">
        <v>1806</v>
      </c>
      <c r="K92" s="185"/>
      <c r="L92" s="185"/>
      <c r="M92" s="185"/>
      <c r="N92" s="185"/>
      <c r="O92" s="185"/>
      <c r="P92" s="183"/>
      <c r="Q92" s="2860">
        <v>1800000</v>
      </c>
      <c r="R92" s="2861"/>
      <c r="S92" s="312"/>
      <c r="T92" s="312"/>
      <c r="U92" s="312"/>
      <c r="AA92" s="651"/>
      <c r="AB92" s="651"/>
    </row>
    <row r="93" spans="1:28" s="299" customFormat="1" ht="11.45" customHeight="1">
      <c r="A93" s="185"/>
      <c r="B93" s="185"/>
      <c r="C93" s="185"/>
      <c r="D93" s="183"/>
      <c r="E93" s="183"/>
      <c r="F93" s="185"/>
      <c r="G93" s="185"/>
      <c r="H93" s="185"/>
      <c r="I93" s="183"/>
      <c r="J93" s="185" t="s">
        <v>3806</v>
      </c>
      <c r="K93" s="185"/>
      <c r="L93" s="185"/>
      <c r="M93" s="185"/>
      <c r="N93" s="185"/>
      <c r="O93" s="185"/>
      <c r="P93" s="183"/>
      <c r="Q93" s="2860">
        <v>2500000</v>
      </c>
      <c r="R93" s="2861"/>
      <c r="S93" s="312"/>
      <c r="T93" s="312"/>
      <c r="U93" s="312"/>
      <c r="AA93" s="651"/>
      <c r="AB93" s="651"/>
    </row>
    <row r="94" spans="1:28" s="299" customFormat="1" ht="11.45" customHeight="1">
      <c r="A94" s="185"/>
      <c r="B94" s="185"/>
      <c r="C94" s="185"/>
      <c r="D94" s="183"/>
      <c r="E94" s="183"/>
      <c r="F94" s="185" t="s">
        <v>1789</v>
      </c>
      <c r="G94" s="185"/>
      <c r="H94" s="185" t="s">
        <v>2386</v>
      </c>
      <c r="I94" s="183"/>
      <c r="J94" s="185" t="s">
        <v>1018</v>
      </c>
      <c r="K94" s="185"/>
      <c r="L94" s="185"/>
      <c r="M94" s="185"/>
      <c r="N94" s="185"/>
      <c r="O94" s="185"/>
      <c r="P94" s="183"/>
      <c r="Q94" s="2859">
        <v>0.15</v>
      </c>
      <c r="R94" s="2859"/>
      <c r="S94" s="312"/>
      <c r="T94" s="312"/>
      <c r="U94" s="312"/>
      <c r="AA94" s="651"/>
      <c r="AB94" s="651"/>
    </row>
    <row r="95" spans="1:28" s="299" customFormat="1" ht="11.45" customHeight="1">
      <c r="A95" s="185"/>
      <c r="B95" s="422"/>
      <c r="C95" s="185"/>
      <c r="D95" s="183"/>
      <c r="E95" s="183"/>
      <c r="F95" s="185"/>
      <c r="G95" s="185"/>
      <c r="H95" s="185" t="s">
        <v>4296</v>
      </c>
      <c r="I95" s="185" t="s">
        <v>1015</v>
      </c>
      <c r="J95" s="185" t="s">
        <v>1017</v>
      </c>
      <c r="K95" s="185"/>
      <c r="L95" s="185"/>
      <c r="M95" s="185"/>
      <c r="N95" s="185"/>
      <c r="O95" s="185"/>
      <c r="P95" s="183"/>
      <c r="Q95" s="2859">
        <v>0.15</v>
      </c>
      <c r="R95" s="2859"/>
      <c r="S95" s="312"/>
      <c r="T95" s="312"/>
      <c r="U95" s="312"/>
      <c r="AA95" s="651"/>
      <c r="AB95" s="651"/>
    </row>
    <row r="96" spans="1:28" s="299" customFormat="1" ht="11.45" customHeight="1">
      <c r="A96" s="185"/>
      <c r="B96" s="422"/>
      <c r="C96" s="185"/>
      <c r="D96" s="183"/>
      <c r="E96" s="183"/>
      <c r="F96" s="185"/>
      <c r="G96" s="185"/>
      <c r="H96" s="185"/>
      <c r="I96" s="185" t="s">
        <v>1016</v>
      </c>
      <c r="J96" s="185" t="s">
        <v>1019</v>
      </c>
      <c r="K96" s="185"/>
      <c r="L96" s="185"/>
      <c r="M96" s="185"/>
      <c r="N96" s="185"/>
      <c r="O96" s="185"/>
      <c r="P96" s="183"/>
      <c r="Q96" s="2859">
        <v>0.15</v>
      </c>
      <c r="R96" s="2859"/>
      <c r="S96" s="312"/>
      <c r="T96" s="312"/>
      <c r="U96" s="312"/>
      <c r="AA96" s="651"/>
      <c r="AB96" s="651"/>
    </row>
    <row r="97" spans="1:28" s="299" customFormat="1" ht="11.45" customHeight="1">
      <c r="A97" s="185"/>
      <c r="B97" s="422"/>
      <c r="C97" s="185"/>
      <c r="D97" s="183"/>
      <c r="E97" s="183"/>
      <c r="F97" s="185"/>
      <c r="G97" s="185"/>
      <c r="H97" s="185" t="s">
        <v>1014</v>
      </c>
      <c r="I97" s="183"/>
      <c r="J97" s="185" t="s">
        <v>1019</v>
      </c>
      <c r="K97" s="185"/>
      <c r="L97" s="185"/>
      <c r="M97" s="185"/>
      <c r="N97" s="185"/>
      <c r="O97" s="185"/>
      <c r="P97" s="183"/>
      <c r="Q97" s="2859">
        <v>0.15</v>
      </c>
      <c r="R97" s="2859"/>
      <c r="S97" s="312"/>
      <c r="T97" s="312"/>
      <c r="U97" s="312"/>
      <c r="AA97" s="651"/>
      <c r="AB97" s="651"/>
    </row>
    <row r="98" spans="1:28" s="299" customFormat="1" ht="11.45" customHeight="1">
      <c r="A98" s="185"/>
      <c r="B98" s="422"/>
      <c r="C98" s="185"/>
      <c r="D98" s="183"/>
      <c r="E98" s="183"/>
      <c r="F98" s="185"/>
      <c r="G98" s="185"/>
      <c r="H98" s="185"/>
      <c r="I98" s="185" t="s">
        <v>1020</v>
      </c>
      <c r="J98" s="185" t="s">
        <v>1021</v>
      </c>
      <c r="K98" s="185"/>
      <c r="L98" s="185"/>
      <c r="M98" s="185"/>
      <c r="N98" s="185"/>
      <c r="O98" s="185"/>
      <c r="P98" s="183"/>
      <c r="Q98" s="2859">
        <v>0.15</v>
      </c>
      <c r="R98" s="2859"/>
      <c r="S98" s="312"/>
      <c r="T98" s="312"/>
      <c r="U98" s="312"/>
      <c r="AA98" s="651"/>
      <c r="AB98" s="651"/>
    </row>
    <row r="99" spans="1:28" s="299" customFormat="1" ht="11.45" customHeight="1">
      <c r="A99" s="185"/>
      <c r="B99" s="422"/>
      <c r="C99" s="185"/>
      <c r="D99" s="183"/>
      <c r="E99" s="183"/>
      <c r="F99" s="185" t="s">
        <v>1835</v>
      </c>
      <c r="G99" s="185"/>
      <c r="H99" s="185"/>
      <c r="I99" s="183"/>
      <c r="J99" s="185" t="s">
        <v>2467</v>
      </c>
      <c r="K99" s="185"/>
      <c r="L99" s="185"/>
      <c r="M99" s="185"/>
      <c r="N99" s="185"/>
      <c r="O99" s="185"/>
      <c r="P99" s="183"/>
      <c r="Q99" s="2859">
        <v>0.15</v>
      </c>
      <c r="R99" s="2859"/>
      <c r="S99" s="312"/>
      <c r="T99" s="312"/>
      <c r="U99" s="312"/>
      <c r="AA99" s="651"/>
      <c r="AB99" s="651"/>
    </row>
    <row r="100" spans="1:28" s="299" customFormat="1" ht="11.45" customHeight="1">
      <c r="A100" s="185"/>
      <c r="B100" s="422"/>
      <c r="C100" s="185"/>
      <c r="D100" s="183"/>
      <c r="E100" s="183"/>
      <c r="G100" s="185"/>
      <c r="H100" s="185"/>
      <c r="I100" s="183"/>
      <c r="J100" s="185" t="s">
        <v>2468</v>
      </c>
      <c r="K100" s="185"/>
      <c r="L100" s="185"/>
      <c r="M100" s="185"/>
      <c r="N100" s="185"/>
      <c r="O100" s="185"/>
      <c r="P100" s="183"/>
      <c r="Q100" s="2859" t="s">
        <v>2469</v>
      </c>
      <c r="R100" s="2859"/>
      <c r="S100" s="312"/>
      <c r="T100" s="312"/>
      <c r="U100" s="312"/>
      <c r="AA100" s="651"/>
      <c r="AB100" s="651"/>
    </row>
    <row r="101" spans="1:28" s="299" customFormat="1" ht="11.45" customHeight="1">
      <c r="A101" s="185"/>
      <c r="B101" s="422"/>
      <c r="C101" s="185"/>
      <c r="D101" s="183"/>
      <c r="E101" s="183"/>
      <c r="F101" s="185" t="s">
        <v>2120</v>
      </c>
      <c r="G101" s="185"/>
      <c r="H101" s="185"/>
      <c r="I101" s="183"/>
      <c r="J101" s="185"/>
      <c r="K101" s="185"/>
      <c r="L101" s="185"/>
      <c r="M101" s="185"/>
      <c r="N101" s="185"/>
      <c r="O101" s="185"/>
      <c r="P101" s="183"/>
      <c r="Q101" s="424">
        <v>0</v>
      </c>
      <c r="R101" s="424">
        <v>15</v>
      </c>
      <c r="S101" s="312"/>
      <c r="T101" s="312"/>
      <c r="U101" s="312"/>
      <c r="AA101" s="651"/>
      <c r="AB101" s="651"/>
    </row>
    <row r="102" spans="1:28" s="299" customFormat="1" ht="11.45" customHeight="1">
      <c r="A102" s="185"/>
      <c r="B102" s="422"/>
      <c r="C102" s="185"/>
      <c r="D102" s="183"/>
      <c r="E102" s="183"/>
      <c r="F102" s="185" t="s">
        <v>2119</v>
      </c>
      <c r="G102" s="185"/>
      <c r="I102" s="183"/>
      <c r="J102" s="185"/>
      <c r="K102" s="185"/>
      <c r="L102" s="185"/>
      <c r="M102" s="185"/>
      <c r="N102" s="185"/>
      <c r="O102" s="185"/>
      <c r="P102" s="183"/>
      <c r="Q102" s="2056">
        <v>0</v>
      </c>
      <c r="R102" s="2056">
        <v>0.5</v>
      </c>
      <c r="S102" s="312"/>
      <c r="T102" s="312"/>
      <c r="U102" s="312"/>
      <c r="AA102" s="651"/>
      <c r="AB102" s="651"/>
    </row>
    <row r="103" spans="1:28" s="299" customFormat="1" ht="11.45" customHeight="1">
      <c r="A103" s="185"/>
      <c r="B103" s="185" t="s">
        <v>1836</v>
      </c>
      <c r="C103" s="185"/>
      <c r="D103" s="185"/>
      <c r="E103" s="185"/>
      <c r="F103" s="185"/>
      <c r="G103" s="185"/>
      <c r="H103" s="183"/>
      <c r="I103" s="183"/>
      <c r="J103" s="185" t="s">
        <v>1837</v>
      </c>
      <c r="K103" s="185"/>
      <c r="L103" s="185"/>
      <c r="M103" s="185"/>
      <c r="N103" s="185"/>
      <c r="O103" s="185"/>
      <c r="P103" s="183"/>
      <c r="Q103" s="314">
        <v>6</v>
      </c>
      <c r="R103" s="311" t="s">
        <v>1809</v>
      </c>
      <c r="S103" s="312"/>
      <c r="T103" s="312"/>
      <c r="U103" s="312"/>
      <c r="AA103" s="651"/>
      <c r="AB103" s="651"/>
    </row>
    <row r="104" spans="1:28" s="299" customFormat="1" ht="11.45" customHeight="1">
      <c r="A104" s="185"/>
      <c r="B104" s="185"/>
      <c r="C104" s="185"/>
      <c r="D104" s="185"/>
      <c r="E104" s="185"/>
      <c r="F104" s="185"/>
      <c r="G104" s="185"/>
      <c r="H104" s="183"/>
      <c r="I104" s="183"/>
      <c r="J104" s="185" t="s">
        <v>1838</v>
      </c>
      <c r="K104" s="185"/>
      <c r="L104" s="185"/>
      <c r="M104" s="185"/>
      <c r="N104" s="185"/>
      <c r="O104" s="185"/>
      <c r="P104" s="183"/>
      <c r="Q104" s="314">
        <v>6</v>
      </c>
      <c r="R104" s="311" t="s">
        <v>1809</v>
      </c>
      <c r="S104" s="312"/>
      <c r="T104" s="312"/>
      <c r="U104" s="312"/>
      <c r="AA104" s="651"/>
      <c r="AB104" s="651"/>
    </row>
    <row r="105" spans="1:28" s="299" customFormat="1" ht="11.45" customHeight="1">
      <c r="A105" s="185"/>
      <c r="B105" s="425" t="s">
        <v>2121</v>
      </c>
      <c r="C105" s="185"/>
      <c r="D105" s="183"/>
      <c r="E105" s="183"/>
      <c r="F105" s="185"/>
      <c r="G105" s="185"/>
      <c r="I105" s="183"/>
      <c r="J105" s="185" t="s">
        <v>2122</v>
      </c>
      <c r="K105" s="185"/>
      <c r="L105" s="185"/>
      <c r="M105" s="185"/>
      <c r="N105" s="185"/>
      <c r="O105" s="185"/>
      <c r="P105" s="183"/>
      <c r="Q105" s="314">
        <v>3</v>
      </c>
      <c r="R105" s="311" t="s">
        <v>1809</v>
      </c>
      <c r="S105" s="312"/>
      <c r="T105" s="312"/>
      <c r="U105" s="312"/>
      <c r="AA105" s="651"/>
      <c r="AB105" s="651"/>
    </row>
    <row r="106" spans="1:28" s="299" customFormat="1" ht="11.45" customHeight="1">
      <c r="A106" s="185"/>
      <c r="B106" s="188" t="s">
        <v>3969</v>
      </c>
      <c r="C106" s="185"/>
      <c r="D106" s="183"/>
      <c r="E106" s="185"/>
      <c r="F106" s="185"/>
      <c r="G106" s="185"/>
      <c r="H106" s="183"/>
      <c r="I106" s="183"/>
      <c r="J106" s="185" t="s">
        <v>1839</v>
      </c>
      <c r="K106" s="185"/>
      <c r="L106" s="185"/>
      <c r="M106" s="185"/>
      <c r="N106" s="185"/>
      <c r="O106" s="185"/>
      <c r="P106" s="183"/>
      <c r="Q106" s="2860">
        <v>3000</v>
      </c>
      <c r="R106" s="2861"/>
      <c r="S106" s="312"/>
      <c r="T106" s="312"/>
      <c r="U106" s="312"/>
      <c r="AA106" s="651"/>
      <c r="AB106" s="65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651"/>
      <c r="AB107" s="651"/>
    </row>
    <row r="108" spans="1:28" s="299" customFormat="1" ht="12" customHeight="1">
      <c r="A108" s="304" t="s">
        <v>1840</v>
      </c>
      <c r="B108" s="185"/>
      <c r="C108" s="185"/>
      <c r="D108" s="185"/>
      <c r="E108" s="185"/>
      <c r="F108" s="185"/>
      <c r="G108" s="185"/>
      <c r="H108" s="185"/>
      <c r="I108" s="183"/>
      <c r="J108" s="185"/>
      <c r="K108" s="185"/>
      <c r="L108" s="185"/>
      <c r="M108" s="185"/>
      <c r="N108" s="185"/>
      <c r="O108" s="185"/>
      <c r="P108" s="183"/>
      <c r="Q108" s="185"/>
      <c r="R108" s="185"/>
      <c r="S108" s="312"/>
      <c r="T108" s="312"/>
      <c r="U108" s="312"/>
      <c r="AA108" s="651"/>
      <c r="AB108" s="651"/>
    </row>
    <row r="109" spans="1:28" ht="11.45" customHeight="1">
      <c r="B109" s="315" t="s">
        <v>2507</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1841</v>
      </c>
      <c r="C111" s="185"/>
      <c r="D111" s="185"/>
      <c r="E111" s="185"/>
      <c r="F111" s="185"/>
      <c r="G111" s="185"/>
      <c r="H111" s="185"/>
      <c r="J111" s="185" t="s">
        <v>1842</v>
      </c>
      <c r="K111" s="185"/>
      <c r="L111" s="185"/>
      <c r="M111" s="185"/>
      <c r="N111" s="185"/>
      <c r="O111" s="185"/>
      <c r="Q111" s="2859">
        <v>0.02</v>
      </c>
      <c r="R111" s="2859"/>
      <c r="AA111" s="651"/>
      <c r="AB111" s="651"/>
    </row>
    <row r="112" spans="1:28" s="312" customFormat="1" ht="11.45" customHeight="1">
      <c r="A112" s="185"/>
      <c r="B112" s="185" t="s">
        <v>1843</v>
      </c>
      <c r="C112" s="185"/>
      <c r="D112" s="185"/>
      <c r="E112" s="185"/>
      <c r="F112" s="185"/>
      <c r="G112" s="185"/>
      <c r="H112" s="185"/>
      <c r="J112" s="185" t="s">
        <v>1842</v>
      </c>
      <c r="K112" s="185"/>
      <c r="L112" s="185"/>
      <c r="M112" s="185"/>
      <c r="N112" s="185"/>
      <c r="O112" s="185"/>
      <c r="Q112" s="2859">
        <v>7.0000000000000007E-2</v>
      </c>
      <c r="R112" s="2859"/>
      <c r="AA112" s="651"/>
      <c r="AB112" s="651"/>
    </row>
    <row r="113" spans="1:28" s="312" customFormat="1" ht="11.45" customHeight="1">
      <c r="A113" s="185"/>
      <c r="B113" s="185" t="s">
        <v>1844</v>
      </c>
      <c r="C113" s="185"/>
      <c r="D113" s="185"/>
      <c r="E113" s="185"/>
      <c r="F113" s="185"/>
      <c r="G113" s="185"/>
      <c r="H113" s="185"/>
      <c r="J113" s="185" t="s">
        <v>1842</v>
      </c>
      <c r="K113" s="185"/>
      <c r="L113" s="185"/>
      <c r="M113" s="185"/>
      <c r="N113" s="185"/>
      <c r="O113" s="185"/>
      <c r="Q113" s="2859">
        <v>7.0000000000000007E-2</v>
      </c>
      <c r="R113" s="2859"/>
      <c r="AA113" s="651"/>
      <c r="AB113" s="651"/>
    </row>
    <row r="114" spans="1:28" s="299" customFormat="1" ht="11.45" customHeight="1">
      <c r="A114" s="185"/>
      <c r="B114" s="185" t="s">
        <v>136</v>
      </c>
      <c r="C114" s="185"/>
      <c r="D114" s="183"/>
      <c r="E114" s="183"/>
      <c r="F114" s="183"/>
      <c r="G114" s="185"/>
      <c r="H114" s="183"/>
      <c r="I114" s="183"/>
      <c r="J114" s="185" t="s">
        <v>1842</v>
      </c>
      <c r="K114" s="185"/>
      <c r="L114" s="185"/>
      <c r="M114" s="185"/>
      <c r="N114" s="185"/>
      <c r="O114" s="185"/>
      <c r="P114" s="183"/>
      <c r="Q114" s="2859">
        <v>0.03</v>
      </c>
      <c r="R114" s="2859"/>
      <c r="S114" s="312"/>
      <c r="T114" s="312"/>
      <c r="U114" s="312"/>
      <c r="AA114" s="651"/>
      <c r="AB114" s="651"/>
    </row>
    <row r="115" spans="1:28" s="299" customFormat="1" ht="11.45" customHeight="1">
      <c r="A115" s="185"/>
      <c r="B115" s="185" t="s">
        <v>137</v>
      </c>
      <c r="C115" s="185"/>
      <c r="D115" s="183"/>
      <c r="E115" s="183"/>
      <c r="F115" s="183"/>
      <c r="G115" s="185"/>
      <c r="H115" s="183"/>
      <c r="I115" s="183"/>
      <c r="J115" s="185" t="s">
        <v>1842</v>
      </c>
      <c r="K115" s="185"/>
      <c r="L115" s="185"/>
      <c r="M115" s="185"/>
      <c r="N115" s="185"/>
      <c r="O115" s="185"/>
      <c r="P115" s="183"/>
      <c r="Q115" s="2859">
        <v>0.03</v>
      </c>
      <c r="R115" s="2859"/>
      <c r="S115" s="312"/>
      <c r="T115" s="312"/>
      <c r="U115" s="312"/>
      <c r="AA115" s="651"/>
      <c r="AB115" s="651"/>
    </row>
    <row r="116" spans="1:28" s="299" customFormat="1" ht="11.45" customHeight="1">
      <c r="A116" s="185"/>
      <c r="B116" s="185" t="s">
        <v>138</v>
      </c>
      <c r="C116" s="185"/>
      <c r="D116" s="183"/>
      <c r="E116" s="183"/>
      <c r="F116" s="183"/>
      <c r="G116" s="185"/>
      <c r="H116" s="183"/>
      <c r="I116" s="183"/>
      <c r="J116" s="185" t="s">
        <v>1842</v>
      </c>
      <c r="K116" s="185"/>
      <c r="L116" s="185"/>
      <c r="M116" s="185"/>
      <c r="N116" s="185"/>
      <c r="O116" s="185"/>
      <c r="P116" s="183"/>
      <c r="Q116" s="2859">
        <v>0</v>
      </c>
      <c r="R116" s="2859"/>
      <c r="S116" s="312"/>
      <c r="T116" s="312"/>
      <c r="U116" s="312"/>
      <c r="AA116" s="651"/>
      <c r="AB116" s="65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51"/>
      <c r="AB117" s="651"/>
    </row>
    <row r="118" spans="1:28" s="299" customFormat="1" ht="11.45" customHeight="1">
      <c r="A118" s="304" t="s">
        <v>2785</v>
      </c>
      <c r="B118" s="185"/>
      <c r="C118" s="185"/>
      <c r="D118" s="183"/>
      <c r="E118" s="183"/>
      <c r="F118" s="185" t="s">
        <v>2700</v>
      </c>
      <c r="G118" s="185"/>
      <c r="H118" s="183"/>
      <c r="I118" s="183"/>
      <c r="J118" s="185" t="s">
        <v>2787</v>
      </c>
      <c r="K118" s="185"/>
      <c r="L118" s="185"/>
      <c r="M118" s="185"/>
      <c r="N118" s="185"/>
      <c r="O118" s="185"/>
      <c r="P118" s="183"/>
      <c r="Q118" s="2859">
        <v>0.1</v>
      </c>
      <c r="R118" s="2859"/>
      <c r="S118" s="183"/>
      <c r="T118" s="183"/>
      <c r="U118" s="183"/>
      <c r="V118" s="2047"/>
      <c r="W118" s="2047"/>
      <c r="X118" s="186"/>
      <c r="AA118" s="651"/>
      <c r="AB118" s="651"/>
    </row>
    <row r="119" spans="1:28" s="299" customFormat="1" ht="11.45" customHeight="1">
      <c r="A119" s="185"/>
      <c r="B119" s="185"/>
      <c r="C119" s="185"/>
      <c r="D119" s="183"/>
      <c r="E119" s="183"/>
      <c r="F119" s="185" t="s">
        <v>2786</v>
      </c>
      <c r="G119" s="185"/>
      <c r="H119" s="183"/>
      <c r="I119" s="183"/>
      <c r="J119" s="185" t="s">
        <v>4295</v>
      </c>
      <c r="K119" s="185"/>
      <c r="L119" s="185"/>
      <c r="M119" s="185"/>
      <c r="N119" s="185"/>
      <c r="O119" s="185"/>
      <c r="P119" s="183"/>
      <c r="Q119" s="2865">
        <v>4000000</v>
      </c>
      <c r="R119" s="2865"/>
      <c r="S119" s="305"/>
      <c r="T119" s="305"/>
      <c r="U119" s="183"/>
      <c r="V119" s="306"/>
      <c r="W119" s="306"/>
      <c r="X119" s="306"/>
      <c r="AA119" s="651"/>
      <c r="AB119" s="651"/>
    </row>
    <row r="120" spans="1:28" ht="4.5" customHeight="1"/>
    <row r="121" spans="1:28">
      <c r="A121" s="304" t="s">
        <v>3052</v>
      </c>
      <c r="F121" s="185" t="s">
        <v>2699</v>
      </c>
      <c r="G121" s="185"/>
      <c r="H121" s="183"/>
      <c r="I121" s="183"/>
      <c r="J121" s="185" t="s">
        <v>2787</v>
      </c>
      <c r="K121" s="185"/>
      <c r="L121" s="185"/>
      <c r="M121" s="185"/>
      <c r="N121" s="185"/>
      <c r="O121" s="185"/>
      <c r="P121" s="183"/>
      <c r="Q121" s="2859">
        <v>0.35</v>
      </c>
      <c r="R121" s="2859"/>
    </row>
    <row r="122" spans="1:28" s="299" customFormat="1" ht="12.75" customHeight="1">
      <c r="A122" s="304"/>
      <c r="B122" s="185"/>
      <c r="C122" s="185"/>
      <c r="D122" s="183"/>
      <c r="E122" s="183"/>
      <c r="F122" s="185" t="s">
        <v>3053</v>
      </c>
      <c r="G122" s="185"/>
      <c r="H122" s="183"/>
      <c r="I122" s="183"/>
      <c r="J122" s="185" t="s">
        <v>2787</v>
      </c>
      <c r="K122" s="185"/>
      <c r="L122" s="185"/>
      <c r="M122" s="185"/>
      <c r="N122" s="185"/>
      <c r="O122" s="185"/>
      <c r="P122" s="183"/>
      <c r="Q122" s="2859" t="s">
        <v>3054</v>
      </c>
      <c r="R122" s="2859"/>
      <c r="S122" s="183"/>
      <c r="T122" s="183"/>
      <c r="U122" s="183"/>
      <c r="V122" s="2047"/>
      <c r="W122" s="2047"/>
      <c r="X122" s="186"/>
      <c r="AA122" s="651"/>
      <c r="AB122" s="65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2"/>
      <c r="R123" s="422"/>
      <c r="S123" s="183"/>
      <c r="T123" s="183"/>
      <c r="U123" s="183"/>
      <c r="V123" s="2047"/>
      <c r="W123" s="2047"/>
      <c r="X123" s="186"/>
      <c r="AA123" s="651"/>
      <c r="AB123" s="651"/>
    </row>
    <row r="124" spans="1:28" s="299" customFormat="1" ht="12.75" customHeight="1">
      <c r="A124" s="304" t="s">
        <v>4517</v>
      </c>
      <c r="B124" s="185"/>
      <c r="C124" s="185"/>
      <c r="D124" s="183"/>
      <c r="E124" s="183"/>
      <c r="F124" s="185" t="s">
        <v>4520</v>
      </c>
      <c r="G124" s="185"/>
      <c r="H124" s="183"/>
      <c r="I124" s="183"/>
      <c r="J124" s="185" t="s">
        <v>4521</v>
      </c>
      <c r="K124" s="185"/>
      <c r="L124" s="185"/>
      <c r="M124" s="185"/>
      <c r="N124" s="185"/>
      <c r="O124" s="185"/>
      <c r="P124" s="183"/>
      <c r="Q124" s="2859">
        <v>0.05</v>
      </c>
      <c r="R124" s="2859"/>
      <c r="S124" s="183"/>
      <c r="T124" s="183"/>
      <c r="U124" s="183"/>
      <c r="V124" s="2047"/>
      <c r="W124" s="2047"/>
      <c r="X124" s="186"/>
      <c r="AA124" s="651"/>
      <c r="AB124" s="651"/>
    </row>
    <row r="125" spans="1:28" s="299" customFormat="1" ht="12.75" customHeight="1">
      <c r="A125" s="304"/>
      <c r="B125" s="185"/>
      <c r="C125" s="185"/>
      <c r="D125" s="183"/>
      <c r="E125" s="183"/>
      <c r="F125" s="185"/>
      <c r="G125" s="185" t="s">
        <v>4518</v>
      </c>
      <c r="H125" s="183"/>
      <c r="I125" s="183"/>
      <c r="J125" s="185" t="s">
        <v>4522</v>
      </c>
      <c r="K125" s="185"/>
      <c r="L125" s="185"/>
      <c r="M125" s="185"/>
      <c r="N125" s="185"/>
      <c r="O125" s="185"/>
      <c r="P125" s="183"/>
      <c r="Q125" s="2859">
        <v>0.4</v>
      </c>
      <c r="R125" s="2859"/>
      <c r="S125" s="183"/>
      <c r="T125" s="183"/>
      <c r="U125" s="183"/>
      <c r="V125" s="2047"/>
      <c r="W125" s="2047"/>
      <c r="X125" s="186"/>
      <c r="AA125" s="651"/>
      <c r="AB125" s="651"/>
    </row>
    <row r="126" spans="1:28" s="299" customFormat="1" ht="12.75" customHeight="1">
      <c r="A126" s="304"/>
      <c r="B126" s="185"/>
      <c r="C126" s="185"/>
      <c r="D126" s="183"/>
      <c r="E126" s="183"/>
      <c r="F126" s="185" t="s">
        <v>4519</v>
      </c>
      <c r="G126" s="185"/>
      <c r="H126" s="183"/>
      <c r="I126" s="183"/>
      <c r="J126" s="185" t="s">
        <v>4521</v>
      </c>
      <c r="K126" s="185"/>
      <c r="L126" s="185"/>
      <c r="M126" s="185"/>
      <c r="N126" s="185"/>
      <c r="O126" s="185"/>
      <c r="P126" s="183"/>
      <c r="Q126" s="2859">
        <v>0.02</v>
      </c>
      <c r="R126" s="2859"/>
      <c r="S126" s="183"/>
      <c r="T126" s="183"/>
      <c r="U126" s="183"/>
      <c r="V126" s="2047"/>
      <c r="W126" s="2047"/>
      <c r="X126" s="186"/>
      <c r="AA126" s="651"/>
      <c r="AB126" s="65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2"/>
      <c r="R127" s="422"/>
      <c r="S127" s="183"/>
      <c r="T127" s="183"/>
      <c r="U127" s="183"/>
      <c r="V127" s="2047"/>
      <c r="W127" s="2047"/>
      <c r="X127" s="186"/>
      <c r="AA127" s="651"/>
      <c r="AB127" s="651"/>
    </row>
    <row r="128" spans="1:28" ht="13.15" customHeight="1">
      <c r="C128" s="185"/>
      <c r="D128" s="183"/>
      <c r="E128" s="318"/>
      <c r="F128" s="318"/>
      <c r="G128" s="318"/>
      <c r="H128" s="318"/>
      <c r="I128" s="318"/>
    </row>
    <row r="129" spans="3:27">
      <c r="C129" s="185"/>
      <c r="D129" s="183"/>
    </row>
    <row r="130" spans="3:27" ht="13.5">
      <c r="C130" s="185"/>
      <c r="D130" s="183"/>
      <c r="J130" s="419" t="s">
        <v>843</v>
      </c>
      <c r="K130" s="419"/>
      <c r="L130" s="297"/>
    </row>
    <row r="131" spans="3:27" ht="13.5">
      <c r="C131" s="185"/>
      <c r="D131" s="183"/>
      <c r="J131" s="420" t="s">
        <v>846</v>
      </c>
      <c r="K131" s="420" t="s">
        <v>844</v>
      </c>
      <c r="L131" s="421" t="s">
        <v>845</v>
      </c>
    </row>
    <row r="132" spans="3:27" ht="10.5" customHeight="1">
      <c r="C132" s="185"/>
      <c r="D132" s="183"/>
      <c r="E132" s="312"/>
      <c r="F132" s="312"/>
      <c r="J132" s="443">
        <v>0</v>
      </c>
      <c r="K132" s="443">
        <v>0.7</v>
      </c>
      <c r="L132" s="443">
        <v>1</v>
      </c>
    </row>
    <row r="133" spans="3:27" ht="10.5" customHeight="1">
      <c r="C133" s="318"/>
      <c r="D133" s="318"/>
      <c r="E133" s="312"/>
      <c r="F133" s="312"/>
      <c r="J133" s="443">
        <v>1</v>
      </c>
      <c r="K133" s="443">
        <v>0.75</v>
      </c>
      <c r="L133" s="443">
        <v>1.5</v>
      </c>
    </row>
    <row r="134" spans="3:27" ht="10.5" customHeight="1">
      <c r="C134" s="318"/>
      <c r="D134" s="318"/>
      <c r="E134" s="312"/>
      <c r="F134" s="312"/>
      <c r="J134" s="443">
        <v>2</v>
      </c>
      <c r="K134" s="443">
        <v>0.9</v>
      </c>
      <c r="L134" s="443">
        <v>3</v>
      </c>
    </row>
    <row r="135" spans="3:27" ht="10.5" customHeight="1">
      <c r="C135" s="318"/>
      <c r="D135" s="318"/>
      <c r="E135" s="312"/>
      <c r="F135" s="312"/>
      <c r="J135" s="443">
        <v>3</v>
      </c>
      <c r="K135" s="443">
        <v>1.04</v>
      </c>
      <c r="L135" s="443">
        <v>4.5</v>
      </c>
    </row>
    <row r="136" spans="3:27" ht="10.5" customHeight="1">
      <c r="C136" s="318"/>
      <c r="D136" s="318"/>
      <c r="E136" s="312"/>
      <c r="F136" s="312"/>
      <c r="J136" s="443">
        <v>4</v>
      </c>
      <c r="K136" s="443">
        <v>1.1599999999999999</v>
      </c>
      <c r="L136" s="443">
        <v>6</v>
      </c>
    </row>
    <row r="137" spans="3:27" ht="10.5" customHeight="1">
      <c r="E137" s="312"/>
      <c r="F137" s="312"/>
      <c r="J137" s="443">
        <v>5</v>
      </c>
      <c r="K137" s="443">
        <v>1.28</v>
      </c>
      <c r="L137" s="443">
        <v>7.5</v>
      </c>
    </row>
    <row r="138" spans="3:27" ht="10.5" customHeight="1">
      <c r="E138" s="312"/>
      <c r="F138" s="312"/>
    </row>
    <row r="139" spans="3:27" ht="10.5" customHeight="1">
      <c r="D139" s="880">
        <v>2015</v>
      </c>
      <c r="E139" s="312"/>
      <c r="F139" s="312"/>
    </row>
    <row r="140" spans="3:27" ht="48" customHeight="1">
      <c r="C140" s="565" t="s">
        <v>1333</v>
      </c>
      <c r="D140" s="418" t="s">
        <v>1079</v>
      </c>
      <c r="E140" s="312"/>
      <c r="F140" s="738" t="s">
        <v>1875</v>
      </c>
      <c r="G140" s="738" t="s">
        <v>1260</v>
      </c>
      <c r="H140" s="738" t="s">
        <v>1261</v>
      </c>
      <c r="I140" s="739" t="s">
        <v>1262</v>
      </c>
      <c r="J140" s="739" t="s">
        <v>1199</v>
      </c>
      <c r="K140" s="738" t="s">
        <v>440</v>
      </c>
      <c r="L140" s="740" t="s">
        <v>1206</v>
      </c>
      <c r="M140" s="740" t="s">
        <v>2990</v>
      </c>
      <c r="N140" s="738" t="s">
        <v>2498</v>
      </c>
      <c r="O140" s="738"/>
      <c r="P140" s="185"/>
      <c r="Q140" s="430"/>
      <c r="R140" s="741" t="s">
        <v>648</v>
      </c>
      <c r="S140" s="742" t="s">
        <v>649</v>
      </c>
      <c r="U140" s="835" t="s">
        <v>3741</v>
      </c>
      <c r="X140" s="481"/>
      <c r="Y140" s="481"/>
    </row>
    <row r="141" spans="3:27" ht="10.5" customHeight="1">
      <c r="C141" s="416" t="s">
        <v>1858</v>
      </c>
      <c r="D141" s="497">
        <v>45900</v>
      </c>
      <c r="E141" s="312"/>
      <c r="F141" s="312" t="s">
        <v>877</v>
      </c>
      <c r="G141" s="430" t="s">
        <v>1263</v>
      </c>
      <c r="H141" s="430" t="s">
        <v>1264</v>
      </c>
      <c r="I141" s="743" t="s">
        <v>1265</v>
      </c>
      <c r="J141" s="743" t="s">
        <v>2712</v>
      </c>
      <c r="K141" s="751" t="s">
        <v>1207</v>
      </c>
      <c r="L141" s="752" t="s">
        <v>438</v>
      </c>
      <c r="M141" s="753" t="s">
        <v>2699</v>
      </c>
      <c r="N141" s="744" t="s">
        <v>1588</v>
      </c>
      <c r="O141" s="322"/>
      <c r="P141" s="185"/>
      <c r="Q141" s="430"/>
      <c r="R141" s="616" t="s">
        <v>2499</v>
      </c>
      <c r="S141" s="616" t="s">
        <v>2035</v>
      </c>
      <c r="U141" s="481" t="s">
        <v>2499</v>
      </c>
      <c r="V141" s="481" t="s">
        <v>3742</v>
      </c>
      <c r="X141" s="481"/>
      <c r="Y141" s="481"/>
      <c r="AA141" s="1486"/>
    </row>
    <row r="142" spans="3:27" ht="10.5" customHeight="1">
      <c r="C142" s="416" t="s">
        <v>1265</v>
      </c>
      <c r="D142" s="497">
        <v>44400</v>
      </c>
      <c r="E142" s="312"/>
      <c r="F142" s="312" t="s">
        <v>878</v>
      </c>
      <c r="G142" s="430" t="s">
        <v>1853</v>
      </c>
      <c r="H142" s="430" t="s">
        <v>1264</v>
      </c>
      <c r="I142" s="743" t="s">
        <v>1854</v>
      </c>
      <c r="J142" s="743" t="s">
        <v>2712</v>
      </c>
      <c r="K142" s="751" t="s">
        <v>1208</v>
      </c>
      <c r="L142" s="752" t="s">
        <v>438</v>
      </c>
      <c r="M142" s="753" t="s">
        <v>2699</v>
      </c>
      <c r="N142" s="744" t="s">
        <v>1590</v>
      </c>
      <c r="O142" s="322"/>
      <c r="P142" s="185"/>
      <c r="Q142" s="430"/>
      <c r="R142" s="616" t="s">
        <v>1589</v>
      </c>
      <c r="S142" s="616" t="s">
        <v>2584</v>
      </c>
      <c r="U142" s="481" t="s">
        <v>1589</v>
      </c>
      <c r="V142" s="481" t="s">
        <v>3742</v>
      </c>
      <c r="X142" s="481"/>
      <c r="Y142" s="481"/>
      <c r="AA142" s="1486"/>
    </row>
    <row r="143" spans="3:27" ht="10.5" customHeight="1">
      <c r="C143" s="416" t="s">
        <v>1080</v>
      </c>
      <c r="D143" s="497">
        <v>56600</v>
      </c>
      <c r="E143" s="312"/>
      <c r="F143" s="312" t="s">
        <v>879</v>
      </c>
      <c r="G143" s="430" t="s">
        <v>1855</v>
      </c>
      <c r="H143" s="430" t="s">
        <v>1264</v>
      </c>
      <c r="I143" s="743" t="s">
        <v>1856</v>
      </c>
      <c r="J143" s="743" t="s">
        <v>2712</v>
      </c>
      <c r="K143" s="751" t="s">
        <v>1209</v>
      </c>
      <c r="L143" s="752" t="s">
        <v>438</v>
      </c>
      <c r="M143" s="753" t="s">
        <v>2699</v>
      </c>
      <c r="N143" s="744" t="s">
        <v>482</v>
      </c>
      <c r="O143" s="322"/>
      <c r="P143" s="185"/>
      <c r="Q143" s="430"/>
      <c r="R143" s="616" t="s">
        <v>985</v>
      </c>
      <c r="S143" s="616" t="s">
        <v>1370</v>
      </c>
      <c r="U143" s="481" t="s">
        <v>985</v>
      </c>
      <c r="V143" s="481" t="s">
        <v>3742</v>
      </c>
      <c r="X143" s="481"/>
      <c r="Y143" s="481"/>
      <c r="AA143" s="1486"/>
    </row>
    <row r="144" spans="3:27" ht="10.5" customHeight="1">
      <c r="C144" s="416" t="s">
        <v>1854</v>
      </c>
      <c r="D144" s="497">
        <v>36800</v>
      </c>
      <c r="E144" s="312"/>
      <c r="F144" s="312" t="s">
        <v>880</v>
      </c>
      <c r="G144" s="430" t="s">
        <v>1857</v>
      </c>
      <c r="H144" s="430" t="s">
        <v>1264</v>
      </c>
      <c r="I144" s="745" t="s">
        <v>1858</v>
      </c>
      <c r="J144" s="745" t="s">
        <v>2713</v>
      </c>
      <c r="K144" s="751" t="s">
        <v>1210</v>
      </c>
      <c r="L144" s="752" t="s">
        <v>439</v>
      </c>
      <c r="M144" s="753" t="s">
        <v>1246</v>
      </c>
      <c r="N144" s="744" t="s">
        <v>2168</v>
      </c>
      <c r="O144" s="322"/>
      <c r="P144" s="185"/>
      <c r="Q144" s="430"/>
      <c r="R144" s="616" t="s">
        <v>483</v>
      </c>
      <c r="S144" s="616" t="s">
        <v>2629</v>
      </c>
      <c r="U144" s="481" t="s">
        <v>2169</v>
      </c>
      <c r="V144" s="481" t="s">
        <v>3742</v>
      </c>
      <c r="X144" s="481"/>
      <c r="Y144" s="481"/>
      <c r="AA144" s="1486"/>
    </row>
    <row r="145" spans="3:27" ht="10.5" customHeight="1">
      <c r="C145" s="416" t="s">
        <v>802</v>
      </c>
      <c r="D145" s="497">
        <v>68300</v>
      </c>
      <c r="E145" s="312"/>
      <c r="F145" s="312" t="s">
        <v>881</v>
      </c>
      <c r="G145" s="430" t="s">
        <v>1859</v>
      </c>
      <c r="H145" s="430" t="s">
        <v>1391</v>
      </c>
      <c r="I145" s="745" t="s">
        <v>162</v>
      </c>
      <c r="J145" s="745" t="s">
        <v>2712</v>
      </c>
      <c r="K145" s="751" t="s">
        <v>1211</v>
      </c>
      <c r="L145" s="752" t="s">
        <v>438</v>
      </c>
      <c r="M145" s="753" t="s">
        <v>2699</v>
      </c>
      <c r="N145" s="744" t="s">
        <v>2170</v>
      </c>
      <c r="O145" s="322"/>
      <c r="P145" s="185"/>
      <c r="Q145" s="430"/>
      <c r="R145" s="616" t="s">
        <v>2169</v>
      </c>
      <c r="S145" s="616" t="s">
        <v>346</v>
      </c>
      <c r="U145" s="481" t="s">
        <v>2173</v>
      </c>
      <c r="V145" s="481" t="s">
        <v>3742</v>
      </c>
      <c r="X145" s="481"/>
      <c r="Y145" s="481"/>
      <c r="AA145" s="1486"/>
    </row>
    <row r="146" spans="3:27" ht="10.5" customHeight="1">
      <c r="C146" s="416" t="s">
        <v>803</v>
      </c>
      <c r="D146" s="497">
        <v>59100</v>
      </c>
      <c r="E146" s="312"/>
      <c r="F146" s="312" t="s">
        <v>882</v>
      </c>
      <c r="G146" s="430" t="s">
        <v>1366</v>
      </c>
      <c r="H146" s="430" t="s">
        <v>1367</v>
      </c>
      <c r="I146" s="743" t="s">
        <v>1368</v>
      </c>
      <c r="J146" s="743" t="s">
        <v>2712</v>
      </c>
      <c r="K146" s="751" t="s">
        <v>1901</v>
      </c>
      <c r="L146" s="752" t="s">
        <v>438</v>
      </c>
      <c r="M146" s="753" t="s">
        <v>2699</v>
      </c>
      <c r="N146" s="744" t="s">
        <v>2172</v>
      </c>
      <c r="O146" s="322"/>
      <c r="P146" s="185"/>
      <c r="Q146" s="430"/>
      <c r="R146" s="616" t="s">
        <v>2171</v>
      </c>
      <c r="S146" s="616" t="s">
        <v>190</v>
      </c>
      <c r="U146" s="481" t="s">
        <v>1858</v>
      </c>
      <c r="V146" s="481" t="s">
        <v>3742</v>
      </c>
      <c r="X146" s="481"/>
      <c r="Y146" s="481"/>
      <c r="AA146" s="1486"/>
    </row>
    <row r="147" spans="3:27" ht="10.5" customHeight="1">
      <c r="C147" s="416" t="s">
        <v>1856</v>
      </c>
      <c r="D147" s="497">
        <v>46700</v>
      </c>
      <c r="E147" s="312"/>
      <c r="F147" s="312" t="s">
        <v>883</v>
      </c>
      <c r="G147" s="430" t="s">
        <v>1369</v>
      </c>
      <c r="H147" s="430" t="s">
        <v>1391</v>
      </c>
      <c r="I147" s="745" t="s">
        <v>802</v>
      </c>
      <c r="J147" s="745" t="s">
        <v>2713</v>
      </c>
      <c r="K147" s="751" t="s">
        <v>2676</v>
      </c>
      <c r="L147" s="752" t="s">
        <v>439</v>
      </c>
      <c r="M147" s="753" t="s">
        <v>1246</v>
      </c>
      <c r="N147" s="744" t="s">
        <v>2174</v>
      </c>
      <c r="O147" s="322"/>
      <c r="P147" s="185"/>
      <c r="Q147" s="430"/>
      <c r="R147" s="616" t="s">
        <v>2173</v>
      </c>
      <c r="S147" s="616" t="s">
        <v>114</v>
      </c>
      <c r="U147" s="481" t="s">
        <v>464</v>
      </c>
      <c r="V147" s="481" t="s">
        <v>3742</v>
      </c>
      <c r="X147" s="481"/>
      <c r="Y147" s="481"/>
      <c r="AA147" s="1486"/>
    </row>
    <row r="148" spans="3:27" ht="10.5" customHeight="1">
      <c r="C148" s="416" t="s">
        <v>162</v>
      </c>
      <c r="D148" s="497">
        <v>51700</v>
      </c>
      <c r="E148" s="312"/>
      <c r="F148" s="312" t="s">
        <v>884</v>
      </c>
      <c r="G148" s="430" t="s">
        <v>1370</v>
      </c>
      <c r="H148" s="430" t="s">
        <v>1367</v>
      </c>
      <c r="I148" s="745" t="s">
        <v>802</v>
      </c>
      <c r="J148" s="745" t="s">
        <v>2713</v>
      </c>
      <c r="K148" s="751" t="s">
        <v>2676</v>
      </c>
      <c r="L148" s="752" t="s">
        <v>439</v>
      </c>
      <c r="M148" s="753" t="s">
        <v>1246</v>
      </c>
      <c r="N148" s="744" t="s">
        <v>2176</v>
      </c>
      <c r="O148" s="322"/>
      <c r="P148" s="185"/>
      <c r="Q148" s="430"/>
      <c r="R148" s="616" t="s">
        <v>2175</v>
      </c>
      <c r="S148" s="616" t="s">
        <v>1373</v>
      </c>
      <c r="U148" s="481" t="s">
        <v>466</v>
      </c>
      <c r="V148" s="481" t="s">
        <v>3742</v>
      </c>
      <c r="X148" s="481"/>
      <c r="Y148" s="481"/>
      <c r="AA148" s="1486"/>
    </row>
    <row r="149" spans="3:27" ht="10.5" customHeight="1">
      <c r="C149" s="416" t="s">
        <v>1368</v>
      </c>
      <c r="D149" s="497">
        <v>53600</v>
      </c>
      <c r="E149" s="312"/>
      <c r="F149" s="312" t="s">
        <v>885</v>
      </c>
      <c r="G149" s="430" t="s">
        <v>1371</v>
      </c>
      <c r="H149" s="430" t="s">
        <v>1264</v>
      </c>
      <c r="I149" s="743" t="s">
        <v>1372</v>
      </c>
      <c r="J149" s="743" t="s">
        <v>2712</v>
      </c>
      <c r="K149" s="751" t="s">
        <v>2677</v>
      </c>
      <c r="L149" s="752" t="s">
        <v>438</v>
      </c>
      <c r="M149" s="753" t="s">
        <v>2699</v>
      </c>
      <c r="N149" s="744" t="s">
        <v>2047</v>
      </c>
      <c r="O149" s="679"/>
      <c r="P149" s="185"/>
      <c r="Q149" s="430"/>
      <c r="R149" s="616" t="s">
        <v>1858</v>
      </c>
      <c r="S149" s="616" t="s">
        <v>996</v>
      </c>
      <c r="U149" s="481" t="s">
        <v>1928</v>
      </c>
      <c r="V149" s="481" t="s">
        <v>3742</v>
      </c>
      <c r="X149" s="481"/>
      <c r="Y149" s="481"/>
      <c r="AA149" s="1486"/>
    </row>
    <row r="150" spans="3:27" ht="10.5" customHeight="1">
      <c r="C150" s="417" t="s">
        <v>1083</v>
      </c>
      <c r="D150" s="497">
        <v>38600</v>
      </c>
      <c r="E150" s="312"/>
      <c r="F150" s="312" t="s">
        <v>886</v>
      </c>
      <c r="G150" s="430" t="s">
        <v>1373</v>
      </c>
      <c r="H150" s="430" t="s">
        <v>1264</v>
      </c>
      <c r="I150" s="743" t="s">
        <v>1374</v>
      </c>
      <c r="J150" s="743" t="s">
        <v>2712</v>
      </c>
      <c r="K150" s="751" t="s">
        <v>2678</v>
      </c>
      <c r="L150" s="752" t="s">
        <v>438</v>
      </c>
      <c r="M150" s="753" t="s">
        <v>2699</v>
      </c>
      <c r="N150" s="744" t="s">
        <v>186</v>
      </c>
      <c r="O150" s="679"/>
      <c r="P150" s="312"/>
      <c r="Q150" s="430"/>
      <c r="R150" s="616" t="s">
        <v>2048</v>
      </c>
      <c r="S150" s="616" t="s">
        <v>446</v>
      </c>
      <c r="U150" s="481" t="s">
        <v>2648</v>
      </c>
      <c r="V150" s="481" t="s">
        <v>3742</v>
      </c>
      <c r="X150" s="481"/>
      <c r="Y150" s="481"/>
      <c r="AA150" s="1486"/>
    </row>
    <row r="151" spans="3:27" ht="10.5" customHeight="1">
      <c r="C151" s="417" t="s">
        <v>1374</v>
      </c>
      <c r="D151" s="497">
        <v>42700</v>
      </c>
      <c r="E151" s="312"/>
      <c r="F151" s="312" t="s">
        <v>887</v>
      </c>
      <c r="G151" s="430" t="s">
        <v>1375</v>
      </c>
      <c r="H151" s="430" t="s">
        <v>1391</v>
      </c>
      <c r="I151" s="745" t="s">
        <v>1376</v>
      </c>
      <c r="J151" s="745" t="s">
        <v>2713</v>
      </c>
      <c r="K151" s="751" t="s">
        <v>2679</v>
      </c>
      <c r="L151" s="752" t="s">
        <v>439</v>
      </c>
      <c r="M151" s="753" t="s">
        <v>1246</v>
      </c>
      <c r="N151" s="744" t="s">
        <v>188</v>
      </c>
      <c r="O151" s="679"/>
      <c r="P151" s="185"/>
      <c r="Q151" s="430"/>
      <c r="R151" s="616" t="s">
        <v>187</v>
      </c>
      <c r="S151" s="616" t="s">
        <v>1520</v>
      </c>
      <c r="U151" s="481" t="s">
        <v>2654</v>
      </c>
      <c r="V151" s="481" t="s">
        <v>3742</v>
      </c>
      <c r="X151" s="481"/>
      <c r="Y151" s="481"/>
      <c r="AA151" s="1486"/>
    </row>
    <row r="152" spans="3:27" ht="10.5" customHeight="1">
      <c r="C152" s="417" t="s">
        <v>1378</v>
      </c>
      <c r="D152" s="497">
        <v>58800</v>
      </c>
      <c r="E152" s="312"/>
      <c r="F152" s="312" t="s">
        <v>888</v>
      </c>
      <c r="G152" s="430" t="s">
        <v>1377</v>
      </c>
      <c r="H152" s="430" t="s">
        <v>1264</v>
      </c>
      <c r="I152" s="745" t="s">
        <v>1378</v>
      </c>
      <c r="J152" s="745" t="s">
        <v>2712</v>
      </c>
      <c r="K152" s="751" t="s">
        <v>2680</v>
      </c>
      <c r="L152" s="752" t="s">
        <v>438</v>
      </c>
      <c r="M152" s="753" t="s">
        <v>2699</v>
      </c>
      <c r="N152" s="744" t="s">
        <v>463</v>
      </c>
      <c r="O152" s="322"/>
      <c r="P152" s="185"/>
      <c r="Q152" s="430"/>
      <c r="R152" s="616" t="s">
        <v>189</v>
      </c>
      <c r="S152" s="616" t="s">
        <v>2495</v>
      </c>
      <c r="U152" s="481" t="s">
        <v>2659</v>
      </c>
      <c r="V152" s="481" t="s">
        <v>3742</v>
      </c>
      <c r="X152" s="481"/>
      <c r="Y152" s="481"/>
      <c r="AA152" s="1486"/>
    </row>
    <row r="153" spans="3:27" ht="10.5" customHeight="1">
      <c r="C153" s="416" t="s">
        <v>12</v>
      </c>
      <c r="D153" s="497">
        <v>55300</v>
      </c>
      <c r="E153" s="312"/>
      <c r="F153" s="312" t="s">
        <v>889</v>
      </c>
      <c r="G153" s="430" t="s">
        <v>1379</v>
      </c>
      <c r="H153" s="430" t="s">
        <v>1264</v>
      </c>
      <c r="I153" s="743" t="s">
        <v>12</v>
      </c>
      <c r="J153" s="743" t="s">
        <v>2713</v>
      </c>
      <c r="K153" s="751" t="s">
        <v>2681</v>
      </c>
      <c r="L153" s="752" t="s">
        <v>439</v>
      </c>
      <c r="M153" s="753" t="s">
        <v>1246</v>
      </c>
      <c r="N153" s="744" t="s">
        <v>465</v>
      </c>
      <c r="O153" s="322"/>
      <c r="P153" s="185"/>
      <c r="Q153" s="430"/>
      <c r="R153" s="616" t="s">
        <v>464</v>
      </c>
      <c r="S153" s="616" t="s">
        <v>1855</v>
      </c>
      <c r="U153" s="481" t="s">
        <v>172</v>
      </c>
      <c r="V153" s="481" t="s">
        <v>3742</v>
      </c>
      <c r="X153" s="481"/>
      <c r="Y153" s="481"/>
      <c r="AA153" s="1486"/>
    </row>
    <row r="154" spans="3:27" ht="10.5" customHeight="1">
      <c r="C154" s="417" t="s">
        <v>1384</v>
      </c>
      <c r="D154" s="497">
        <v>51700</v>
      </c>
      <c r="E154" s="312"/>
      <c r="F154" s="312" t="s">
        <v>890</v>
      </c>
      <c r="G154" s="430" t="s">
        <v>1380</v>
      </c>
      <c r="H154" s="430" t="s">
        <v>1264</v>
      </c>
      <c r="I154" s="743" t="s">
        <v>1770</v>
      </c>
      <c r="J154" s="743" t="s">
        <v>2713</v>
      </c>
      <c r="K154" s="751" t="s">
        <v>2682</v>
      </c>
      <c r="L154" s="752" t="s">
        <v>439</v>
      </c>
      <c r="M154" s="753" t="s">
        <v>1246</v>
      </c>
      <c r="N154" s="744" t="s">
        <v>467</v>
      </c>
      <c r="O154" s="322"/>
      <c r="P154" s="185"/>
      <c r="Q154" s="430"/>
      <c r="R154" s="616" t="s">
        <v>466</v>
      </c>
      <c r="S154" s="616" t="s">
        <v>1259</v>
      </c>
      <c r="U154" s="481" t="s">
        <v>1258</v>
      </c>
      <c r="V154" s="481" t="s">
        <v>3742</v>
      </c>
      <c r="X154" s="481"/>
      <c r="Y154" s="481"/>
      <c r="AA154" s="1486"/>
    </row>
    <row r="155" spans="3:27" ht="10.5" customHeight="1">
      <c r="C155" s="416" t="s">
        <v>1081</v>
      </c>
      <c r="D155" s="497">
        <v>64700</v>
      </c>
      <c r="E155" s="312"/>
      <c r="F155" s="312" t="s">
        <v>891</v>
      </c>
      <c r="G155" s="430" t="s">
        <v>1381</v>
      </c>
      <c r="H155" s="430" t="s">
        <v>1264</v>
      </c>
      <c r="I155" s="745" t="s">
        <v>1382</v>
      </c>
      <c r="J155" s="745" t="s">
        <v>2713</v>
      </c>
      <c r="K155" s="751" t="s">
        <v>1527</v>
      </c>
      <c r="L155" s="752" t="s">
        <v>439</v>
      </c>
      <c r="M155" s="753" t="s">
        <v>1246</v>
      </c>
      <c r="N155" s="744" t="s">
        <v>469</v>
      </c>
      <c r="O155" s="322"/>
      <c r="P155" s="185"/>
      <c r="Q155" s="430"/>
      <c r="R155" s="616" t="s">
        <v>468</v>
      </c>
      <c r="S155" s="616" t="s">
        <v>190</v>
      </c>
      <c r="U155" s="481" t="s">
        <v>2159</v>
      </c>
      <c r="V155" s="481" t="s">
        <v>3742</v>
      </c>
      <c r="X155" s="481"/>
      <c r="Y155" s="481"/>
      <c r="AA155" s="1486"/>
    </row>
    <row r="156" spans="3:27" ht="10.5" customHeight="1">
      <c r="C156" s="417" t="s">
        <v>1389</v>
      </c>
      <c r="D156" s="497">
        <v>46300</v>
      </c>
      <c r="E156" s="312"/>
      <c r="F156" s="312" t="s">
        <v>892</v>
      </c>
      <c r="G156" s="430" t="s">
        <v>1383</v>
      </c>
      <c r="H156" s="430" t="s">
        <v>1264</v>
      </c>
      <c r="I156" s="745" t="s">
        <v>1384</v>
      </c>
      <c r="J156" s="745" t="s">
        <v>2712</v>
      </c>
      <c r="K156" s="751" t="s">
        <v>2697</v>
      </c>
      <c r="L156" s="752" t="s">
        <v>438</v>
      </c>
      <c r="M156" s="753" t="s">
        <v>2699</v>
      </c>
      <c r="N156" s="744" t="s">
        <v>2353</v>
      </c>
      <c r="O156" s="322"/>
      <c r="P156" s="185"/>
      <c r="Q156" s="430"/>
      <c r="R156" s="616" t="s">
        <v>470</v>
      </c>
      <c r="S156" s="616" t="s">
        <v>124</v>
      </c>
      <c r="U156" s="481" t="s">
        <v>1386</v>
      </c>
      <c r="V156" s="481" t="s">
        <v>3742</v>
      </c>
      <c r="X156" s="481"/>
      <c r="Y156" s="481"/>
      <c r="AA156" s="1486"/>
    </row>
    <row r="157" spans="3:27" ht="10.5" customHeight="1">
      <c r="C157" s="417" t="s">
        <v>767</v>
      </c>
      <c r="D157" s="497">
        <v>65400</v>
      </c>
      <c r="E157" s="312"/>
      <c r="F157" s="312" t="s">
        <v>893</v>
      </c>
      <c r="G157" s="430" t="s">
        <v>1385</v>
      </c>
      <c r="H157" s="430" t="s">
        <v>1391</v>
      </c>
      <c r="I157" s="745" t="s">
        <v>803</v>
      </c>
      <c r="J157" s="745" t="s">
        <v>2713</v>
      </c>
      <c r="K157" s="751" t="s">
        <v>2698</v>
      </c>
      <c r="L157" s="752" t="s">
        <v>439</v>
      </c>
      <c r="M157" s="753" t="s">
        <v>1246</v>
      </c>
      <c r="N157" s="744" t="s">
        <v>2355</v>
      </c>
      <c r="O157" s="322"/>
      <c r="P157" s="185"/>
      <c r="Q157" s="430"/>
      <c r="R157" s="616" t="s">
        <v>2354</v>
      </c>
      <c r="S157" s="616" t="s">
        <v>2585</v>
      </c>
      <c r="U157" s="481" t="s">
        <v>2162</v>
      </c>
      <c r="V157" s="481" t="s">
        <v>3742</v>
      </c>
      <c r="X157" s="481"/>
      <c r="Y157" s="481"/>
      <c r="AA157" s="1486"/>
    </row>
    <row r="158" spans="3:27" ht="10.5" customHeight="1">
      <c r="C158" s="417" t="s">
        <v>769</v>
      </c>
      <c r="D158" s="497">
        <v>41900</v>
      </c>
      <c r="E158" s="312"/>
      <c r="F158" s="312" t="s">
        <v>894</v>
      </c>
      <c r="G158" s="430" t="s">
        <v>1387</v>
      </c>
      <c r="H158" s="430" t="s">
        <v>1391</v>
      </c>
      <c r="I158" s="745" t="s">
        <v>1081</v>
      </c>
      <c r="J158" s="745" t="s">
        <v>2713</v>
      </c>
      <c r="K158" s="751" t="s">
        <v>1311</v>
      </c>
      <c r="L158" s="752" t="s">
        <v>439</v>
      </c>
      <c r="M158" s="753" t="s">
        <v>1246</v>
      </c>
      <c r="N158" s="744" t="s">
        <v>383</v>
      </c>
      <c r="O158" s="322"/>
      <c r="P158" s="185"/>
      <c r="Q158" s="430"/>
      <c r="R158" s="616" t="s">
        <v>1928</v>
      </c>
      <c r="S158" s="616" t="s">
        <v>2266</v>
      </c>
      <c r="U158" s="481" t="s">
        <v>2195</v>
      </c>
      <c r="V158" s="481" t="s">
        <v>3742</v>
      </c>
      <c r="X158" s="481"/>
      <c r="Y158" s="481"/>
      <c r="AA158" s="1486"/>
    </row>
    <row r="159" spans="3:27" ht="10.5" customHeight="1">
      <c r="C159" s="416" t="s">
        <v>164</v>
      </c>
      <c r="D159" s="497">
        <v>51000</v>
      </c>
      <c r="E159" s="312"/>
      <c r="F159" s="312" t="s">
        <v>895</v>
      </c>
      <c r="G159" s="430" t="s">
        <v>1388</v>
      </c>
      <c r="H159" s="430" t="s">
        <v>1264</v>
      </c>
      <c r="I159" s="743" t="s">
        <v>1389</v>
      </c>
      <c r="J159" s="743" t="s">
        <v>2712</v>
      </c>
      <c r="K159" s="751" t="s">
        <v>1312</v>
      </c>
      <c r="L159" s="752" t="s">
        <v>438</v>
      </c>
      <c r="M159" s="753" t="s">
        <v>2699</v>
      </c>
      <c r="N159" s="744" t="s">
        <v>385</v>
      </c>
      <c r="O159" s="322"/>
      <c r="P159" s="185"/>
      <c r="Q159" s="430"/>
      <c r="R159" s="616" t="s">
        <v>384</v>
      </c>
      <c r="S159" s="616" t="s">
        <v>2266</v>
      </c>
      <c r="U159" s="481" t="s">
        <v>2199</v>
      </c>
      <c r="V159" s="481" t="s">
        <v>3742</v>
      </c>
      <c r="X159" s="481"/>
      <c r="Y159" s="481"/>
      <c r="AA159" s="1486"/>
    </row>
    <row r="160" spans="3:27" ht="10.5" customHeight="1">
      <c r="C160" s="416" t="s">
        <v>1587</v>
      </c>
      <c r="D160" s="497">
        <v>59000</v>
      </c>
      <c r="E160" s="312"/>
      <c r="F160" s="312" t="s">
        <v>896</v>
      </c>
      <c r="G160" s="430" t="s">
        <v>1390</v>
      </c>
      <c r="H160" s="430" t="s">
        <v>1264</v>
      </c>
      <c r="I160" s="745" t="s">
        <v>767</v>
      </c>
      <c r="J160" s="745" t="s">
        <v>2712</v>
      </c>
      <c r="K160" s="751" t="s">
        <v>1313</v>
      </c>
      <c r="L160" s="752" t="s">
        <v>438</v>
      </c>
      <c r="M160" s="753" t="s">
        <v>2699</v>
      </c>
      <c r="N160" s="744" t="s">
        <v>2645</v>
      </c>
      <c r="O160" s="322"/>
      <c r="P160" s="185"/>
      <c r="Q160" s="430"/>
      <c r="R160" s="616" t="s">
        <v>1263</v>
      </c>
      <c r="S160" s="616" t="s">
        <v>2628</v>
      </c>
      <c r="U160" s="481" t="s">
        <v>1859</v>
      </c>
      <c r="V160" s="481" t="s">
        <v>3742</v>
      </c>
      <c r="X160" s="481"/>
      <c r="Y160" s="481"/>
      <c r="AA160" s="1486"/>
    </row>
    <row r="161" spans="3:27" ht="10.5" customHeight="1">
      <c r="C161" s="416" t="s">
        <v>169</v>
      </c>
      <c r="D161" s="497">
        <v>43000</v>
      </c>
      <c r="E161" s="312"/>
      <c r="F161" s="312" t="s">
        <v>897</v>
      </c>
      <c r="G161" s="430" t="s">
        <v>768</v>
      </c>
      <c r="H161" s="430" t="s">
        <v>1264</v>
      </c>
      <c r="I161" s="743" t="s">
        <v>769</v>
      </c>
      <c r="J161" s="743" t="s">
        <v>2712</v>
      </c>
      <c r="K161" s="751" t="s">
        <v>1785</v>
      </c>
      <c r="L161" s="752" t="s">
        <v>438</v>
      </c>
      <c r="M161" s="753" t="s">
        <v>2699</v>
      </c>
      <c r="N161" s="744" t="s">
        <v>2647</v>
      </c>
      <c r="O161" s="322"/>
      <c r="P161" s="185"/>
      <c r="Q161" s="430"/>
      <c r="R161" s="616" t="s">
        <v>2646</v>
      </c>
      <c r="S161" s="616" t="s">
        <v>2633</v>
      </c>
      <c r="U161" s="481" t="s">
        <v>1050</v>
      </c>
      <c r="V161" s="481" t="s">
        <v>3742</v>
      </c>
      <c r="X161" s="481"/>
      <c r="Y161" s="481"/>
      <c r="AA161" s="1486"/>
    </row>
    <row r="162" spans="3:27" ht="10.5" customHeight="1">
      <c r="C162" s="416" t="s">
        <v>2580</v>
      </c>
      <c r="D162" s="497">
        <v>29400</v>
      </c>
      <c r="E162" s="312"/>
      <c r="F162" s="312" t="s">
        <v>898</v>
      </c>
      <c r="G162" s="430" t="s">
        <v>770</v>
      </c>
      <c r="H162" s="430" t="s">
        <v>1391</v>
      </c>
      <c r="I162" s="745" t="s">
        <v>802</v>
      </c>
      <c r="J162" s="745" t="s">
        <v>2713</v>
      </c>
      <c r="K162" s="751" t="s">
        <v>2676</v>
      </c>
      <c r="L162" s="752" t="s">
        <v>439</v>
      </c>
      <c r="M162" s="753" t="s">
        <v>1246</v>
      </c>
      <c r="N162" s="744" t="s">
        <v>2649</v>
      </c>
      <c r="O162" s="322"/>
      <c r="P162" s="185"/>
      <c r="Q162" s="430"/>
      <c r="R162" s="616" t="s">
        <v>2648</v>
      </c>
      <c r="S162" s="616" t="s">
        <v>1142</v>
      </c>
      <c r="U162" s="481" t="s">
        <v>2542</v>
      </c>
      <c r="V162" s="481" t="s">
        <v>3742</v>
      </c>
      <c r="X162" s="481"/>
      <c r="Y162" s="481"/>
      <c r="AA162" s="1486"/>
    </row>
    <row r="163" spans="3:27" ht="10.5" customHeight="1">
      <c r="C163" s="417" t="s">
        <v>2583</v>
      </c>
      <c r="D163" s="497">
        <v>47100</v>
      </c>
      <c r="E163" s="312"/>
      <c r="F163" s="312" t="s">
        <v>899</v>
      </c>
      <c r="G163" s="430" t="s">
        <v>1586</v>
      </c>
      <c r="H163" s="430" t="s">
        <v>1367</v>
      </c>
      <c r="I163" s="745" t="s">
        <v>1587</v>
      </c>
      <c r="J163" s="745" t="s">
        <v>2713</v>
      </c>
      <c r="K163" s="751" t="s">
        <v>1754</v>
      </c>
      <c r="L163" s="752" t="s">
        <v>439</v>
      </c>
      <c r="M163" s="753" t="s">
        <v>1246</v>
      </c>
      <c r="N163" s="744" t="s">
        <v>2651</v>
      </c>
      <c r="O163" s="322"/>
      <c r="P163" s="185"/>
      <c r="Q163" s="430"/>
      <c r="R163" s="616" t="s">
        <v>2650</v>
      </c>
      <c r="S163" s="616" t="s">
        <v>337</v>
      </c>
      <c r="U163" s="481" t="s">
        <v>2544</v>
      </c>
      <c r="V163" s="481" t="s">
        <v>3742</v>
      </c>
      <c r="X163" s="481"/>
      <c r="Y163" s="481"/>
      <c r="AA163" s="1486"/>
    </row>
    <row r="164" spans="3:27" ht="10.5" customHeight="1">
      <c r="C164" s="417" t="s">
        <v>2586</v>
      </c>
      <c r="D164" s="497">
        <v>42900</v>
      </c>
      <c r="E164" s="312"/>
      <c r="F164" s="312" t="s">
        <v>900</v>
      </c>
      <c r="G164" s="430" t="s">
        <v>163</v>
      </c>
      <c r="H164" s="430" t="s">
        <v>1264</v>
      </c>
      <c r="I164" s="743" t="s">
        <v>164</v>
      </c>
      <c r="J164" s="743" t="s">
        <v>2712</v>
      </c>
      <c r="K164" s="751" t="s">
        <v>1755</v>
      </c>
      <c r="L164" s="752" t="s">
        <v>438</v>
      </c>
      <c r="M164" s="753" t="s">
        <v>2699</v>
      </c>
      <c r="N164" s="744" t="s">
        <v>2653</v>
      </c>
      <c r="O164" s="322"/>
      <c r="P164" s="185"/>
      <c r="Q164" s="430"/>
      <c r="R164" s="616" t="s">
        <v>2652</v>
      </c>
      <c r="S164" s="616" t="s">
        <v>2582</v>
      </c>
      <c r="U164" s="481" t="s">
        <v>2546</v>
      </c>
      <c r="V164" s="481" t="s">
        <v>3742</v>
      </c>
      <c r="X164" s="481"/>
      <c r="Y164" s="481"/>
      <c r="AA164" s="1486"/>
    </row>
    <row r="165" spans="3:27" ht="10.5" customHeight="1">
      <c r="C165" s="417" t="s">
        <v>2627</v>
      </c>
      <c r="D165" s="497">
        <v>43700</v>
      </c>
      <c r="E165" s="312"/>
      <c r="F165" s="312" t="s">
        <v>901</v>
      </c>
      <c r="G165" s="430" t="s">
        <v>165</v>
      </c>
      <c r="H165" s="430" t="s">
        <v>1264</v>
      </c>
      <c r="I165" s="745" t="s">
        <v>1382</v>
      </c>
      <c r="J165" s="745" t="s">
        <v>2713</v>
      </c>
      <c r="K165" s="751" t="s">
        <v>1527</v>
      </c>
      <c r="L165" s="752" t="s">
        <v>439</v>
      </c>
      <c r="M165" s="753" t="s">
        <v>1246</v>
      </c>
      <c r="N165" s="744" t="s">
        <v>2655</v>
      </c>
      <c r="O165" s="322"/>
      <c r="P165" s="185"/>
      <c r="Q165" s="430"/>
      <c r="R165" s="616" t="s">
        <v>2654</v>
      </c>
      <c r="S165" s="616" t="s">
        <v>1388</v>
      </c>
      <c r="U165" s="481" t="s">
        <v>2549</v>
      </c>
      <c r="V165" s="481" t="s">
        <v>3742</v>
      </c>
      <c r="X165" s="481"/>
      <c r="Y165" s="481"/>
      <c r="AA165" s="1486"/>
    </row>
    <row r="166" spans="3:27" ht="10.5" customHeight="1">
      <c r="C166" s="416" t="s">
        <v>167</v>
      </c>
      <c r="D166" s="497">
        <v>58200</v>
      </c>
      <c r="E166" s="312"/>
      <c r="F166" s="312" t="s">
        <v>1398</v>
      </c>
      <c r="G166" s="430" t="s">
        <v>166</v>
      </c>
      <c r="H166" s="430" t="s">
        <v>1391</v>
      </c>
      <c r="I166" s="745" t="s">
        <v>167</v>
      </c>
      <c r="J166" s="745" t="s">
        <v>2713</v>
      </c>
      <c r="K166" s="751" t="s">
        <v>1756</v>
      </c>
      <c r="L166" s="752" t="s">
        <v>439</v>
      </c>
      <c r="M166" s="753" t="s">
        <v>1246</v>
      </c>
      <c r="N166" s="744" t="s">
        <v>2656</v>
      </c>
      <c r="O166" s="322"/>
      <c r="P166" s="185"/>
      <c r="Q166" s="430"/>
      <c r="R166" s="616" t="s">
        <v>2657</v>
      </c>
      <c r="S166" s="616" t="s">
        <v>2691</v>
      </c>
      <c r="U166" s="481" t="s">
        <v>2321</v>
      </c>
      <c r="V166" s="481" t="s">
        <v>3742</v>
      </c>
      <c r="X166" s="481"/>
      <c r="Y166" s="481"/>
      <c r="AA166" s="1486"/>
    </row>
    <row r="167" spans="3:27" ht="10.5" customHeight="1">
      <c r="C167" s="417" t="s">
        <v>2630</v>
      </c>
      <c r="D167" s="497">
        <v>50300</v>
      </c>
      <c r="E167" s="312"/>
      <c r="F167" s="312" t="s">
        <v>1399</v>
      </c>
      <c r="G167" s="430" t="s">
        <v>168</v>
      </c>
      <c r="H167" s="430" t="s">
        <v>1367</v>
      </c>
      <c r="I167" s="743" t="s">
        <v>169</v>
      </c>
      <c r="J167" s="743" t="s">
        <v>2712</v>
      </c>
      <c r="K167" s="751" t="s">
        <v>1757</v>
      </c>
      <c r="L167" s="752" t="s">
        <v>438</v>
      </c>
      <c r="M167" s="753" t="s">
        <v>2699</v>
      </c>
      <c r="N167" s="744" t="s">
        <v>2658</v>
      </c>
      <c r="O167" s="322"/>
      <c r="P167" s="185"/>
      <c r="Q167" s="430"/>
      <c r="R167" s="616" t="s">
        <v>2659</v>
      </c>
      <c r="S167" s="616" t="s">
        <v>2001</v>
      </c>
      <c r="U167" s="481" t="s">
        <v>2423</v>
      </c>
      <c r="V167" s="481" t="s">
        <v>3742</v>
      </c>
      <c r="X167" s="481"/>
      <c r="Y167" s="481"/>
      <c r="AA167" s="1486"/>
    </row>
    <row r="168" spans="3:27" ht="10.5" customHeight="1">
      <c r="C168" s="417" t="s">
        <v>200</v>
      </c>
      <c r="D168" s="497">
        <v>44600</v>
      </c>
      <c r="E168" s="312"/>
      <c r="F168" s="312" t="s">
        <v>1400</v>
      </c>
      <c r="G168" s="430" t="s">
        <v>170</v>
      </c>
      <c r="H168" s="430" t="s">
        <v>1367</v>
      </c>
      <c r="I168" s="745" t="s">
        <v>802</v>
      </c>
      <c r="J168" s="745" t="s">
        <v>2713</v>
      </c>
      <c r="K168" s="751" t="s">
        <v>2676</v>
      </c>
      <c r="L168" s="752" t="s">
        <v>439</v>
      </c>
      <c r="M168" s="753" t="s">
        <v>1246</v>
      </c>
      <c r="N168" s="744" t="s">
        <v>432</v>
      </c>
      <c r="O168" s="322"/>
      <c r="P168" s="185"/>
      <c r="Q168" s="430"/>
      <c r="R168" s="616" t="s">
        <v>172</v>
      </c>
      <c r="S168" s="616" t="s">
        <v>171</v>
      </c>
      <c r="U168" s="481" t="s">
        <v>319</v>
      </c>
      <c r="V168" s="481" t="s">
        <v>3742</v>
      </c>
      <c r="X168" s="481"/>
      <c r="Y168" s="481"/>
      <c r="AA168" s="1486"/>
    </row>
    <row r="169" spans="3:27" ht="10.5" customHeight="1">
      <c r="C169" s="417" t="s">
        <v>349</v>
      </c>
      <c r="D169" s="497">
        <v>43600</v>
      </c>
      <c r="E169" s="312"/>
      <c r="F169" s="312" t="s">
        <v>1401</v>
      </c>
      <c r="G169" s="430" t="s">
        <v>171</v>
      </c>
      <c r="H169" s="430" t="s">
        <v>1391</v>
      </c>
      <c r="I169" s="743" t="s">
        <v>2131</v>
      </c>
      <c r="J169" s="743" t="s">
        <v>2713</v>
      </c>
      <c r="K169" s="751" t="s">
        <v>650</v>
      </c>
      <c r="L169" s="752" t="s">
        <v>439</v>
      </c>
      <c r="M169" s="754" t="s">
        <v>1246</v>
      </c>
      <c r="N169" s="744" t="s">
        <v>433</v>
      </c>
      <c r="O169" s="322"/>
      <c r="P169" s="312"/>
      <c r="Q169" s="430"/>
      <c r="R169" s="616" t="s">
        <v>1258</v>
      </c>
      <c r="S169" s="616" t="s">
        <v>1259</v>
      </c>
      <c r="U169" s="481" t="s">
        <v>12</v>
      </c>
      <c r="V169" s="481" t="s">
        <v>3742</v>
      </c>
      <c r="X169" s="481"/>
      <c r="Y169" s="481"/>
      <c r="AA169" s="1486"/>
    </row>
    <row r="170" spans="3:27" ht="10.5" customHeight="1">
      <c r="C170" s="416" t="s">
        <v>204</v>
      </c>
      <c r="D170" s="497">
        <v>43300</v>
      </c>
      <c r="E170" s="312"/>
      <c r="F170" s="312" t="s">
        <v>1402</v>
      </c>
      <c r="G170" s="430" t="s">
        <v>2579</v>
      </c>
      <c r="H170" s="430" t="s">
        <v>1264</v>
      </c>
      <c r="I170" s="743" t="s">
        <v>2580</v>
      </c>
      <c r="J170" s="743" t="s">
        <v>2712</v>
      </c>
      <c r="K170" s="751" t="s">
        <v>651</v>
      </c>
      <c r="L170" s="752" t="s">
        <v>438</v>
      </c>
      <c r="M170" s="754" t="s">
        <v>2699</v>
      </c>
      <c r="N170" s="744" t="s">
        <v>816</v>
      </c>
      <c r="O170" s="679"/>
      <c r="P170" s="185"/>
      <c r="Q170" s="430"/>
      <c r="R170" s="616" t="s">
        <v>817</v>
      </c>
      <c r="S170" s="616" t="s">
        <v>203</v>
      </c>
      <c r="U170" s="481" t="s">
        <v>14</v>
      </c>
      <c r="V170" s="481" t="s">
        <v>3742</v>
      </c>
      <c r="X170" s="481"/>
      <c r="Y170" s="481"/>
      <c r="AA170" s="1486"/>
    </row>
    <row r="171" spans="3:27" ht="10.5" customHeight="1">
      <c r="C171" s="416" t="s">
        <v>993</v>
      </c>
      <c r="D171" s="497">
        <v>47300</v>
      </c>
      <c r="E171" s="312"/>
      <c r="F171" s="312" t="s">
        <v>1403</v>
      </c>
      <c r="G171" s="430" t="s">
        <v>2581</v>
      </c>
      <c r="H171" s="430" t="s">
        <v>1391</v>
      </c>
      <c r="I171" s="745" t="s">
        <v>802</v>
      </c>
      <c r="J171" s="745" t="s">
        <v>2713</v>
      </c>
      <c r="K171" s="751" t="s">
        <v>2676</v>
      </c>
      <c r="L171" s="752" t="s">
        <v>439</v>
      </c>
      <c r="M171" s="753" t="s">
        <v>1246</v>
      </c>
      <c r="N171" s="744" t="s">
        <v>818</v>
      </c>
      <c r="O171" s="679"/>
      <c r="P171" s="185"/>
      <c r="Q171" s="430"/>
      <c r="R171" s="616" t="s">
        <v>2159</v>
      </c>
      <c r="S171" s="616" t="s">
        <v>1369</v>
      </c>
      <c r="U171" s="481" t="s">
        <v>61</v>
      </c>
      <c r="V171" s="481" t="s">
        <v>3742</v>
      </c>
      <c r="X171" s="481"/>
      <c r="Y171" s="481"/>
      <c r="AA171" s="1486"/>
    </row>
    <row r="172" spans="3:27" ht="10.5" customHeight="1">
      <c r="C172" s="417" t="s">
        <v>995</v>
      </c>
      <c r="D172" s="497">
        <v>43600</v>
      </c>
      <c r="E172" s="312"/>
      <c r="F172" s="312" t="s">
        <v>1404</v>
      </c>
      <c r="G172" s="430" t="s">
        <v>2582</v>
      </c>
      <c r="H172" s="430" t="s">
        <v>1264</v>
      </c>
      <c r="I172" s="743" t="s">
        <v>2583</v>
      </c>
      <c r="J172" s="743" t="s">
        <v>2712</v>
      </c>
      <c r="K172" s="751" t="s">
        <v>652</v>
      </c>
      <c r="L172" s="752" t="s">
        <v>438</v>
      </c>
      <c r="M172" s="754" t="s">
        <v>2699</v>
      </c>
      <c r="N172" s="744" t="s">
        <v>2160</v>
      </c>
      <c r="O172" s="679"/>
      <c r="P172" s="185"/>
      <c r="Q172" s="430"/>
      <c r="R172" s="616" t="s">
        <v>1386</v>
      </c>
      <c r="S172" s="616" t="s">
        <v>1154</v>
      </c>
      <c r="U172" s="481" t="s">
        <v>63</v>
      </c>
      <c r="V172" s="481" t="s">
        <v>3742</v>
      </c>
      <c r="X172" s="481"/>
      <c r="Y172" s="481"/>
      <c r="AA172" s="1486"/>
    </row>
    <row r="173" spans="3:27" ht="10.5" customHeight="1">
      <c r="C173" s="416" t="s">
        <v>915</v>
      </c>
      <c r="D173" s="497">
        <v>44100</v>
      </c>
      <c r="E173" s="312"/>
      <c r="F173" s="312" t="s">
        <v>1405</v>
      </c>
      <c r="G173" s="430" t="s">
        <v>2584</v>
      </c>
      <c r="H173" s="430" t="s">
        <v>1367</v>
      </c>
      <c r="I173" s="745" t="s">
        <v>802</v>
      </c>
      <c r="J173" s="745" t="s">
        <v>2713</v>
      </c>
      <c r="K173" s="751" t="s">
        <v>2676</v>
      </c>
      <c r="L173" s="752" t="s">
        <v>439</v>
      </c>
      <c r="M173" s="753" t="s">
        <v>1246</v>
      </c>
      <c r="N173" s="744" t="s">
        <v>2161</v>
      </c>
      <c r="O173" s="679"/>
      <c r="P173" s="185"/>
      <c r="Q173" s="430"/>
      <c r="R173" s="616" t="s">
        <v>2162</v>
      </c>
      <c r="S173" s="616" t="s">
        <v>2584</v>
      </c>
      <c r="U173" s="481" t="s">
        <v>366</v>
      </c>
      <c r="V173" s="481" t="s">
        <v>3742</v>
      </c>
      <c r="X173" s="481"/>
      <c r="Y173" s="481"/>
      <c r="AA173" s="1486"/>
    </row>
    <row r="174" spans="3:27" ht="10.5" customHeight="1">
      <c r="C174" s="417" t="s">
        <v>919</v>
      </c>
      <c r="D174" s="497">
        <v>42700</v>
      </c>
      <c r="E174" s="312"/>
      <c r="F174" s="312" t="s">
        <v>1406</v>
      </c>
      <c r="G174" s="430" t="s">
        <v>2585</v>
      </c>
      <c r="H174" s="430" t="s">
        <v>1264</v>
      </c>
      <c r="I174" s="743" t="s">
        <v>2586</v>
      </c>
      <c r="J174" s="743" t="s">
        <v>2712</v>
      </c>
      <c r="K174" s="751" t="s">
        <v>653</v>
      </c>
      <c r="L174" s="752" t="s">
        <v>438</v>
      </c>
      <c r="M174" s="754" t="s">
        <v>2699</v>
      </c>
      <c r="N174" s="744" t="s">
        <v>2163</v>
      </c>
      <c r="O174" s="679"/>
      <c r="P174" s="185"/>
      <c r="Q174" s="430"/>
      <c r="R174" s="616" t="s">
        <v>2085</v>
      </c>
      <c r="S174" s="616" t="s">
        <v>2262</v>
      </c>
      <c r="U174" s="481" t="s">
        <v>370</v>
      </c>
      <c r="V174" s="481" t="s">
        <v>3742</v>
      </c>
      <c r="X174" s="481"/>
      <c r="Y174" s="481"/>
      <c r="AA174" s="1486"/>
    </row>
    <row r="175" spans="3:27" ht="10.5" customHeight="1">
      <c r="C175" s="417" t="s">
        <v>2334</v>
      </c>
      <c r="D175" s="497">
        <v>39100</v>
      </c>
      <c r="E175" s="312"/>
      <c r="F175" s="312" t="s">
        <v>1407</v>
      </c>
      <c r="G175" s="430" t="s">
        <v>2587</v>
      </c>
      <c r="H175" s="430" t="s">
        <v>1264</v>
      </c>
      <c r="I175" s="743" t="s">
        <v>2627</v>
      </c>
      <c r="J175" s="743" t="s">
        <v>2712</v>
      </c>
      <c r="K175" s="751" t="s">
        <v>654</v>
      </c>
      <c r="L175" s="752" t="s">
        <v>438</v>
      </c>
      <c r="M175" s="754" t="s">
        <v>2699</v>
      </c>
      <c r="N175" s="744" t="s">
        <v>2194</v>
      </c>
      <c r="O175" s="679"/>
      <c r="P175" s="185"/>
      <c r="Q175" s="430"/>
      <c r="R175" s="616" t="s">
        <v>2164</v>
      </c>
      <c r="S175" s="616" t="s">
        <v>342</v>
      </c>
      <c r="U175" s="481" t="s">
        <v>2381</v>
      </c>
      <c r="V175" s="481" t="s">
        <v>3742</v>
      </c>
      <c r="X175" s="481"/>
      <c r="Y175" s="481"/>
      <c r="AA175" s="1486"/>
    </row>
    <row r="176" spans="3:27" ht="10.5" customHeight="1">
      <c r="C176" s="417" t="s">
        <v>687</v>
      </c>
      <c r="D176" s="497">
        <v>48100</v>
      </c>
      <c r="E176" s="312"/>
      <c r="F176" s="312" t="s">
        <v>1408</v>
      </c>
      <c r="G176" s="430" t="s">
        <v>2628</v>
      </c>
      <c r="H176" s="430" t="s">
        <v>1391</v>
      </c>
      <c r="I176" s="745" t="s">
        <v>803</v>
      </c>
      <c r="J176" s="745" t="s">
        <v>2713</v>
      </c>
      <c r="K176" s="751" t="s">
        <v>2698</v>
      </c>
      <c r="L176" s="752" t="s">
        <v>439</v>
      </c>
      <c r="M176" s="753" t="s">
        <v>1246</v>
      </c>
      <c r="N176" s="744" t="s">
        <v>2196</v>
      </c>
      <c r="O176" s="679"/>
      <c r="P176" s="185"/>
      <c r="Q176" s="430"/>
      <c r="R176" s="616" t="s">
        <v>2195</v>
      </c>
      <c r="S176" s="616" t="s">
        <v>658</v>
      </c>
      <c r="U176" s="481" t="s">
        <v>1388</v>
      </c>
      <c r="V176" s="481" t="s">
        <v>3742</v>
      </c>
      <c r="X176" s="481"/>
      <c r="Y176" s="481"/>
      <c r="AA176" s="1486"/>
    </row>
    <row r="177" spans="3:28" ht="10.5" customHeight="1">
      <c r="C177" s="417" t="s">
        <v>689</v>
      </c>
      <c r="D177" s="497">
        <v>44200</v>
      </c>
      <c r="E177" s="312"/>
      <c r="F177" s="312" t="s">
        <v>1409</v>
      </c>
      <c r="G177" s="430" t="s">
        <v>2629</v>
      </c>
      <c r="H177" s="430" t="s">
        <v>1264</v>
      </c>
      <c r="I177" s="743" t="s">
        <v>2630</v>
      </c>
      <c r="J177" s="743" t="s">
        <v>2712</v>
      </c>
      <c r="K177" s="751" t="s">
        <v>655</v>
      </c>
      <c r="L177" s="752" t="s">
        <v>438</v>
      </c>
      <c r="M177" s="754" t="s">
        <v>2699</v>
      </c>
      <c r="N177" s="744" t="s">
        <v>2198</v>
      </c>
      <c r="O177" s="679"/>
      <c r="P177" s="185"/>
      <c r="Q177" s="430"/>
      <c r="R177" s="616" t="s">
        <v>2197</v>
      </c>
      <c r="S177" s="616" t="s">
        <v>1702</v>
      </c>
      <c r="U177" s="481" t="s">
        <v>1627</v>
      </c>
      <c r="V177" s="481" t="s">
        <v>3742</v>
      </c>
      <c r="X177" s="481"/>
      <c r="Y177" s="481"/>
      <c r="AA177" s="1486"/>
    </row>
    <row r="178" spans="3:28" ht="10.5" customHeight="1">
      <c r="C178" s="417" t="s">
        <v>694</v>
      </c>
      <c r="D178" s="497">
        <v>46500</v>
      </c>
      <c r="E178" s="312"/>
      <c r="F178" s="312" t="s">
        <v>1410</v>
      </c>
      <c r="G178" s="430" t="s">
        <v>2631</v>
      </c>
      <c r="H178" s="430" t="s">
        <v>1391</v>
      </c>
      <c r="I178" s="745" t="s">
        <v>802</v>
      </c>
      <c r="J178" s="745" t="s">
        <v>2713</v>
      </c>
      <c r="K178" s="751" t="s">
        <v>2676</v>
      </c>
      <c r="L178" s="752" t="s">
        <v>439</v>
      </c>
      <c r="M178" s="753" t="s">
        <v>1246</v>
      </c>
      <c r="N178" s="744" t="s">
        <v>2200</v>
      </c>
      <c r="O178" s="679"/>
      <c r="P178" s="185"/>
      <c r="Q178" s="430"/>
      <c r="R178" s="616" t="s">
        <v>2199</v>
      </c>
      <c r="S178" s="616" t="s">
        <v>203</v>
      </c>
      <c r="U178" s="481" t="s">
        <v>1631</v>
      </c>
      <c r="V178" s="481" t="s">
        <v>3742</v>
      </c>
      <c r="X178" s="481"/>
      <c r="Y178" s="481"/>
      <c r="AA178" s="1486"/>
    </row>
    <row r="179" spans="3:28" ht="10.5" customHeight="1">
      <c r="C179" s="417" t="s">
        <v>1274</v>
      </c>
      <c r="D179" s="497">
        <v>60700</v>
      </c>
      <c r="E179" s="312"/>
      <c r="F179" s="312" t="s">
        <v>1411</v>
      </c>
      <c r="G179" s="430" t="s">
        <v>2632</v>
      </c>
      <c r="H179" s="430" t="s">
        <v>1391</v>
      </c>
      <c r="I179" s="745" t="s">
        <v>1376</v>
      </c>
      <c r="J179" s="745" t="s">
        <v>2713</v>
      </c>
      <c r="K179" s="751" t="s">
        <v>2679</v>
      </c>
      <c r="L179" s="752" t="s">
        <v>439</v>
      </c>
      <c r="M179" s="753" t="s">
        <v>1246</v>
      </c>
      <c r="N179" s="744" t="s">
        <v>2639</v>
      </c>
      <c r="O179" s="679"/>
      <c r="P179" s="185"/>
      <c r="Q179" s="430"/>
      <c r="R179" s="616" t="s">
        <v>1859</v>
      </c>
      <c r="S179" s="616" t="s">
        <v>124</v>
      </c>
      <c r="U179" s="481" t="s">
        <v>1821</v>
      </c>
      <c r="V179" s="481" t="s">
        <v>3742</v>
      </c>
      <c r="X179" s="481"/>
      <c r="Y179" s="481"/>
      <c r="AA179" s="1486"/>
    </row>
    <row r="180" spans="3:28" ht="10.5" customHeight="1">
      <c r="C180" s="417" t="s">
        <v>696</v>
      </c>
      <c r="D180" s="497">
        <v>45600</v>
      </c>
      <c r="E180" s="312"/>
      <c r="F180" s="312" t="s">
        <v>1412</v>
      </c>
      <c r="G180" s="430" t="s">
        <v>2633</v>
      </c>
      <c r="H180" s="430" t="s">
        <v>1264</v>
      </c>
      <c r="I180" s="743" t="s">
        <v>200</v>
      </c>
      <c r="J180" s="743" t="s">
        <v>2712</v>
      </c>
      <c r="K180" s="751" t="s">
        <v>656</v>
      </c>
      <c r="L180" s="752" t="s">
        <v>438</v>
      </c>
      <c r="M180" s="754" t="s">
        <v>2699</v>
      </c>
      <c r="N180" s="744" t="s">
        <v>1049</v>
      </c>
      <c r="O180" s="679"/>
      <c r="P180" s="185"/>
      <c r="Q180" s="430"/>
      <c r="R180" s="616" t="s">
        <v>2640</v>
      </c>
      <c r="S180" s="616" t="s">
        <v>170</v>
      </c>
      <c r="U180" s="481" t="s">
        <v>1066</v>
      </c>
      <c r="V180" s="481" t="s">
        <v>3742</v>
      </c>
      <c r="X180" s="481"/>
      <c r="Y180" s="481"/>
      <c r="AA180" s="1486"/>
    </row>
    <row r="181" spans="3:28" ht="10.5" customHeight="1">
      <c r="C181" s="417" t="s">
        <v>698</v>
      </c>
      <c r="D181" s="497">
        <v>51300</v>
      </c>
      <c r="E181" s="312"/>
      <c r="F181" s="312" t="s">
        <v>1413</v>
      </c>
      <c r="G181" s="430" t="s">
        <v>201</v>
      </c>
      <c r="H181" s="430" t="s">
        <v>1367</v>
      </c>
      <c r="I181" s="745" t="s">
        <v>1587</v>
      </c>
      <c r="J181" s="745" t="s">
        <v>2713</v>
      </c>
      <c r="K181" s="751" t="s">
        <v>1754</v>
      </c>
      <c r="L181" s="752" t="s">
        <v>439</v>
      </c>
      <c r="M181" s="753" t="s">
        <v>1246</v>
      </c>
      <c r="N181" s="744" t="s">
        <v>2088</v>
      </c>
      <c r="O181" s="679"/>
      <c r="P181" s="185"/>
      <c r="Q181" s="430"/>
      <c r="R181" s="616" t="s">
        <v>1050</v>
      </c>
      <c r="S181" s="616" t="s">
        <v>446</v>
      </c>
      <c r="U181" s="481" t="s">
        <v>1069</v>
      </c>
      <c r="V181" s="481" t="s">
        <v>3742</v>
      </c>
      <c r="X181" s="481"/>
      <c r="Y181" s="481"/>
      <c r="AA181" s="1486"/>
    </row>
    <row r="182" spans="3:28" ht="10.5" customHeight="1">
      <c r="C182" s="417" t="s">
        <v>701</v>
      </c>
      <c r="D182" s="497">
        <v>51300</v>
      </c>
      <c r="E182" s="312"/>
      <c r="F182" s="312" t="s">
        <v>1414</v>
      </c>
      <c r="G182" s="430" t="s">
        <v>202</v>
      </c>
      <c r="H182" s="430" t="s">
        <v>1367</v>
      </c>
      <c r="I182" s="745" t="s">
        <v>802</v>
      </c>
      <c r="J182" s="745" t="s">
        <v>2713</v>
      </c>
      <c r="K182" s="751" t="s">
        <v>2676</v>
      </c>
      <c r="L182" s="752" t="s">
        <v>439</v>
      </c>
      <c r="M182" s="753" t="s">
        <v>1246</v>
      </c>
      <c r="N182" s="744" t="s">
        <v>16</v>
      </c>
      <c r="O182" s="679"/>
      <c r="P182" s="185"/>
      <c r="Q182" s="430"/>
      <c r="R182" s="616" t="s">
        <v>1370</v>
      </c>
      <c r="S182" s="616" t="s">
        <v>342</v>
      </c>
      <c r="U182" s="481" t="s">
        <v>1834</v>
      </c>
      <c r="V182" s="481" t="s">
        <v>3742</v>
      </c>
      <c r="X182" s="481"/>
      <c r="Y182" s="481"/>
      <c r="AA182" s="1486"/>
    </row>
    <row r="183" spans="3:28" ht="10.5" customHeight="1">
      <c r="C183" s="417" t="s">
        <v>703</v>
      </c>
      <c r="D183" s="497">
        <v>41100</v>
      </c>
      <c r="E183" s="312"/>
      <c r="F183" s="312" t="s">
        <v>1415</v>
      </c>
      <c r="G183" s="430" t="s">
        <v>203</v>
      </c>
      <c r="H183" s="430" t="s">
        <v>1264</v>
      </c>
      <c r="I183" s="743" t="s">
        <v>204</v>
      </c>
      <c r="J183" s="743" t="s">
        <v>2712</v>
      </c>
      <c r="K183" s="751" t="s">
        <v>657</v>
      </c>
      <c r="L183" s="752" t="s">
        <v>438</v>
      </c>
      <c r="M183" s="754" t="s">
        <v>2699</v>
      </c>
      <c r="N183" s="744" t="s">
        <v>2326</v>
      </c>
      <c r="O183" s="679"/>
      <c r="P183" s="185"/>
      <c r="Q183" s="430"/>
      <c r="R183" s="616" t="s">
        <v>17</v>
      </c>
      <c r="S183" s="616" t="s">
        <v>1735</v>
      </c>
      <c r="U183" s="481" t="s">
        <v>2152</v>
      </c>
      <c r="V183" s="481" t="s">
        <v>3742</v>
      </c>
      <c r="X183" s="481"/>
      <c r="Y183" s="481"/>
      <c r="AA183" s="1486"/>
    </row>
    <row r="184" spans="3:28" ht="10.5" customHeight="1">
      <c r="C184" s="417" t="s">
        <v>705</v>
      </c>
      <c r="D184" s="497">
        <v>49600</v>
      </c>
      <c r="E184" s="312"/>
      <c r="F184" s="312" t="s">
        <v>1416</v>
      </c>
      <c r="G184" s="430" t="s">
        <v>205</v>
      </c>
      <c r="H184" s="430" t="s">
        <v>1391</v>
      </c>
      <c r="I184" s="745" t="s">
        <v>802</v>
      </c>
      <c r="J184" s="745" t="s">
        <v>2713</v>
      </c>
      <c r="K184" s="751" t="s">
        <v>2676</v>
      </c>
      <c r="L184" s="752" t="s">
        <v>439</v>
      </c>
      <c r="M184" s="753" t="s">
        <v>1246</v>
      </c>
      <c r="N184" s="744" t="s">
        <v>2328</v>
      </c>
      <c r="O184" s="679"/>
      <c r="P184" s="185"/>
      <c r="Q184" s="430"/>
      <c r="R184" s="616" t="s">
        <v>2327</v>
      </c>
      <c r="S184" s="616" t="s">
        <v>1263</v>
      </c>
      <c r="U184" s="481" t="s">
        <v>2154</v>
      </c>
      <c r="V184" s="481" t="s">
        <v>3742</v>
      </c>
      <c r="X184" s="481"/>
      <c r="Y184" s="481"/>
      <c r="AA184" s="1486"/>
    </row>
    <row r="185" spans="3:28" ht="10.5" customHeight="1">
      <c r="C185" s="417" t="s">
        <v>125</v>
      </c>
      <c r="D185" s="497">
        <v>52900</v>
      </c>
      <c r="E185" s="312"/>
      <c r="F185" s="312" t="s">
        <v>1417</v>
      </c>
      <c r="G185" s="430" t="s">
        <v>206</v>
      </c>
      <c r="H185" s="430" t="s">
        <v>1264</v>
      </c>
      <c r="I185" s="743" t="s">
        <v>993</v>
      </c>
      <c r="J185" s="743" t="s">
        <v>2712</v>
      </c>
      <c r="K185" s="751" t="s">
        <v>2043</v>
      </c>
      <c r="L185" s="752" t="s">
        <v>438</v>
      </c>
      <c r="M185" s="754" t="s">
        <v>2699</v>
      </c>
      <c r="N185" s="744" t="s">
        <v>2330</v>
      </c>
      <c r="O185" s="679"/>
      <c r="P185" s="185"/>
      <c r="Q185" s="430"/>
      <c r="R185" s="746" t="s">
        <v>2329</v>
      </c>
      <c r="S185" s="746" t="s">
        <v>2335</v>
      </c>
      <c r="U185" s="481" t="s">
        <v>709</v>
      </c>
      <c r="V185" s="481" t="s">
        <v>3742</v>
      </c>
      <c r="X185" s="481"/>
      <c r="Y185" s="481"/>
      <c r="AA185" s="1487"/>
    </row>
    <row r="186" spans="3:28" ht="10.5" customHeight="1">
      <c r="C186" s="417" t="s">
        <v>327</v>
      </c>
      <c r="D186" s="497">
        <v>35400</v>
      </c>
      <c r="E186" s="312"/>
      <c r="F186" s="312" t="s">
        <v>1418</v>
      </c>
      <c r="G186" s="430" t="s">
        <v>994</v>
      </c>
      <c r="H186" s="430" t="s">
        <v>1264</v>
      </c>
      <c r="I186" s="743" t="s">
        <v>995</v>
      </c>
      <c r="J186" s="743" t="s">
        <v>2712</v>
      </c>
      <c r="K186" s="751" t="s">
        <v>2044</v>
      </c>
      <c r="L186" s="752" t="s">
        <v>438</v>
      </c>
      <c r="M186" s="754" t="s">
        <v>2699</v>
      </c>
      <c r="N186" s="744" t="s">
        <v>2360</v>
      </c>
      <c r="O186" s="679"/>
      <c r="P186" s="185"/>
      <c r="Q186" s="430"/>
      <c r="R186" s="616" t="s">
        <v>2661</v>
      </c>
      <c r="S186" s="616" t="s">
        <v>658</v>
      </c>
      <c r="U186" s="481" t="s">
        <v>1301</v>
      </c>
      <c r="V186" s="481" t="s">
        <v>3742</v>
      </c>
      <c r="X186" s="481"/>
      <c r="Y186" s="481"/>
      <c r="AA186" s="1486"/>
    </row>
    <row r="187" spans="3:28" ht="10.5" customHeight="1">
      <c r="C187" s="417" t="s">
        <v>804</v>
      </c>
      <c r="D187" s="497">
        <v>47100</v>
      </c>
      <c r="E187" s="312"/>
      <c r="F187" s="312" t="s">
        <v>1419</v>
      </c>
      <c r="G187" s="430" t="s">
        <v>996</v>
      </c>
      <c r="H187" s="430" t="s">
        <v>1264</v>
      </c>
      <c r="I187" s="745" t="s">
        <v>1858</v>
      </c>
      <c r="J187" s="745" t="s">
        <v>2713</v>
      </c>
      <c r="K187" s="751" t="s">
        <v>1210</v>
      </c>
      <c r="L187" s="752" t="s">
        <v>439</v>
      </c>
      <c r="M187" s="754" t="s">
        <v>1246</v>
      </c>
      <c r="N187" s="744" t="s">
        <v>1849</v>
      </c>
      <c r="O187" s="679"/>
      <c r="P187" s="185"/>
      <c r="Q187" s="430"/>
      <c r="R187" s="616" t="s">
        <v>2331</v>
      </c>
      <c r="S187" s="616" t="s">
        <v>123</v>
      </c>
      <c r="U187" s="481" t="s">
        <v>1303</v>
      </c>
      <c r="V187" s="481" t="s">
        <v>3742</v>
      </c>
      <c r="X187" s="481"/>
      <c r="Y187" s="481"/>
      <c r="AA187" s="1486"/>
    </row>
    <row r="188" spans="3:28" ht="10.5" customHeight="1">
      <c r="C188" s="417" t="s">
        <v>331</v>
      </c>
      <c r="D188" s="497">
        <v>46600</v>
      </c>
      <c r="E188" s="312"/>
      <c r="F188" s="312" t="s">
        <v>1420</v>
      </c>
      <c r="G188" s="430" t="s">
        <v>913</v>
      </c>
      <c r="H188" s="430" t="s">
        <v>1391</v>
      </c>
      <c r="I188" s="745" t="s">
        <v>802</v>
      </c>
      <c r="J188" s="745" t="s">
        <v>2713</v>
      </c>
      <c r="K188" s="751" t="s">
        <v>2676</v>
      </c>
      <c r="L188" s="752" t="s">
        <v>439</v>
      </c>
      <c r="M188" s="753" t="s">
        <v>1246</v>
      </c>
      <c r="N188" s="744" t="s">
        <v>1851</v>
      </c>
      <c r="O188" s="679"/>
      <c r="P188" s="185"/>
      <c r="Q188" s="430"/>
      <c r="R188" s="616" t="s">
        <v>1825</v>
      </c>
      <c r="S188" s="616" t="s">
        <v>2587</v>
      </c>
      <c r="U188" s="481" t="s">
        <v>2581</v>
      </c>
      <c r="V188" s="481" t="s">
        <v>3742</v>
      </c>
      <c r="X188" s="481"/>
      <c r="Y188" s="481"/>
      <c r="AA188" s="1486"/>
    </row>
    <row r="189" spans="3:28" ht="10.5" customHeight="1">
      <c r="C189" s="417" t="s">
        <v>1082</v>
      </c>
      <c r="D189" s="497">
        <v>48700</v>
      </c>
      <c r="E189" s="312"/>
      <c r="F189" s="312" t="s">
        <v>1421</v>
      </c>
      <c r="G189" s="430" t="s">
        <v>914</v>
      </c>
      <c r="H189" s="430" t="s">
        <v>1264</v>
      </c>
      <c r="I189" s="743" t="s">
        <v>915</v>
      </c>
      <c r="J189" s="743" t="s">
        <v>2712</v>
      </c>
      <c r="K189" s="751" t="s">
        <v>2045</v>
      </c>
      <c r="L189" s="752" t="s">
        <v>438</v>
      </c>
      <c r="M189" s="754" t="s">
        <v>2699</v>
      </c>
      <c r="N189" s="744" t="s">
        <v>2246</v>
      </c>
      <c r="O189" s="679"/>
      <c r="P189" s="185"/>
      <c r="Q189" s="430"/>
      <c r="R189" s="616" t="s">
        <v>1850</v>
      </c>
      <c r="S189" s="616" t="s">
        <v>1369</v>
      </c>
      <c r="U189" s="481" t="s">
        <v>2591</v>
      </c>
      <c r="V189" s="481" t="s">
        <v>3742</v>
      </c>
      <c r="X189" s="481"/>
      <c r="Y189" s="481"/>
      <c r="AA189" s="1486"/>
    </row>
    <row r="190" spans="3:28" ht="10.5" customHeight="1">
      <c r="C190" s="417" t="s">
        <v>336</v>
      </c>
      <c r="D190" s="497">
        <v>50800</v>
      </c>
      <c r="E190" s="312"/>
      <c r="F190" s="312" t="s">
        <v>1422</v>
      </c>
      <c r="G190" s="430" t="s">
        <v>916</v>
      </c>
      <c r="H190" s="430" t="s">
        <v>1264</v>
      </c>
      <c r="I190" s="743" t="s">
        <v>1770</v>
      </c>
      <c r="J190" s="743" t="s">
        <v>2713</v>
      </c>
      <c r="K190" s="751" t="s">
        <v>2682</v>
      </c>
      <c r="L190" s="752" t="s">
        <v>439</v>
      </c>
      <c r="M190" s="753" t="s">
        <v>1246</v>
      </c>
      <c r="N190" s="744" t="s">
        <v>2247</v>
      </c>
      <c r="O190" s="679"/>
      <c r="P190" s="185"/>
      <c r="Q190" s="430"/>
      <c r="R190" s="616" t="s">
        <v>1852</v>
      </c>
      <c r="S190" s="616" t="s">
        <v>2094</v>
      </c>
      <c r="U190" s="481" t="s">
        <v>89</v>
      </c>
      <c r="V190" s="481" t="s">
        <v>3742</v>
      </c>
      <c r="X190" s="481"/>
      <c r="Y190" s="481"/>
      <c r="AA190" s="1486"/>
    </row>
    <row r="191" spans="3:28" ht="10.5" customHeight="1">
      <c r="C191" s="416" t="s">
        <v>338</v>
      </c>
      <c r="D191" s="497">
        <v>62300</v>
      </c>
      <c r="E191" s="312"/>
      <c r="F191" s="312" t="s">
        <v>1423</v>
      </c>
      <c r="G191" s="430" t="s">
        <v>917</v>
      </c>
      <c r="H191" s="430" t="s">
        <v>1264</v>
      </c>
      <c r="I191" s="745" t="s">
        <v>1382</v>
      </c>
      <c r="J191" s="745" t="s">
        <v>2713</v>
      </c>
      <c r="K191" s="751" t="s">
        <v>1527</v>
      </c>
      <c r="L191" s="752" t="s">
        <v>439</v>
      </c>
      <c r="M191" s="753" t="s">
        <v>1246</v>
      </c>
      <c r="N191" s="744" t="s">
        <v>2541</v>
      </c>
      <c r="O191" s="322"/>
      <c r="P191" s="185"/>
      <c r="Q191" s="430"/>
      <c r="R191" s="616" t="s">
        <v>864</v>
      </c>
      <c r="S191" s="616" t="s">
        <v>2688</v>
      </c>
      <c r="U191" s="481" t="s">
        <v>1287</v>
      </c>
      <c r="V191" s="481" t="s">
        <v>3742</v>
      </c>
      <c r="X191" s="481"/>
      <c r="Y191" s="481"/>
      <c r="AA191" s="1486"/>
      <c r="AB191" s="1486"/>
    </row>
    <row r="192" spans="3:28" ht="10.5" customHeight="1">
      <c r="C192" s="417" t="s">
        <v>341</v>
      </c>
      <c r="D192" s="497">
        <v>44800</v>
      </c>
      <c r="E192" s="312"/>
      <c r="F192" s="747"/>
      <c r="G192" s="430" t="s">
        <v>918</v>
      </c>
      <c r="H192" s="430" t="s">
        <v>1391</v>
      </c>
      <c r="I192" s="743" t="s">
        <v>919</v>
      </c>
      <c r="J192" s="743" t="s">
        <v>2712</v>
      </c>
      <c r="K192" s="751" t="s">
        <v>1392</v>
      </c>
      <c r="L192" s="752" t="s">
        <v>438</v>
      </c>
      <c r="M192" s="754" t="s">
        <v>2699</v>
      </c>
      <c r="N192" s="744" t="s">
        <v>2543</v>
      </c>
      <c r="O192" s="322"/>
      <c r="P192" s="185"/>
      <c r="Q192" s="430"/>
      <c r="R192" s="616" t="s">
        <v>2248</v>
      </c>
      <c r="S192" s="616" t="s">
        <v>2690</v>
      </c>
      <c r="U192" s="481" t="s">
        <v>167</v>
      </c>
      <c r="V192" s="481" t="s">
        <v>3742</v>
      </c>
      <c r="X192" s="481"/>
      <c r="Y192" s="481"/>
      <c r="AA192" s="1486"/>
    </row>
    <row r="193" spans="3:28" ht="10.5" customHeight="1">
      <c r="C193" s="416" t="s">
        <v>343</v>
      </c>
      <c r="D193" s="497">
        <v>36900</v>
      </c>
      <c r="E193" s="312"/>
      <c r="F193" s="747"/>
      <c r="G193" s="430" t="s">
        <v>2333</v>
      </c>
      <c r="H193" s="430" t="s">
        <v>1264</v>
      </c>
      <c r="I193" s="743" t="s">
        <v>2334</v>
      </c>
      <c r="J193" s="743" t="s">
        <v>2712</v>
      </c>
      <c r="K193" s="751" t="s">
        <v>1393</v>
      </c>
      <c r="L193" s="752" t="s">
        <v>438</v>
      </c>
      <c r="M193" s="754" t="s">
        <v>2699</v>
      </c>
      <c r="N193" s="744" t="s">
        <v>2545</v>
      </c>
      <c r="O193" s="322"/>
      <c r="P193" s="185"/>
      <c r="Q193" s="430"/>
      <c r="R193" s="746" t="s">
        <v>2542</v>
      </c>
      <c r="S193" s="746" t="s">
        <v>1139</v>
      </c>
      <c r="U193" s="481" t="s">
        <v>935</v>
      </c>
      <c r="V193" s="481" t="s">
        <v>3742</v>
      </c>
      <c r="X193" s="481"/>
      <c r="Y193" s="481"/>
      <c r="AA193" s="1487"/>
    </row>
    <row r="194" spans="3:28" ht="10.5" customHeight="1">
      <c r="C194" s="417" t="s">
        <v>345</v>
      </c>
      <c r="D194" s="497">
        <v>34100</v>
      </c>
      <c r="E194" s="312"/>
      <c r="F194" s="747"/>
      <c r="G194" s="430" t="s">
        <v>2335</v>
      </c>
      <c r="H194" s="430" t="s">
        <v>1264</v>
      </c>
      <c r="I194" s="743" t="s">
        <v>687</v>
      </c>
      <c r="J194" s="743" t="s">
        <v>2712</v>
      </c>
      <c r="K194" s="751" t="s">
        <v>1394</v>
      </c>
      <c r="L194" s="752" t="s">
        <v>438</v>
      </c>
      <c r="M194" s="754" t="s">
        <v>2699</v>
      </c>
      <c r="N194" s="744" t="s">
        <v>2547</v>
      </c>
      <c r="O194" s="322"/>
      <c r="P194" s="185"/>
      <c r="Q194" s="430"/>
      <c r="R194" s="616" t="s">
        <v>2662</v>
      </c>
      <c r="S194" s="616" t="s">
        <v>333</v>
      </c>
      <c r="U194" s="481" t="s">
        <v>2228</v>
      </c>
      <c r="V194" s="481" t="s">
        <v>3742</v>
      </c>
      <c r="X194" s="481"/>
      <c r="Y194" s="481"/>
      <c r="AA194" s="1486"/>
      <c r="AB194" s="1490"/>
    </row>
    <row r="195" spans="3:28" ht="10.5" customHeight="1">
      <c r="C195" s="417" t="s">
        <v>347</v>
      </c>
      <c r="D195" s="497">
        <v>43400</v>
      </c>
      <c r="E195" s="312"/>
      <c r="F195" s="747"/>
      <c r="G195" s="430" t="s">
        <v>688</v>
      </c>
      <c r="H195" s="430" t="s">
        <v>1367</v>
      </c>
      <c r="I195" s="743" t="s">
        <v>689</v>
      </c>
      <c r="J195" s="743" t="s">
        <v>2712</v>
      </c>
      <c r="K195" s="751" t="s">
        <v>1395</v>
      </c>
      <c r="L195" s="752" t="s">
        <v>438</v>
      </c>
      <c r="M195" s="754" t="s">
        <v>2699</v>
      </c>
      <c r="N195" s="744" t="s">
        <v>2548</v>
      </c>
      <c r="O195" s="322"/>
      <c r="P195" s="185"/>
      <c r="Q195" s="430"/>
      <c r="R195" s="616" t="s">
        <v>2544</v>
      </c>
      <c r="S195" s="616" t="s">
        <v>2004</v>
      </c>
      <c r="U195" s="481" t="s">
        <v>2146</v>
      </c>
      <c r="V195" s="481" t="s">
        <v>3742</v>
      </c>
      <c r="X195" s="481"/>
      <c r="Y195" s="481"/>
      <c r="AA195" s="1486"/>
    </row>
    <row r="196" spans="3:28" ht="10.5" customHeight="1">
      <c r="C196" s="417" t="s">
        <v>805</v>
      </c>
      <c r="D196" s="497">
        <v>48400</v>
      </c>
      <c r="E196" s="312"/>
      <c r="F196" s="747"/>
      <c r="G196" s="430" t="s">
        <v>690</v>
      </c>
      <c r="H196" s="430" t="s">
        <v>1391</v>
      </c>
      <c r="I196" s="745" t="s">
        <v>802</v>
      </c>
      <c r="J196" s="745" t="s">
        <v>2713</v>
      </c>
      <c r="K196" s="751" t="s">
        <v>2676</v>
      </c>
      <c r="L196" s="752" t="s">
        <v>439</v>
      </c>
      <c r="M196" s="753" t="s">
        <v>1246</v>
      </c>
      <c r="N196" s="744" t="s">
        <v>2320</v>
      </c>
      <c r="O196" s="322"/>
      <c r="P196" s="185"/>
      <c r="Q196" s="430"/>
      <c r="R196" s="616" t="s">
        <v>2546</v>
      </c>
      <c r="S196" s="616" t="s">
        <v>914</v>
      </c>
      <c r="U196" s="481" t="s">
        <v>629</v>
      </c>
      <c r="V196" s="481" t="s">
        <v>3742</v>
      </c>
      <c r="X196" s="481"/>
      <c r="Y196" s="481"/>
      <c r="AA196" s="1486"/>
    </row>
    <row r="197" spans="3:28" ht="10.5" customHeight="1">
      <c r="C197" s="417" t="s">
        <v>1518</v>
      </c>
      <c r="D197" s="497">
        <v>47300</v>
      </c>
      <c r="E197" s="312"/>
      <c r="F197" s="747"/>
      <c r="G197" s="430" t="s">
        <v>691</v>
      </c>
      <c r="H197" s="430" t="s">
        <v>1367</v>
      </c>
      <c r="I197" s="745" t="s">
        <v>2359</v>
      </c>
      <c r="J197" s="745" t="s">
        <v>2713</v>
      </c>
      <c r="K197" s="751" t="s">
        <v>1396</v>
      </c>
      <c r="L197" s="752" t="s">
        <v>439</v>
      </c>
      <c r="M197" s="754" t="s">
        <v>1246</v>
      </c>
      <c r="N197" s="744" t="s">
        <v>743</v>
      </c>
      <c r="O197" s="322"/>
      <c r="P197" s="185"/>
      <c r="Q197" s="430"/>
      <c r="R197" s="616" t="s">
        <v>2549</v>
      </c>
      <c r="S197" s="616" t="s">
        <v>165</v>
      </c>
      <c r="U197" s="481" t="s">
        <v>631</v>
      </c>
      <c r="V197" s="481" t="s">
        <v>3742</v>
      </c>
      <c r="X197" s="481"/>
      <c r="Y197" s="481"/>
      <c r="AA197" s="1486"/>
    </row>
    <row r="198" spans="3:28" ht="10.5" customHeight="1">
      <c r="C198" s="417" t="s">
        <v>1522</v>
      </c>
      <c r="D198" s="497">
        <v>45900</v>
      </c>
      <c r="E198" s="312"/>
      <c r="F198" s="747"/>
      <c r="G198" s="430" t="s">
        <v>692</v>
      </c>
      <c r="H198" s="430" t="s">
        <v>1367</v>
      </c>
      <c r="I198" s="745" t="s">
        <v>802</v>
      </c>
      <c r="J198" s="745" t="s">
        <v>2713</v>
      </c>
      <c r="K198" s="751" t="s">
        <v>2676</v>
      </c>
      <c r="L198" s="752" t="s">
        <v>439</v>
      </c>
      <c r="M198" s="753" t="s">
        <v>1246</v>
      </c>
      <c r="N198" s="744" t="s">
        <v>745</v>
      </c>
      <c r="O198" s="322"/>
      <c r="P198" s="185"/>
      <c r="Q198" s="430"/>
      <c r="R198" s="616" t="s">
        <v>2321</v>
      </c>
      <c r="S198" s="616" t="s">
        <v>688</v>
      </c>
      <c r="U198" s="481" t="s">
        <v>2632</v>
      </c>
      <c r="V198" s="481" t="s">
        <v>3742</v>
      </c>
      <c r="X198" s="481"/>
      <c r="Y198" s="481"/>
      <c r="AA198" s="1486"/>
    </row>
    <row r="199" spans="3:28" ht="10.5" customHeight="1">
      <c r="C199" s="417" t="s">
        <v>1524</v>
      </c>
      <c r="D199" s="497">
        <v>51000</v>
      </c>
      <c r="E199" s="312"/>
      <c r="F199" s="747"/>
      <c r="G199" s="430" t="s">
        <v>693</v>
      </c>
      <c r="H199" s="430" t="s">
        <v>1367</v>
      </c>
      <c r="I199" s="745" t="s">
        <v>694</v>
      </c>
      <c r="J199" s="745" t="s">
        <v>2712</v>
      </c>
      <c r="K199" s="751" t="s">
        <v>1397</v>
      </c>
      <c r="L199" s="752" t="s">
        <v>438</v>
      </c>
      <c r="M199" s="754" t="s">
        <v>2699</v>
      </c>
      <c r="N199" s="744" t="s">
        <v>747</v>
      </c>
      <c r="O199" s="322"/>
      <c r="P199" s="185"/>
      <c r="Q199" s="430"/>
      <c r="R199" s="616" t="s">
        <v>744</v>
      </c>
      <c r="S199" s="616" t="s">
        <v>2579</v>
      </c>
      <c r="U199" s="481" t="s">
        <v>635</v>
      </c>
      <c r="V199" s="481" t="s">
        <v>3742</v>
      </c>
      <c r="X199" s="481"/>
      <c r="Y199" s="481"/>
      <c r="AA199" s="1486"/>
    </row>
    <row r="200" spans="3:28" ht="10.5" customHeight="1">
      <c r="C200" s="417" t="s">
        <v>183</v>
      </c>
      <c r="D200" s="497">
        <v>57700</v>
      </c>
      <c r="E200" s="312"/>
      <c r="F200" s="747"/>
      <c r="G200" s="430" t="s">
        <v>1259</v>
      </c>
      <c r="H200" s="430" t="s">
        <v>1391</v>
      </c>
      <c r="I200" s="745" t="s">
        <v>802</v>
      </c>
      <c r="J200" s="745" t="s">
        <v>2713</v>
      </c>
      <c r="K200" s="751" t="s">
        <v>2676</v>
      </c>
      <c r="L200" s="752" t="s">
        <v>439</v>
      </c>
      <c r="M200" s="753" t="s">
        <v>1246</v>
      </c>
      <c r="N200" s="744" t="s">
        <v>749</v>
      </c>
      <c r="O200" s="322"/>
      <c r="P200" s="185"/>
      <c r="Q200" s="430"/>
      <c r="R200" s="616" t="s">
        <v>746</v>
      </c>
      <c r="S200" s="616" t="s">
        <v>1154</v>
      </c>
      <c r="U200" s="481" t="s">
        <v>571</v>
      </c>
      <c r="V200" s="481" t="s">
        <v>3742</v>
      </c>
      <c r="X200" s="481"/>
      <c r="Y200" s="481"/>
      <c r="AA200" s="1486"/>
    </row>
    <row r="201" spans="3:28" ht="10.5" customHeight="1">
      <c r="C201" s="417" t="s">
        <v>1376</v>
      </c>
      <c r="D201" s="497">
        <v>38800</v>
      </c>
      <c r="E201" s="312"/>
      <c r="F201" s="747"/>
      <c r="G201" s="430" t="s">
        <v>695</v>
      </c>
      <c r="H201" s="430" t="s">
        <v>1367</v>
      </c>
      <c r="I201" s="743" t="s">
        <v>696</v>
      </c>
      <c r="J201" s="743" t="s">
        <v>2712</v>
      </c>
      <c r="K201" s="751" t="s">
        <v>251</v>
      </c>
      <c r="L201" s="752" t="s">
        <v>438</v>
      </c>
      <c r="M201" s="754" t="s">
        <v>2699</v>
      </c>
      <c r="N201" s="744" t="s">
        <v>2312</v>
      </c>
      <c r="O201" s="322"/>
      <c r="P201" s="185"/>
      <c r="Q201" s="430"/>
      <c r="R201" s="746" t="s">
        <v>748</v>
      </c>
      <c r="S201" s="746" t="s">
        <v>2690</v>
      </c>
      <c r="U201" s="481" t="s">
        <v>783</v>
      </c>
      <c r="V201" s="481" t="s">
        <v>3742</v>
      </c>
      <c r="X201" s="481"/>
      <c r="Y201" s="481"/>
      <c r="AA201" s="1487"/>
    </row>
    <row r="202" spans="3:28" ht="10.5" customHeight="1">
      <c r="C202" s="417" t="s">
        <v>184</v>
      </c>
      <c r="D202" s="497">
        <v>52700</v>
      </c>
      <c r="E202" s="312"/>
      <c r="F202" s="747"/>
      <c r="G202" s="430" t="s">
        <v>697</v>
      </c>
      <c r="H202" s="430" t="s">
        <v>1391</v>
      </c>
      <c r="I202" s="745" t="s">
        <v>698</v>
      </c>
      <c r="J202" s="745" t="s">
        <v>2712</v>
      </c>
      <c r="K202" s="751" t="s">
        <v>252</v>
      </c>
      <c r="L202" s="752" t="s">
        <v>438</v>
      </c>
      <c r="M202" s="754" t="s">
        <v>2699</v>
      </c>
      <c r="N202" s="744" t="s">
        <v>2313</v>
      </c>
      <c r="O202" s="322"/>
      <c r="P202" s="185"/>
      <c r="Q202" s="430"/>
      <c r="R202" s="616" t="s">
        <v>2663</v>
      </c>
      <c r="S202" s="616" t="s">
        <v>2581</v>
      </c>
      <c r="U202" s="481" t="s">
        <v>39</v>
      </c>
      <c r="V202" s="481" t="s">
        <v>3742</v>
      </c>
      <c r="X202" s="481"/>
      <c r="Y202" s="481"/>
      <c r="AA202" s="1486"/>
    </row>
    <row r="203" spans="3:28" ht="10.5" customHeight="1">
      <c r="C203" s="417" t="s">
        <v>807</v>
      </c>
      <c r="D203" s="497">
        <v>48000</v>
      </c>
      <c r="E203" s="312"/>
      <c r="F203" s="747"/>
      <c r="G203" s="430" t="s">
        <v>699</v>
      </c>
      <c r="H203" s="430" t="s">
        <v>1264</v>
      </c>
      <c r="I203" s="743" t="s">
        <v>12</v>
      </c>
      <c r="J203" s="743" t="s">
        <v>2713</v>
      </c>
      <c r="K203" s="751" t="s">
        <v>2681</v>
      </c>
      <c r="L203" s="752" t="s">
        <v>439</v>
      </c>
      <c r="M203" s="754" t="s">
        <v>1246</v>
      </c>
      <c r="N203" s="744" t="s">
        <v>2315</v>
      </c>
      <c r="O203" s="322"/>
      <c r="P203" s="185"/>
      <c r="Q203" s="430"/>
      <c r="R203" s="616" t="s">
        <v>2314</v>
      </c>
      <c r="S203" s="616" t="s">
        <v>1735</v>
      </c>
      <c r="U203" s="481" t="s">
        <v>2052</v>
      </c>
      <c r="V203" s="481" t="s">
        <v>3742</v>
      </c>
      <c r="X203" s="481"/>
      <c r="Y203" s="481"/>
      <c r="AA203" s="1486"/>
    </row>
    <row r="204" spans="3:28" ht="10.5" customHeight="1">
      <c r="C204" s="417" t="s">
        <v>1701</v>
      </c>
      <c r="D204" s="497">
        <v>44100</v>
      </c>
      <c r="E204" s="312"/>
      <c r="F204" s="747"/>
      <c r="G204" s="430" t="s">
        <v>700</v>
      </c>
      <c r="H204" s="430" t="s">
        <v>1367</v>
      </c>
      <c r="I204" s="743" t="s">
        <v>701</v>
      </c>
      <c r="J204" s="743" t="s">
        <v>2712</v>
      </c>
      <c r="K204" s="751" t="s">
        <v>253</v>
      </c>
      <c r="L204" s="752" t="s">
        <v>438</v>
      </c>
      <c r="M204" s="754" t="s">
        <v>2699</v>
      </c>
      <c r="N204" s="744" t="s">
        <v>717</v>
      </c>
      <c r="O204" s="322"/>
      <c r="P204" s="185"/>
      <c r="Q204" s="430"/>
      <c r="R204" s="616" t="s">
        <v>2316</v>
      </c>
      <c r="S204" s="616" t="s">
        <v>2684</v>
      </c>
      <c r="U204" s="481" t="s">
        <v>349</v>
      </c>
      <c r="V204" s="481" t="s">
        <v>3742</v>
      </c>
      <c r="X204" s="481"/>
      <c r="Y204" s="481"/>
      <c r="AA204" s="1486"/>
    </row>
    <row r="205" spans="3:28" ht="10.5" customHeight="1">
      <c r="C205" s="417" t="s">
        <v>1703</v>
      </c>
      <c r="D205" s="497">
        <v>45400</v>
      </c>
      <c r="E205" s="312"/>
      <c r="F205" s="747"/>
      <c r="G205" s="430" t="s">
        <v>702</v>
      </c>
      <c r="H205" s="430" t="s">
        <v>1264</v>
      </c>
      <c r="I205" s="743" t="s">
        <v>703</v>
      </c>
      <c r="J205" s="743" t="s">
        <v>2712</v>
      </c>
      <c r="K205" s="751" t="s">
        <v>418</v>
      </c>
      <c r="L205" s="752" t="s">
        <v>438</v>
      </c>
      <c r="M205" s="754" t="s">
        <v>2699</v>
      </c>
      <c r="N205" s="744" t="s">
        <v>828</v>
      </c>
      <c r="O205" s="322"/>
      <c r="P205" s="185"/>
      <c r="Q205" s="430"/>
      <c r="R205" s="616" t="s">
        <v>718</v>
      </c>
      <c r="S205" s="616" t="s">
        <v>770</v>
      </c>
      <c r="U205" s="481" t="s">
        <v>357</v>
      </c>
      <c r="V205" s="481" t="s">
        <v>3742</v>
      </c>
      <c r="X205" s="481"/>
      <c r="Y205" s="481"/>
      <c r="AA205" s="1486"/>
    </row>
    <row r="206" spans="3:28" ht="10.5" customHeight="1">
      <c r="C206" s="417" t="s">
        <v>2130</v>
      </c>
      <c r="D206" s="497">
        <v>61400</v>
      </c>
      <c r="E206" s="312"/>
      <c r="F206" s="747"/>
      <c r="G206" s="430" t="s">
        <v>704</v>
      </c>
      <c r="H206" s="430" t="s">
        <v>1391</v>
      </c>
      <c r="I206" s="743" t="s">
        <v>705</v>
      </c>
      <c r="J206" s="743" t="s">
        <v>2712</v>
      </c>
      <c r="K206" s="751" t="s">
        <v>419</v>
      </c>
      <c r="L206" s="752" t="s">
        <v>438</v>
      </c>
      <c r="M206" s="754" t="s">
        <v>2699</v>
      </c>
      <c r="N206" s="744" t="s">
        <v>2362</v>
      </c>
      <c r="O206" s="322"/>
      <c r="P206" s="185"/>
      <c r="Q206" s="430"/>
      <c r="R206" s="616" t="s">
        <v>2361</v>
      </c>
      <c r="S206" s="616" t="s">
        <v>330</v>
      </c>
      <c r="U206" s="481" t="s">
        <v>202</v>
      </c>
      <c r="V206" s="481" t="s">
        <v>3742</v>
      </c>
      <c r="X206" s="481"/>
      <c r="Y206" s="481"/>
      <c r="AA206" s="1486"/>
    </row>
    <row r="207" spans="3:28" ht="10.5" customHeight="1">
      <c r="C207" s="417" t="s">
        <v>191</v>
      </c>
      <c r="D207" s="497">
        <v>45500</v>
      </c>
      <c r="E207" s="312"/>
      <c r="F207" s="747"/>
      <c r="G207" s="430" t="s">
        <v>123</v>
      </c>
      <c r="H207" s="430" t="s">
        <v>1391</v>
      </c>
      <c r="I207" s="745" t="s">
        <v>802</v>
      </c>
      <c r="J207" s="745" t="s">
        <v>2713</v>
      </c>
      <c r="K207" s="751" t="s">
        <v>2676</v>
      </c>
      <c r="L207" s="752" t="s">
        <v>439</v>
      </c>
      <c r="M207" s="753" t="s">
        <v>1246</v>
      </c>
      <c r="N207" s="744" t="s">
        <v>2391</v>
      </c>
      <c r="O207" s="322"/>
      <c r="P207" s="185"/>
      <c r="Q207" s="430"/>
      <c r="R207" s="616" t="s">
        <v>2423</v>
      </c>
      <c r="S207" s="616" t="s">
        <v>918</v>
      </c>
      <c r="U207" s="481" t="s">
        <v>2243</v>
      </c>
      <c r="V207" s="481" t="s">
        <v>3742</v>
      </c>
      <c r="X207" s="481"/>
      <c r="Y207" s="481"/>
      <c r="AA207" s="1486"/>
    </row>
    <row r="208" spans="3:28" ht="10.5" customHeight="1">
      <c r="C208" s="416" t="s">
        <v>2685</v>
      </c>
      <c r="D208" s="497">
        <v>56600</v>
      </c>
      <c r="E208" s="312"/>
      <c r="F208" s="747"/>
      <c r="G208" s="430" t="s">
        <v>124</v>
      </c>
      <c r="H208" s="430" t="s">
        <v>1367</v>
      </c>
      <c r="I208" s="743" t="s">
        <v>125</v>
      </c>
      <c r="J208" s="743" t="s">
        <v>2712</v>
      </c>
      <c r="K208" s="751" t="s">
        <v>420</v>
      </c>
      <c r="L208" s="752" t="s">
        <v>438</v>
      </c>
      <c r="M208" s="754" t="s">
        <v>2699</v>
      </c>
      <c r="N208" s="744" t="s">
        <v>47</v>
      </c>
      <c r="O208" s="322"/>
      <c r="P208" s="185"/>
      <c r="Q208" s="430"/>
      <c r="R208" s="616" t="s">
        <v>48</v>
      </c>
      <c r="S208" s="616" t="s">
        <v>337</v>
      </c>
      <c r="U208" s="481" t="s">
        <v>203</v>
      </c>
      <c r="V208" s="481" t="s">
        <v>3742</v>
      </c>
      <c r="X208" s="481"/>
      <c r="Y208" s="481"/>
      <c r="AA208" s="1489"/>
    </row>
    <row r="209" spans="3:27" ht="10.5" customHeight="1">
      <c r="C209" s="417" t="s">
        <v>2687</v>
      </c>
      <c r="D209" s="497">
        <v>46400</v>
      </c>
      <c r="E209" s="312"/>
      <c r="F209" s="747"/>
      <c r="G209" s="430" t="s">
        <v>325</v>
      </c>
      <c r="H209" s="430" t="s">
        <v>1367</v>
      </c>
      <c r="I209" s="743" t="s">
        <v>1274</v>
      </c>
      <c r="J209" s="743" t="s">
        <v>2713</v>
      </c>
      <c r="K209" s="751" t="s">
        <v>421</v>
      </c>
      <c r="L209" s="752" t="s">
        <v>439</v>
      </c>
      <c r="M209" s="754" t="s">
        <v>1246</v>
      </c>
      <c r="N209" s="744" t="s">
        <v>663</v>
      </c>
      <c r="O209" s="322"/>
      <c r="P209" s="185"/>
      <c r="Q209" s="430"/>
      <c r="R209" s="616" t="s">
        <v>664</v>
      </c>
      <c r="S209" s="616" t="s">
        <v>2692</v>
      </c>
      <c r="U209" s="481" t="s">
        <v>397</v>
      </c>
      <c r="V209" s="481" t="s">
        <v>3742</v>
      </c>
      <c r="X209" s="481"/>
      <c r="Y209" s="481"/>
      <c r="AA209" s="1486"/>
    </row>
    <row r="210" spans="3:27" ht="10.5" customHeight="1">
      <c r="C210" s="417" t="s">
        <v>1137</v>
      </c>
      <c r="D210" s="497">
        <v>54100</v>
      </c>
      <c r="E210" s="312"/>
      <c r="F210" s="747"/>
      <c r="G210" s="435" t="s">
        <v>326</v>
      </c>
      <c r="H210" s="430" t="s">
        <v>1391</v>
      </c>
      <c r="I210" s="743" t="s">
        <v>327</v>
      </c>
      <c r="J210" s="743" t="s">
        <v>2712</v>
      </c>
      <c r="K210" s="751" t="s">
        <v>422</v>
      </c>
      <c r="L210" s="752" t="s">
        <v>438</v>
      </c>
      <c r="M210" s="754" t="s">
        <v>2699</v>
      </c>
      <c r="N210" s="744" t="s">
        <v>318</v>
      </c>
      <c r="O210" s="322"/>
      <c r="P210" s="185"/>
      <c r="Q210" s="430"/>
      <c r="R210" s="616" t="s">
        <v>319</v>
      </c>
      <c r="S210" s="616" t="s">
        <v>328</v>
      </c>
      <c r="U210" s="481" t="s">
        <v>913</v>
      </c>
      <c r="V210" s="481" t="s">
        <v>3742</v>
      </c>
      <c r="X210" s="481"/>
      <c r="Y210" s="481"/>
      <c r="AA210" s="1486"/>
    </row>
    <row r="211" spans="3:27" ht="10.5" customHeight="1">
      <c r="C211" s="417" t="s">
        <v>1140</v>
      </c>
      <c r="D211" s="497">
        <v>49900</v>
      </c>
      <c r="E211" s="312"/>
      <c r="F211" s="747"/>
      <c r="G211" s="430" t="s">
        <v>328</v>
      </c>
      <c r="H211" s="430" t="s">
        <v>1367</v>
      </c>
      <c r="I211" s="745" t="s">
        <v>804</v>
      </c>
      <c r="J211" s="745" t="s">
        <v>2713</v>
      </c>
      <c r="K211" s="751" t="s">
        <v>423</v>
      </c>
      <c r="L211" s="752" t="s">
        <v>439</v>
      </c>
      <c r="M211" s="753" t="s">
        <v>1246</v>
      </c>
      <c r="N211" s="744" t="s">
        <v>2463</v>
      </c>
      <c r="O211" s="322"/>
      <c r="P211" s="185"/>
      <c r="Q211" s="430"/>
      <c r="R211" s="616" t="s">
        <v>2464</v>
      </c>
      <c r="S211" s="616" t="s">
        <v>203</v>
      </c>
      <c r="U211" s="481" t="s">
        <v>2008</v>
      </c>
      <c r="V211" s="481" t="s">
        <v>3742</v>
      </c>
      <c r="X211" s="481"/>
      <c r="Y211" s="481"/>
      <c r="AA211" s="1486"/>
    </row>
    <row r="212" spans="3:27" ht="10.5" customHeight="1">
      <c r="C212" s="417" t="s">
        <v>1143</v>
      </c>
      <c r="D212" s="497">
        <v>50600</v>
      </c>
      <c r="E212" s="312"/>
      <c r="F212" s="747"/>
      <c r="G212" s="430" t="s">
        <v>329</v>
      </c>
      <c r="H212" s="430" t="s">
        <v>1391</v>
      </c>
      <c r="I212" s="745" t="s">
        <v>167</v>
      </c>
      <c r="J212" s="745" t="s">
        <v>2713</v>
      </c>
      <c r="K212" s="751" t="s">
        <v>1756</v>
      </c>
      <c r="L212" s="752" t="s">
        <v>439</v>
      </c>
      <c r="M212" s="753" t="s">
        <v>1246</v>
      </c>
      <c r="N212" s="744" t="s">
        <v>2488</v>
      </c>
      <c r="O212" s="322"/>
      <c r="P212" s="185"/>
      <c r="Q212" s="430"/>
      <c r="R212" s="616" t="s">
        <v>2489</v>
      </c>
      <c r="S212" s="616" t="s">
        <v>1734</v>
      </c>
      <c r="U212" s="481" t="s">
        <v>2012</v>
      </c>
      <c r="V212" s="481" t="s">
        <v>3742</v>
      </c>
      <c r="X212" s="481"/>
      <c r="Y212" s="481"/>
      <c r="AA212" s="1486"/>
    </row>
    <row r="213" spans="3:27" ht="10.5" customHeight="1">
      <c r="C213" s="416" t="s">
        <v>1145</v>
      </c>
      <c r="D213" s="497">
        <v>47900</v>
      </c>
      <c r="E213" s="312"/>
      <c r="F213" s="747"/>
      <c r="G213" s="430" t="s">
        <v>330</v>
      </c>
      <c r="H213" s="430" t="s">
        <v>1391</v>
      </c>
      <c r="I213" s="743" t="s">
        <v>331</v>
      </c>
      <c r="J213" s="743" t="s">
        <v>2712</v>
      </c>
      <c r="K213" s="751" t="s">
        <v>424</v>
      </c>
      <c r="L213" s="752" t="s">
        <v>438</v>
      </c>
      <c r="M213" s="754" t="s">
        <v>2699</v>
      </c>
      <c r="N213" s="744" t="s">
        <v>2490</v>
      </c>
      <c r="O213" s="322"/>
      <c r="P213" s="185"/>
      <c r="Q213" s="430"/>
      <c r="R213" s="616" t="s">
        <v>3126</v>
      </c>
      <c r="S213" s="616" t="s">
        <v>658</v>
      </c>
      <c r="U213" s="481" t="s">
        <v>752</v>
      </c>
      <c r="V213" s="481" t="s">
        <v>3742</v>
      </c>
      <c r="X213" s="481"/>
      <c r="Y213" s="481"/>
      <c r="AA213" s="1486"/>
    </row>
    <row r="214" spans="3:27" ht="10.5" customHeight="1">
      <c r="C214" s="417" t="s">
        <v>1147</v>
      </c>
      <c r="D214" s="497">
        <v>47500</v>
      </c>
      <c r="E214" s="312"/>
      <c r="F214" s="747"/>
      <c r="G214" s="430" t="s">
        <v>332</v>
      </c>
      <c r="H214" s="430" t="s">
        <v>1391</v>
      </c>
      <c r="I214" s="745" t="s">
        <v>802</v>
      </c>
      <c r="J214" s="745" t="s">
        <v>2713</v>
      </c>
      <c r="K214" s="751" t="s">
        <v>2676</v>
      </c>
      <c r="L214" s="752" t="s">
        <v>439</v>
      </c>
      <c r="M214" s="753" t="s">
        <v>1246</v>
      </c>
      <c r="N214" s="744" t="s">
        <v>2491</v>
      </c>
      <c r="O214" s="322"/>
      <c r="P214" s="185"/>
      <c r="Q214" s="430"/>
      <c r="R214" s="616" t="s">
        <v>659</v>
      </c>
      <c r="S214" s="616" t="s">
        <v>1383</v>
      </c>
      <c r="U214" s="481" t="s">
        <v>1189</v>
      </c>
      <c r="V214" s="481" t="s">
        <v>3742</v>
      </c>
      <c r="X214" s="481"/>
      <c r="Y214" s="481"/>
      <c r="AA214" s="1486"/>
    </row>
    <row r="215" spans="3:27" ht="10.5" customHeight="1">
      <c r="C215" s="417" t="s">
        <v>1149</v>
      </c>
      <c r="D215" s="497">
        <v>40800</v>
      </c>
      <c r="E215" s="312"/>
      <c r="F215" s="747"/>
      <c r="G215" s="430" t="s">
        <v>333</v>
      </c>
      <c r="H215" s="430" t="s">
        <v>1391</v>
      </c>
      <c r="I215" s="745" t="s">
        <v>802</v>
      </c>
      <c r="J215" s="745" t="s">
        <v>2713</v>
      </c>
      <c r="K215" s="751" t="s">
        <v>2676</v>
      </c>
      <c r="L215" s="752" t="s">
        <v>439</v>
      </c>
      <c r="M215" s="753" t="s">
        <v>1246</v>
      </c>
      <c r="N215" s="744" t="s">
        <v>2455</v>
      </c>
      <c r="O215" s="322"/>
      <c r="P215" s="185"/>
      <c r="Q215" s="430"/>
      <c r="R215" s="616" t="s">
        <v>1380</v>
      </c>
      <c r="S215" s="616" t="s">
        <v>690</v>
      </c>
      <c r="U215" s="481" t="s">
        <v>1191</v>
      </c>
      <c r="V215" s="481" t="s">
        <v>3742</v>
      </c>
      <c r="X215" s="481"/>
      <c r="Y215" s="481"/>
      <c r="AA215" s="1486"/>
    </row>
    <row r="216" spans="3:27" ht="10.5" customHeight="1">
      <c r="C216" s="417" t="s">
        <v>1151</v>
      </c>
      <c r="D216" s="497">
        <v>52000</v>
      </c>
      <c r="E216" s="312"/>
      <c r="F216" s="747"/>
      <c r="G216" s="430" t="s">
        <v>334</v>
      </c>
      <c r="H216" s="430" t="s">
        <v>1391</v>
      </c>
      <c r="I216" s="745" t="s">
        <v>1783</v>
      </c>
      <c r="J216" s="745" t="s">
        <v>2713</v>
      </c>
      <c r="K216" s="751" t="s">
        <v>425</v>
      </c>
      <c r="L216" s="752" t="s">
        <v>439</v>
      </c>
      <c r="M216" s="754" t="s">
        <v>1246</v>
      </c>
      <c r="N216" s="744" t="s">
        <v>11</v>
      </c>
      <c r="O216" s="322"/>
      <c r="P216" s="185"/>
      <c r="Q216" s="430"/>
      <c r="R216" s="616" t="s">
        <v>2456</v>
      </c>
      <c r="S216" s="616" t="s">
        <v>2585</v>
      </c>
      <c r="U216" s="481" t="s">
        <v>1193</v>
      </c>
      <c r="V216" s="481" t="s">
        <v>3742</v>
      </c>
      <c r="X216" s="481"/>
      <c r="Y216" s="481"/>
      <c r="AA216" s="1486"/>
    </row>
    <row r="217" spans="3:27" ht="10.5" customHeight="1">
      <c r="C217" s="416" t="s">
        <v>1153</v>
      </c>
      <c r="D217" s="497">
        <v>38800</v>
      </c>
      <c r="E217" s="312"/>
      <c r="F217" s="747"/>
      <c r="G217" s="430" t="s">
        <v>335</v>
      </c>
      <c r="H217" s="430" t="s">
        <v>1264</v>
      </c>
      <c r="I217" s="743" t="s">
        <v>336</v>
      </c>
      <c r="J217" s="743" t="s">
        <v>2712</v>
      </c>
      <c r="K217" s="751" t="s">
        <v>680</v>
      </c>
      <c r="L217" s="752" t="s">
        <v>438</v>
      </c>
      <c r="M217" s="754" t="s">
        <v>2699</v>
      </c>
      <c r="N217" s="744" t="s">
        <v>13</v>
      </c>
      <c r="O217" s="322"/>
      <c r="P217" s="185"/>
      <c r="Q217" s="430"/>
      <c r="R217" s="616" t="s">
        <v>12</v>
      </c>
      <c r="S217" s="616" t="s">
        <v>699</v>
      </c>
      <c r="U217" s="481" t="s">
        <v>2613</v>
      </c>
      <c r="V217" s="481" t="s">
        <v>3742</v>
      </c>
      <c r="X217" s="481"/>
      <c r="Y217" s="481"/>
      <c r="AA217" s="1486"/>
    </row>
    <row r="218" spans="3:27" ht="10.5" customHeight="1">
      <c r="C218" s="416" t="s">
        <v>2359</v>
      </c>
      <c r="D218" s="497">
        <v>49800</v>
      </c>
      <c r="E218" s="312"/>
      <c r="F218" s="747"/>
      <c r="G218" s="430" t="s">
        <v>337</v>
      </c>
      <c r="H218" s="430" t="s">
        <v>1391</v>
      </c>
      <c r="I218" s="743" t="s">
        <v>338</v>
      </c>
      <c r="J218" s="743" t="s">
        <v>2712</v>
      </c>
      <c r="K218" s="751" t="s">
        <v>681</v>
      </c>
      <c r="L218" s="752" t="s">
        <v>438</v>
      </c>
      <c r="M218" s="754" t="s">
        <v>2699</v>
      </c>
      <c r="N218" s="744" t="s">
        <v>58</v>
      </c>
      <c r="O218" s="322"/>
      <c r="P218" s="185"/>
      <c r="Q218" s="430"/>
      <c r="R218" s="616" t="s">
        <v>14</v>
      </c>
      <c r="S218" s="616" t="s">
        <v>328</v>
      </c>
      <c r="U218" s="481" t="s">
        <v>475</v>
      </c>
      <c r="V218" s="481" t="s">
        <v>3742</v>
      </c>
      <c r="X218" s="481"/>
      <c r="Y218" s="481"/>
      <c r="AA218" s="1486"/>
    </row>
    <row r="219" spans="3:27" ht="10.5" customHeight="1">
      <c r="C219" s="417" t="s">
        <v>1382</v>
      </c>
      <c r="D219" s="497">
        <v>61300</v>
      </c>
      <c r="E219" s="312"/>
      <c r="F219" s="747"/>
      <c r="G219" s="430" t="s">
        <v>339</v>
      </c>
      <c r="H219" s="430" t="s">
        <v>1391</v>
      </c>
      <c r="I219" s="745" t="s">
        <v>802</v>
      </c>
      <c r="J219" s="745" t="s">
        <v>2713</v>
      </c>
      <c r="K219" s="751" t="s">
        <v>2676</v>
      </c>
      <c r="L219" s="752" t="s">
        <v>439</v>
      </c>
      <c r="M219" s="753" t="s">
        <v>1246</v>
      </c>
      <c r="N219" s="744" t="s">
        <v>60</v>
      </c>
      <c r="O219" s="322"/>
      <c r="P219" s="185"/>
      <c r="Q219" s="430"/>
      <c r="R219" s="616" t="s">
        <v>59</v>
      </c>
      <c r="S219" s="616" t="s">
        <v>2684</v>
      </c>
      <c r="U219" s="481" t="s">
        <v>315</v>
      </c>
      <c r="V219" s="481" t="s">
        <v>3742</v>
      </c>
      <c r="X219" s="481"/>
      <c r="Y219" s="481"/>
      <c r="AA219" s="1486"/>
    </row>
    <row r="220" spans="3:27" ht="10.5" customHeight="1">
      <c r="C220" s="417" t="s">
        <v>2256</v>
      </c>
      <c r="D220" s="497">
        <v>55900</v>
      </c>
      <c r="E220" s="312"/>
      <c r="F220" s="747"/>
      <c r="G220" s="430" t="s">
        <v>340</v>
      </c>
      <c r="H220" s="430" t="s">
        <v>1264</v>
      </c>
      <c r="I220" s="743" t="s">
        <v>341</v>
      </c>
      <c r="J220" s="743" t="s">
        <v>2712</v>
      </c>
      <c r="K220" s="751" t="s">
        <v>682</v>
      </c>
      <c r="L220" s="752" t="s">
        <v>438</v>
      </c>
      <c r="M220" s="754" t="s">
        <v>2699</v>
      </c>
      <c r="N220" s="744" t="s">
        <v>62</v>
      </c>
      <c r="O220" s="322"/>
      <c r="P220" s="185"/>
      <c r="Q220" s="430"/>
      <c r="R220" s="616" t="s">
        <v>61</v>
      </c>
      <c r="S220" s="616" t="s">
        <v>371</v>
      </c>
      <c r="U220" s="481" t="s">
        <v>1903</v>
      </c>
      <c r="V220" s="481" t="s">
        <v>3742</v>
      </c>
      <c r="X220" s="481"/>
      <c r="Y220" s="481"/>
      <c r="AA220" s="1486"/>
    </row>
    <row r="221" spans="3:27" ht="10.5" customHeight="1">
      <c r="C221" s="417" t="s">
        <v>2258</v>
      </c>
      <c r="D221" s="497">
        <v>50900</v>
      </c>
      <c r="E221" s="312"/>
      <c r="F221" s="747"/>
      <c r="G221" s="430" t="s">
        <v>342</v>
      </c>
      <c r="H221" s="430" t="s">
        <v>1391</v>
      </c>
      <c r="I221" s="743" t="s">
        <v>343</v>
      </c>
      <c r="J221" s="743" t="s">
        <v>2712</v>
      </c>
      <c r="K221" s="751" t="s">
        <v>277</v>
      </c>
      <c r="L221" s="752" t="s">
        <v>438</v>
      </c>
      <c r="M221" s="754" t="s">
        <v>2699</v>
      </c>
      <c r="N221" s="744" t="s">
        <v>365</v>
      </c>
      <c r="O221" s="322"/>
      <c r="P221" s="185"/>
      <c r="Q221" s="430"/>
      <c r="R221" s="616" t="s">
        <v>63</v>
      </c>
      <c r="S221" s="616" t="s">
        <v>123</v>
      </c>
      <c r="U221" s="481" t="s">
        <v>1905</v>
      </c>
      <c r="V221" s="481" t="s">
        <v>3742</v>
      </c>
      <c r="X221" s="481"/>
      <c r="Y221" s="481"/>
      <c r="AA221" s="1486"/>
    </row>
    <row r="222" spans="3:27" ht="10.5" customHeight="1">
      <c r="C222" s="417" t="s">
        <v>2260</v>
      </c>
      <c r="D222" s="497">
        <v>34400</v>
      </c>
      <c r="E222" s="312"/>
      <c r="F222" s="747"/>
      <c r="G222" s="430" t="s">
        <v>344</v>
      </c>
      <c r="H222" s="430" t="s">
        <v>1264</v>
      </c>
      <c r="I222" s="743" t="s">
        <v>345</v>
      </c>
      <c r="J222" s="743" t="s">
        <v>2712</v>
      </c>
      <c r="K222" s="751" t="s">
        <v>278</v>
      </c>
      <c r="L222" s="752" t="s">
        <v>438</v>
      </c>
      <c r="M222" s="754" t="s">
        <v>2699</v>
      </c>
      <c r="N222" s="744" t="s">
        <v>367</v>
      </c>
      <c r="O222" s="322"/>
      <c r="P222" s="185"/>
      <c r="Q222" s="430"/>
      <c r="R222" s="616" t="s">
        <v>366</v>
      </c>
      <c r="S222" s="616" t="s">
        <v>2274</v>
      </c>
      <c r="U222" s="481" t="s">
        <v>1979</v>
      </c>
      <c r="V222" s="481" t="s">
        <v>3742</v>
      </c>
      <c r="X222" s="481"/>
      <c r="Y222" s="481"/>
      <c r="AA222" s="1486"/>
    </row>
    <row r="223" spans="3:27" ht="10.5" customHeight="1">
      <c r="C223" s="417" t="s">
        <v>2263</v>
      </c>
      <c r="D223" s="497">
        <v>47300</v>
      </c>
      <c r="E223" s="312"/>
      <c r="F223" s="747"/>
      <c r="G223" s="430" t="s">
        <v>346</v>
      </c>
      <c r="H223" s="430" t="s">
        <v>1264</v>
      </c>
      <c r="I223" s="743" t="s">
        <v>347</v>
      </c>
      <c r="J223" s="743" t="s">
        <v>2712</v>
      </c>
      <c r="K223" s="751" t="s">
        <v>279</v>
      </c>
      <c r="L223" s="752" t="s">
        <v>438</v>
      </c>
      <c r="M223" s="754" t="s">
        <v>2699</v>
      </c>
      <c r="N223" s="744" t="s">
        <v>369</v>
      </c>
      <c r="O223" s="322"/>
      <c r="P223" s="185"/>
      <c r="Q223" s="430"/>
      <c r="R223" s="616" t="s">
        <v>368</v>
      </c>
      <c r="S223" s="616" t="s">
        <v>994</v>
      </c>
      <c r="U223" s="481" t="s">
        <v>2335</v>
      </c>
      <c r="V223" s="481" t="s">
        <v>3742</v>
      </c>
      <c r="X223" s="481"/>
      <c r="Y223" s="481"/>
      <c r="AA223" s="1486"/>
    </row>
    <row r="224" spans="3:27" ht="10.5" customHeight="1">
      <c r="C224" s="416" t="s">
        <v>2265</v>
      </c>
      <c r="D224" s="497">
        <v>36400</v>
      </c>
      <c r="E224" s="312"/>
      <c r="F224" s="747"/>
      <c r="G224" s="430" t="s">
        <v>445</v>
      </c>
      <c r="H224" s="430" t="s">
        <v>1391</v>
      </c>
      <c r="I224" s="745" t="s">
        <v>1376</v>
      </c>
      <c r="J224" s="745" t="s">
        <v>2713</v>
      </c>
      <c r="K224" s="751" t="s">
        <v>2679</v>
      </c>
      <c r="L224" s="752" t="s">
        <v>439</v>
      </c>
      <c r="M224" s="753" t="s">
        <v>1246</v>
      </c>
      <c r="N224" s="744" t="s">
        <v>2380</v>
      </c>
      <c r="O224" s="322"/>
      <c r="P224" s="185"/>
      <c r="Q224" s="430"/>
      <c r="R224" s="616" t="s">
        <v>370</v>
      </c>
      <c r="S224" s="616" t="s">
        <v>1136</v>
      </c>
      <c r="U224" s="481" t="s">
        <v>435</v>
      </c>
      <c r="V224" s="481" t="s">
        <v>3742</v>
      </c>
      <c r="X224" s="481"/>
      <c r="Y224" s="481"/>
      <c r="AA224" s="1486"/>
    </row>
    <row r="225" spans="3:27" ht="10.5" customHeight="1">
      <c r="C225" s="416" t="s">
        <v>2267</v>
      </c>
      <c r="D225" s="497">
        <v>45100</v>
      </c>
      <c r="E225" s="312"/>
      <c r="F225" s="747"/>
      <c r="G225" s="430" t="s">
        <v>446</v>
      </c>
      <c r="H225" s="430" t="s">
        <v>1391</v>
      </c>
      <c r="I225" s="745" t="s">
        <v>805</v>
      </c>
      <c r="J225" s="745" t="s">
        <v>2713</v>
      </c>
      <c r="K225" s="751" t="s">
        <v>280</v>
      </c>
      <c r="L225" s="752" t="s">
        <v>439</v>
      </c>
      <c r="M225" s="753" t="s">
        <v>1246</v>
      </c>
      <c r="N225" s="744" t="s">
        <v>2382</v>
      </c>
      <c r="O225" s="322"/>
      <c r="P225" s="185"/>
      <c r="Q225" s="430"/>
      <c r="R225" s="616" t="s">
        <v>660</v>
      </c>
      <c r="S225" s="616" t="s">
        <v>1517</v>
      </c>
      <c r="U225" s="481" t="s">
        <v>2372</v>
      </c>
      <c r="V225" s="481" t="s">
        <v>3742</v>
      </c>
      <c r="X225" s="481"/>
      <c r="Y225" s="481"/>
      <c r="AA225" s="1486"/>
    </row>
    <row r="226" spans="3:27" ht="10.5" customHeight="1">
      <c r="C226" s="417" t="s">
        <v>2269</v>
      </c>
      <c r="D226" s="497">
        <v>40900</v>
      </c>
      <c r="E226" s="312"/>
      <c r="F226" s="747"/>
      <c r="G226" s="430" t="s">
        <v>1516</v>
      </c>
      <c r="H226" s="430" t="s">
        <v>1264</v>
      </c>
      <c r="I226" s="743" t="s">
        <v>1770</v>
      </c>
      <c r="J226" s="743" t="s">
        <v>2713</v>
      </c>
      <c r="K226" s="751" t="s">
        <v>2682</v>
      </c>
      <c r="L226" s="752" t="s">
        <v>439</v>
      </c>
      <c r="M226" s="753" t="s">
        <v>1246</v>
      </c>
      <c r="N226" s="744" t="s">
        <v>2383</v>
      </c>
      <c r="O226" s="322"/>
      <c r="P226" s="185"/>
      <c r="Q226" s="430"/>
      <c r="R226" s="616" t="s">
        <v>2381</v>
      </c>
      <c r="S226" s="616" t="s">
        <v>702</v>
      </c>
      <c r="U226" s="481" t="s">
        <v>3732</v>
      </c>
      <c r="V226" s="481" t="s">
        <v>3742</v>
      </c>
      <c r="X226" s="481"/>
      <c r="Y226" s="481"/>
      <c r="AA226" s="1486"/>
    </row>
    <row r="227" spans="3:27" ht="10.5" customHeight="1">
      <c r="C227" s="417" t="s">
        <v>2271</v>
      </c>
      <c r="D227" s="497">
        <v>38800</v>
      </c>
      <c r="E227" s="312"/>
      <c r="F227" s="747"/>
      <c r="G227" s="430" t="s">
        <v>1517</v>
      </c>
      <c r="H227" s="430" t="s">
        <v>1264</v>
      </c>
      <c r="I227" s="743" t="s">
        <v>1518</v>
      </c>
      <c r="J227" s="743" t="s">
        <v>2712</v>
      </c>
      <c r="K227" s="751" t="s">
        <v>281</v>
      </c>
      <c r="L227" s="752" t="s">
        <v>438</v>
      </c>
      <c r="M227" s="754" t="s">
        <v>2699</v>
      </c>
      <c r="N227" s="744" t="s">
        <v>2384</v>
      </c>
      <c r="O227" s="322"/>
      <c r="P227" s="185"/>
      <c r="Q227" s="430"/>
      <c r="R227" s="616" t="s">
        <v>1388</v>
      </c>
      <c r="S227" s="616" t="s">
        <v>700</v>
      </c>
      <c r="U227" s="481" t="s">
        <v>707</v>
      </c>
      <c r="V227" s="481" t="s">
        <v>3742</v>
      </c>
      <c r="X227" s="481"/>
      <c r="Y227" s="481"/>
      <c r="AA227" s="1486"/>
    </row>
    <row r="228" spans="3:27" ht="10.5" customHeight="1">
      <c r="C228" s="417" t="s">
        <v>2273</v>
      </c>
      <c r="D228" s="497">
        <v>50400</v>
      </c>
      <c r="E228" s="312"/>
      <c r="F228" s="747"/>
      <c r="G228" s="430" t="s">
        <v>1519</v>
      </c>
      <c r="H228" s="430" t="s">
        <v>1264</v>
      </c>
      <c r="I228" s="745" t="s">
        <v>1858</v>
      </c>
      <c r="J228" s="745" t="s">
        <v>2713</v>
      </c>
      <c r="K228" s="751" t="s">
        <v>1210</v>
      </c>
      <c r="L228" s="752" t="s">
        <v>439</v>
      </c>
      <c r="M228" s="753" t="s">
        <v>1246</v>
      </c>
      <c r="N228" s="744" t="s">
        <v>1626</v>
      </c>
      <c r="O228" s="322"/>
      <c r="P228" s="185"/>
      <c r="Q228" s="430"/>
      <c r="R228" s="616" t="s">
        <v>3127</v>
      </c>
      <c r="S228" s="616" t="s">
        <v>702</v>
      </c>
      <c r="U228" s="481" t="s">
        <v>2484</v>
      </c>
      <c r="V228" s="481" t="s">
        <v>3742</v>
      </c>
      <c r="X228" s="481"/>
      <c r="Y228" s="481"/>
      <c r="AA228" s="1486"/>
    </row>
    <row r="229" spans="3:27" ht="10.5" customHeight="1">
      <c r="C229" s="417" t="s">
        <v>910</v>
      </c>
      <c r="D229" s="497">
        <v>37900</v>
      </c>
      <c r="E229" s="312"/>
      <c r="F229" s="747"/>
      <c r="G229" s="430" t="s">
        <v>1520</v>
      </c>
      <c r="H229" s="430" t="s">
        <v>1264</v>
      </c>
      <c r="I229" s="743" t="s">
        <v>806</v>
      </c>
      <c r="J229" s="743" t="s">
        <v>2713</v>
      </c>
      <c r="K229" s="751" t="s">
        <v>282</v>
      </c>
      <c r="L229" s="752" t="s">
        <v>439</v>
      </c>
      <c r="M229" s="754" t="s">
        <v>1246</v>
      </c>
      <c r="N229" s="744" t="s">
        <v>1628</v>
      </c>
      <c r="O229" s="322"/>
      <c r="P229" s="185"/>
      <c r="Q229" s="430"/>
      <c r="R229" s="616" t="s">
        <v>2385</v>
      </c>
      <c r="S229" s="616" t="s">
        <v>106</v>
      </c>
      <c r="U229" s="481" t="s">
        <v>230</v>
      </c>
      <c r="V229" s="481" t="s">
        <v>3742</v>
      </c>
      <c r="X229" s="481"/>
      <c r="Y229" s="481"/>
      <c r="AA229" s="1486"/>
    </row>
    <row r="230" spans="3:27" ht="10.5" customHeight="1">
      <c r="C230" s="417" t="s">
        <v>912</v>
      </c>
      <c r="D230" s="497">
        <v>33900</v>
      </c>
      <c r="E230" s="312"/>
      <c r="F230" s="747"/>
      <c r="G230" s="430" t="s">
        <v>1521</v>
      </c>
      <c r="H230" s="430" t="s">
        <v>1391</v>
      </c>
      <c r="I230" s="743" t="s">
        <v>1522</v>
      </c>
      <c r="J230" s="743" t="s">
        <v>2712</v>
      </c>
      <c r="K230" s="751" t="s">
        <v>2622</v>
      </c>
      <c r="L230" s="752" t="s">
        <v>438</v>
      </c>
      <c r="M230" s="754" t="s">
        <v>2699</v>
      </c>
      <c r="N230" s="744" t="s">
        <v>1630</v>
      </c>
      <c r="O230" s="322"/>
      <c r="P230" s="185"/>
      <c r="Q230" s="430"/>
      <c r="R230" s="616" t="s">
        <v>1627</v>
      </c>
      <c r="S230" s="616" t="s">
        <v>1702</v>
      </c>
      <c r="U230" s="481" t="s">
        <v>692</v>
      </c>
      <c r="V230" s="481" t="s">
        <v>3742</v>
      </c>
      <c r="X230" s="481"/>
      <c r="Y230" s="481"/>
      <c r="AA230" s="1486"/>
    </row>
    <row r="231" spans="3:27" ht="10.5" customHeight="1">
      <c r="C231" s="417" t="s">
        <v>1736</v>
      </c>
      <c r="D231" s="497">
        <v>43600</v>
      </c>
      <c r="E231" s="312"/>
      <c r="F231" s="747"/>
      <c r="G231" s="430" t="s">
        <v>1523</v>
      </c>
      <c r="H231" s="430" t="s">
        <v>1264</v>
      </c>
      <c r="I231" s="743" t="s">
        <v>1524</v>
      </c>
      <c r="J231" s="743" t="s">
        <v>2713</v>
      </c>
      <c r="K231" s="751" t="s">
        <v>727</v>
      </c>
      <c r="L231" s="752" t="s">
        <v>439</v>
      </c>
      <c r="M231" s="753" t="s">
        <v>1246</v>
      </c>
      <c r="N231" s="744" t="s">
        <v>1632</v>
      </c>
      <c r="O231" s="322"/>
      <c r="P231" s="185"/>
      <c r="Q231" s="430"/>
      <c r="R231" s="616" t="s">
        <v>2664</v>
      </c>
      <c r="S231" s="616" t="s">
        <v>658</v>
      </c>
      <c r="U231" s="481" t="s">
        <v>244</v>
      </c>
      <c r="V231" s="481" t="s">
        <v>3742</v>
      </c>
      <c r="X231" s="481"/>
      <c r="Y231" s="481"/>
      <c r="AA231" s="1486"/>
    </row>
    <row r="232" spans="3:27" ht="10.5" customHeight="1">
      <c r="C232" s="417" t="s">
        <v>1992</v>
      </c>
      <c r="D232" s="497">
        <v>49700</v>
      </c>
      <c r="E232" s="312"/>
      <c r="F232" s="747"/>
      <c r="G232" s="430" t="s">
        <v>181</v>
      </c>
      <c r="H232" s="430" t="s">
        <v>1264</v>
      </c>
      <c r="I232" s="743" t="s">
        <v>1770</v>
      </c>
      <c r="J232" s="743" t="s">
        <v>2713</v>
      </c>
      <c r="K232" s="751" t="s">
        <v>2682</v>
      </c>
      <c r="L232" s="752" t="s">
        <v>439</v>
      </c>
      <c r="M232" s="754" t="s">
        <v>1246</v>
      </c>
      <c r="N232" s="744" t="s">
        <v>1634</v>
      </c>
      <c r="O232" s="322"/>
      <c r="P232" s="185"/>
      <c r="Q232" s="430"/>
      <c r="R232" s="616" t="s">
        <v>1629</v>
      </c>
      <c r="S232" s="616" t="s">
        <v>693</v>
      </c>
      <c r="U232" s="481" t="s">
        <v>693</v>
      </c>
      <c r="V232" s="481" t="s">
        <v>3742</v>
      </c>
      <c r="X232" s="481"/>
      <c r="Y232" s="481"/>
      <c r="AA232" s="1486"/>
    </row>
    <row r="233" spans="3:27" ht="10.5" customHeight="1">
      <c r="C233" s="416" t="s">
        <v>1994</v>
      </c>
      <c r="D233" s="497">
        <v>50700</v>
      </c>
      <c r="E233" s="312"/>
      <c r="F233" s="747"/>
      <c r="G233" s="430" t="s">
        <v>182</v>
      </c>
      <c r="H233" s="430" t="s">
        <v>1367</v>
      </c>
      <c r="I233" s="745" t="s">
        <v>183</v>
      </c>
      <c r="J233" s="745" t="s">
        <v>2712</v>
      </c>
      <c r="K233" s="751" t="s">
        <v>728</v>
      </c>
      <c r="L233" s="752" t="s">
        <v>438</v>
      </c>
      <c r="M233" s="754" t="s">
        <v>2699</v>
      </c>
      <c r="N233" s="744" t="s">
        <v>1818</v>
      </c>
      <c r="O233" s="322"/>
      <c r="P233" s="185"/>
      <c r="Q233" s="430"/>
      <c r="R233" s="616" t="s">
        <v>3128</v>
      </c>
      <c r="S233" s="616" t="s">
        <v>2333</v>
      </c>
      <c r="U233" s="481" t="s">
        <v>826</v>
      </c>
      <c r="V233" s="481" t="s">
        <v>3742</v>
      </c>
      <c r="X233" s="481"/>
      <c r="Y233" s="481"/>
      <c r="AA233" s="1486"/>
    </row>
    <row r="234" spans="3:27" ht="10.5" customHeight="1">
      <c r="C234" s="416" t="s">
        <v>1996</v>
      </c>
      <c r="D234" s="497">
        <v>47900</v>
      </c>
      <c r="E234" s="312"/>
      <c r="F234" s="747"/>
      <c r="G234" s="430" t="s">
        <v>1376</v>
      </c>
      <c r="H234" s="430" t="s">
        <v>1391</v>
      </c>
      <c r="I234" s="743" t="s">
        <v>184</v>
      </c>
      <c r="J234" s="743" t="s">
        <v>2712</v>
      </c>
      <c r="K234" s="751" t="s">
        <v>729</v>
      </c>
      <c r="L234" s="752" t="s">
        <v>438</v>
      </c>
      <c r="M234" s="754" t="s">
        <v>2699</v>
      </c>
      <c r="N234" s="744" t="s">
        <v>1820</v>
      </c>
      <c r="O234" s="322"/>
      <c r="P234" s="185"/>
      <c r="Q234" s="430"/>
      <c r="R234" s="616" t="s">
        <v>1631</v>
      </c>
      <c r="S234" s="616" t="s">
        <v>170</v>
      </c>
      <c r="U234" s="481" t="s">
        <v>3733</v>
      </c>
      <c r="V234" s="481" t="s">
        <v>3742</v>
      </c>
      <c r="X234" s="481"/>
      <c r="Y234" s="481"/>
      <c r="AA234" s="1486"/>
    </row>
    <row r="235" spans="3:27" ht="10.5" customHeight="1">
      <c r="C235" s="416" t="s">
        <v>1998</v>
      </c>
      <c r="D235" s="497">
        <v>52000</v>
      </c>
      <c r="E235" s="312"/>
      <c r="F235" s="747"/>
      <c r="G235" s="430" t="s">
        <v>185</v>
      </c>
      <c r="H235" s="430" t="s">
        <v>1391</v>
      </c>
      <c r="I235" s="743" t="s">
        <v>2131</v>
      </c>
      <c r="J235" s="743" t="s">
        <v>2713</v>
      </c>
      <c r="K235" s="751" t="s">
        <v>650</v>
      </c>
      <c r="L235" s="752" t="s">
        <v>439</v>
      </c>
      <c r="M235" s="753" t="s">
        <v>1246</v>
      </c>
      <c r="N235" s="744" t="s">
        <v>1822</v>
      </c>
      <c r="O235" s="322"/>
      <c r="P235" s="185"/>
      <c r="Q235" s="430"/>
      <c r="R235" s="616" t="s">
        <v>1633</v>
      </c>
      <c r="S235" s="616" t="s">
        <v>1369</v>
      </c>
      <c r="U235" s="481" t="s">
        <v>3734</v>
      </c>
      <c r="V235" s="481" t="s">
        <v>3742</v>
      </c>
      <c r="X235" s="481"/>
      <c r="Y235" s="481"/>
      <c r="AA235" s="1486"/>
    </row>
    <row r="236" spans="3:27" ht="10.5" customHeight="1">
      <c r="C236" s="416" t="s">
        <v>2000</v>
      </c>
      <c r="D236" s="497">
        <v>52700</v>
      </c>
      <c r="E236" s="312"/>
      <c r="F236" s="747"/>
      <c r="G236" s="430" t="s">
        <v>371</v>
      </c>
      <c r="H236" s="430" t="s">
        <v>1391</v>
      </c>
      <c r="I236" s="745" t="s">
        <v>167</v>
      </c>
      <c r="J236" s="745" t="s">
        <v>2713</v>
      </c>
      <c r="K236" s="751" t="s">
        <v>1756</v>
      </c>
      <c r="L236" s="752" t="s">
        <v>439</v>
      </c>
      <c r="M236" s="753" t="s">
        <v>1246</v>
      </c>
      <c r="N236" s="744" t="s">
        <v>1067</v>
      </c>
      <c r="O236" s="322"/>
      <c r="P236" s="185"/>
      <c r="Q236" s="430"/>
      <c r="R236" s="616" t="s">
        <v>1635</v>
      </c>
      <c r="S236" s="616" t="s">
        <v>185</v>
      </c>
      <c r="U236" s="481" t="s">
        <v>1274</v>
      </c>
      <c r="V236" s="481" t="s">
        <v>3742</v>
      </c>
      <c r="X236" s="481"/>
      <c r="Y236" s="481"/>
      <c r="AA236" s="1486"/>
    </row>
    <row r="237" spans="3:27" ht="10.5" customHeight="1">
      <c r="C237" s="416" t="s">
        <v>2002</v>
      </c>
      <c r="D237" s="497">
        <v>37500</v>
      </c>
      <c r="E237" s="312"/>
      <c r="F237" s="747"/>
      <c r="G237" s="430" t="s">
        <v>1960</v>
      </c>
      <c r="H237" s="430" t="s">
        <v>1391</v>
      </c>
      <c r="I237" s="745" t="s">
        <v>803</v>
      </c>
      <c r="J237" s="745" t="s">
        <v>2713</v>
      </c>
      <c r="K237" s="751" t="s">
        <v>2698</v>
      </c>
      <c r="L237" s="752" t="s">
        <v>439</v>
      </c>
      <c r="M237" s="753" t="s">
        <v>1246</v>
      </c>
      <c r="N237" s="744" t="s">
        <v>1068</v>
      </c>
      <c r="O237" s="322"/>
      <c r="P237" s="185"/>
      <c r="Q237" s="430"/>
      <c r="R237" s="616" t="s">
        <v>1819</v>
      </c>
      <c r="S237" s="616" t="s">
        <v>693</v>
      </c>
      <c r="U237" s="481" t="s">
        <v>713</v>
      </c>
      <c r="V237" s="481" t="s">
        <v>3742</v>
      </c>
      <c r="X237" s="481"/>
      <c r="Y237" s="481"/>
      <c r="AA237" s="1486"/>
    </row>
    <row r="238" spans="3:27" ht="10.5" customHeight="1">
      <c r="C238" s="417" t="s">
        <v>2005</v>
      </c>
      <c r="D238" s="497">
        <v>51300</v>
      </c>
      <c r="E238" s="312"/>
      <c r="F238" s="747"/>
      <c r="G238" s="430" t="s">
        <v>1961</v>
      </c>
      <c r="H238" s="430" t="s">
        <v>1264</v>
      </c>
      <c r="I238" s="743" t="s">
        <v>12</v>
      </c>
      <c r="J238" s="743" t="s">
        <v>2713</v>
      </c>
      <c r="K238" s="751" t="s">
        <v>2681</v>
      </c>
      <c r="L238" s="752" t="s">
        <v>439</v>
      </c>
      <c r="M238" s="753" t="s">
        <v>1246</v>
      </c>
      <c r="N238" s="744" t="s">
        <v>248</v>
      </c>
      <c r="O238" s="322"/>
      <c r="P238" s="185"/>
      <c r="Q238" s="430"/>
      <c r="R238" s="616" t="s">
        <v>1821</v>
      </c>
      <c r="S238" s="616" t="s">
        <v>770</v>
      </c>
      <c r="U238" s="481" t="s">
        <v>700</v>
      </c>
      <c r="V238" s="481" t="s">
        <v>3742</v>
      </c>
      <c r="X238" s="481"/>
      <c r="Y238" s="481"/>
      <c r="AA238" s="1486"/>
    </row>
    <row r="239" spans="3:27" ht="10.5" customHeight="1">
      <c r="C239" s="416" t="s">
        <v>2092</v>
      </c>
      <c r="D239" s="497">
        <v>45000</v>
      </c>
      <c r="E239" s="312"/>
      <c r="F239" s="747"/>
      <c r="G239" s="430" t="s">
        <v>1962</v>
      </c>
      <c r="H239" s="430" t="s">
        <v>1391</v>
      </c>
      <c r="I239" s="745" t="s">
        <v>807</v>
      </c>
      <c r="J239" s="745" t="s">
        <v>2713</v>
      </c>
      <c r="K239" s="751" t="s">
        <v>730</v>
      </c>
      <c r="L239" s="752" t="s">
        <v>439</v>
      </c>
      <c r="M239" s="753" t="s">
        <v>1246</v>
      </c>
      <c r="N239" s="744" t="s">
        <v>250</v>
      </c>
      <c r="O239" s="322"/>
      <c r="P239" s="185"/>
      <c r="Q239" s="430"/>
      <c r="R239" s="616" t="s">
        <v>1066</v>
      </c>
      <c r="S239" s="616" t="s">
        <v>1370</v>
      </c>
      <c r="U239" s="481" t="s">
        <v>1024</v>
      </c>
      <c r="V239" s="481" t="s">
        <v>3742</v>
      </c>
      <c r="X239" s="481"/>
      <c r="Y239" s="481"/>
      <c r="AA239" s="1486"/>
    </row>
    <row r="240" spans="3:27" ht="10.5" customHeight="1">
      <c r="C240" s="416" t="s">
        <v>1770</v>
      </c>
      <c r="D240" s="497">
        <v>50400</v>
      </c>
      <c r="E240" s="312"/>
      <c r="F240" s="747"/>
      <c r="G240" s="430" t="s">
        <v>1700</v>
      </c>
      <c r="H240" s="430" t="s">
        <v>1264</v>
      </c>
      <c r="I240" s="743" t="s">
        <v>1701</v>
      </c>
      <c r="J240" s="743" t="s">
        <v>2712</v>
      </c>
      <c r="K240" s="751" t="s">
        <v>731</v>
      </c>
      <c r="L240" s="752" t="s">
        <v>438</v>
      </c>
      <c r="M240" s="754" t="s">
        <v>2699</v>
      </c>
      <c r="N240" s="744" t="s">
        <v>1317</v>
      </c>
      <c r="O240" s="322"/>
      <c r="P240" s="185"/>
      <c r="Q240" s="430"/>
      <c r="R240" s="616" t="s">
        <v>1069</v>
      </c>
      <c r="S240" s="616" t="s">
        <v>691</v>
      </c>
      <c r="U240" s="481" t="s">
        <v>1028</v>
      </c>
      <c r="V240" s="481" t="s">
        <v>3742</v>
      </c>
      <c r="X240" s="481"/>
      <c r="Y240" s="481"/>
      <c r="AA240" s="1486"/>
    </row>
    <row r="241" spans="3:27" ht="10.5" customHeight="1">
      <c r="C241" s="417" t="s">
        <v>105</v>
      </c>
      <c r="D241" s="497">
        <v>49200</v>
      </c>
      <c r="E241" s="312"/>
      <c r="F241" s="747"/>
      <c r="G241" s="430" t="s">
        <v>1702</v>
      </c>
      <c r="H241" s="430" t="s">
        <v>1264</v>
      </c>
      <c r="I241" s="743" t="s">
        <v>1703</v>
      </c>
      <c r="J241" s="743" t="s">
        <v>2712</v>
      </c>
      <c r="K241" s="751" t="s">
        <v>732</v>
      </c>
      <c r="L241" s="752" t="s">
        <v>438</v>
      </c>
      <c r="M241" s="754" t="s">
        <v>2699</v>
      </c>
      <c r="N241" s="744" t="s">
        <v>2147</v>
      </c>
      <c r="O241" s="322"/>
      <c r="P241" s="185"/>
      <c r="Q241" s="430"/>
      <c r="R241" s="616" t="s">
        <v>249</v>
      </c>
      <c r="S241" s="616" t="s">
        <v>2629</v>
      </c>
      <c r="U241" s="481" t="s">
        <v>1030</v>
      </c>
      <c r="V241" s="481" t="s">
        <v>3742</v>
      </c>
      <c r="X241" s="481"/>
      <c r="Y241" s="481"/>
      <c r="AA241" s="1486"/>
    </row>
    <row r="242" spans="3:27" ht="10.5" customHeight="1">
      <c r="C242" s="416" t="s">
        <v>1783</v>
      </c>
      <c r="D242" s="497">
        <v>71800</v>
      </c>
      <c r="E242" s="312"/>
      <c r="F242" s="747"/>
      <c r="G242" s="430" t="s">
        <v>1704</v>
      </c>
      <c r="H242" s="430" t="s">
        <v>1391</v>
      </c>
      <c r="I242" s="745" t="s">
        <v>2130</v>
      </c>
      <c r="J242" s="745" t="s">
        <v>2713</v>
      </c>
      <c r="K242" s="751" t="s">
        <v>733</v>
      </c>
      <c r="L242" s="752" t="s">
        <v>439</v>
      </c>
      <c r="M242" s="753" t="s">
        <v>1246</v>
      </c>
      <c r="N242" s="744" t="s">
        <v>2149</v>
      </c>
      <c r="O242" s="322"/>
      <c r="P242" s="185"/>
      <c r="Q242" s="430"/>
      <c r="R242" s="616" t="s">
        <v>3129</v>
      </c>
      <c r="S242" s="616" t="s">
        <v>914</v>
      </c>
      <c r="U242" s="481" t="s">
        <v>601</v>
      </c>
      <c r="V242" s="481" t="s">
        <v>3742</v>
      </c>
      <c r="X242" s="481"/>
      <c r="Y242" s="481"/>
      <c r="AA242" s="1486"/>
    </row>
    <row r="243" spans="3:27" ht="10.5" customHeight="1">
      <c r="C243" s="416" t="s">
        <v>107</v>
      </c>
      <c r="D243" s="497">
        <v>40400</v>
      </c>
      <c r="F243" s="747"/>
      <c r="G243" s="430" t="s">
        <v>190</v>
      </c>
      <c r="H243" s="430" t="s">
        <v>1264</v>
      </c>
      <c r="I243" s="743" t="s">
        <v>191</v>
      </c>
      <c r="J243" s="743" t="s">
        <v>2712</v>
      </c>
      <c r="K243" s="751" t="s">
        <v>734</v>
      </c>
      <c r="L243" s="752" t="s">
        <v>438</v>
      </c>
      <c r="M243" s="754" t="s">
        <v>2699</v>
      </c>
      <c r="N243" s="744" t="s">
        <v>2151</v>
      </c>
      <c r="O243" s="322"/>
      <c r="P243" s="185"/>
      <c r="Q243" s="430"/>
      <c r="R243" s="746" t="s">
        <v>1834</v>
      </c>
      <c r="S243" s="746" t="s">
        <v>1142</v>
      </c>
      <c r="U243" s="481" t="s">
        <v>387</v>
      </c>
      <c r="V243" s="481" t="s">
        <v>3742</v>
      </c>
      <c r="X243" s="481"/>
      <c r="Y243" s="481"/>
      <c r="AA243" s="1486"/>
    </row>
    <row r="244" spans="3:27" ht="10.5" customHeight="1">
      <c r="C244" s="416" t="s">
        <v>109</v>
      </c>
      <c r="D244" s="497">
        <v>49300</v>
      </c>
      <c r="F244" s="747"/>
      <c r="G244" s="430" t="s">
        <v>2684</v>
      </c>
      <c r="H244" s="430" t="s">
        <v>1391</v>
      </c>
      <c r="I244" s="745" t="s">
        <v>2685</v>
      </c>
      <c r="J244" s="745" t="s">
        <v>2712</v>
      </c>
      <c r="K244" s="751" t="s">
        <v>735</v>
      </c>
      <c r="L244" s="752" t="s">
        <v>438</v>
      </c>
      <c r="M244" s="754" t="s">
        <v>2699</v>
      </c>
      <c r="N244" s="744" t="s">
        <v>2153</v>
      </c>
      <c r="O244" s="322"/>
      <c r="P244" s="185"/>
      <c r="Q244" s="430"/>
      <c r="R244" s="616" t="s">
        <v>2148</v>
      </c>
      <c r="S244" s="616" t="s">
        <v>334</v>
      </c>
      <c r="U244" s="481" t="s">
        <v>1662</v>
      </c>
      <c r="V244" s="481" t="s">
        <v>3742</v>
      </c>
      <c r="X244" s="481"/>
      <c r="Y244" s="481"/>
      <c r="AA244" s="1487"/>
    </row>
    <row r="245" spans="3:27" ht="10.5" customHeight="1">
      <c r="C245" s="416" t="s">
        <v>111</v>
      </c>
      <c r="D245" s="497">
        <v>46700</v>
      </c>
      <c r="F245" s="747"/>
      <c r="G245" s="430" t="s">
        <v>2686</v>
      </c>
      <c r="H245" s="430" t="s">
        <v>1367</v>
      </c>
      <c r="I245" s="743" t="s">
        <v>2687</v>
      </c>
      <c r="J245" s="743" t="s">
        <v>2713</v>
      </c>
      <c r="K245" s="751" t="s">
        <v>2036</v>
      </c>
      <c r="L245" s="752" t="s">
        <v>439</v>
      </c>
      <c r="M245" s="753" t="s">
        <v>1246</v>
      </c>
      <c r="N245" s="744" t="s">
        <v>2155</v>
      </c>
      <c r="O245" s="322"/>
      <c r="P245" s="185"/>
      <c r="Q245" s="430"/>
      <c r="R245" s="616" t="s">
        <v>2150</v>
      </c>
      <c r="S245" s="616" t="s">
        <v>332</v>
      </c>
      <c r="U245" s="481" t="s">
        <v>1052</v>
      </c>
      <c r="V245" s="481" t="s">
        <v>3742</v>
      </c>
      <c r="X245" s="481"/>
      <c r="Y245" s="481"/>
      <c r="AA245" s="1486"/>
    </row>
    <row r="246" spans="3:27" ht="10.5" customHeight="1">
      <c r="C246" s="416" t="s">
        <v>113</v>
      </c>
      <c r="D246" s="497">
        <v>52200</v>
      </c>
      <c r="F246" s="747"/>
      <c r="G246" s="430" t="s">
        <v>2688</v>
      </c>
      <c r="H246" s="430" t="s">
        <v>1391</v>
      </c>
      <c r="I246" s="745" t="s">
        <v>167</v>
      </c>
      <c r="J246" s="745" t="s">
        <v>2713</v>
      </c>
      <c r="K246" s="751" t="s">
        <v>1756</v>
      </c>
      <c r="L246" s="752" t="s">
        <v>439</v>
      </c>
      <c r="M246" s="754" t="s">
        <v>1246</v>
      </c>
      <c r="N246" s="744" t="s">
        <v>2157</v>
      </c>
      <c r="O246" s="322"/>
      <c r="P246" s="185"/>
      <c r="Q246" s="430"/>
      <c r="R246" s="616" t="s">
        <v>2152</v>
      </c>
      <c r="S246" s="616" t="s">
        <v>658</v>
      </c>
      <c r="U246" s="481" t="s">
        <v>1054</v>
      </c>
      <c r="V246" s="481" t="s">
        <v>3742</v>
      </c>
      <c r="X246" s="481"/>
      <c r="Y246" s="481"/>
      <c r="AA246" s="1486"/>
    </row>
    <row r="247" spans="3:27" ht="10.5" customHeight="1">
      <c r="C247" s="416" t="s">
        <v>115</v>
      </c>
      <c r="D247" s="497">
        <v>37400</v>
      </c>
      <c r="F247" s="747"/>
      <c r="G247" s="430" t="s">
        <v>2689</v>
      </c>
      <c r="H247" s="430" t="s">
        <v>1391</v>
      </c>
      <c r="I247" s="745" t="s">
        <v>802</v>
      </c>
      <c r="J247" s="745" t="s">
        <v>2713</v>
      </c>
      <c r="K247" s="751" t="s">
        <v>2676</v>
      </c>
      <c r="L247" s="752" t="s">
        <v>439</v>
      </c>
      <c r="M247" s="753" t="s">
        <v>1246</v>
      </c>
      <c r="N247" s="744" t="s">
        <v>708</v>
      </c>
      <c r="O247" s="322"/>
      <c r="P247" s="185"/>
      <c r="Q247" s="430"/>
      <c r="R247" s="616" t="s">
        <v>2154</v>
      </c>
      <c r="S247" s="616" t="s">
        <v>2686</v>
      </c>
      <c r="U247" s="481" t="s">
        <v>1753</v>
      </c>
      <c r="V247" s="481" t="s">
        <v>3742</v>
      </c>
      <c r="X247" s="481"/>
      <c r="Y247" s="481"/>
      <c r="AA247" s="1486"/>
    </row>
    <row r="248" spans="3:27" ht="10.5" customHeight="1">
      <c r="C248" s="416" t="s">
        <v>117</v>
      </c>
      <c r="D248" s="497">
        <v>54200</v>
      </c>
      <c r="F248" s="747"/>
      <c r="G248" s="430" t="s">
        <v>2690</v>
      </c>
      <c r="H248" s="430" t="s">
        <v>1391</v>
      </c>
      <c r="I248" s="743" t="s">
        <v>2131</v>
      </c>
      <c r="J248" s="743" t="s">
        <v>2713</v>
      </c>
      <c r="K248" s="751" t="s">
        <v>650</v>
      </c>
      <c r="L248" s="752" t="s">
        <v>439</v>
      </c>
      <c r="M248" s="753" t="s">
        <v>1246</v>
      </c>
      <c r="N248" s="744" t="s">
        <v>2420</v>
      </c>
      <c r="O248" s="322"/>
      <c r="P248" s="185"/>
      <c r="Q248" s="430"/>
      <c r="R248" s="616" t="s">
        <v>722</v>
      </c>
      <c r="S248" s="616" t="s">
        <v>1259</v>
      </c>
      <c r="U248" s="481" t="s">
        <v>905</v>
      </c>
      <c r="V248" s="481" t="s">
        <v>3742</v>
      </c>
      <c r="X248" s="481"/>
      <c r="Y248" s="481"/>
      <c r="AA248" s="1486"/>
    </row>
    <row r="249" spans="3:27" ht="10.5" customHeight="1">
      <c r="C249" s="416" t="s">
        <v>2492</v>
      </c>
      <c r="D249" s="497">
        <v>41900</v>
      </c>
      <c r="F249" s="747"/>
      <c r="G249" s="430" t="s">
        <v>2691</v>
      </c>
      <c r="H249" s="430" t="s">
        <v>1391</v>
      </c>
      <c r="I249" s="743" t="s">
        <v>2131</v>
      </c>
      <c r="J249" s="743" t="s">
        <v>2713</v>
      </c>
      <c r="K249" s="751" t="s">
        <v>650</v>
      </c>
      <c r="L249" s="752" t="s">
        <v>439</v>
      </c>
      <c r="M249" s="753" t="s">
        <v>1246</v>
      </c>
      <c r="N249" s="744" t="s">
        <v>2421</v>
      </c>
      <c r="O249" s="322"/>
      <c r="P249" s="185"/>
      <c r="Q249" s="430"/>
      <c r="R249" s="616" t="s">
        <v>2665</v>
      </c>
      <c r="S249" s="616" t="s">
        <v>2093</v>
      </c>
      <c r="U249" s="481" t="s">
        <v>1816</v>
      </c>
      <c r="V249" s="481" t="s">
        <v>3742</v>
      </c>
      <c r="X249" s="481"/>
      <c r="Y249" s="481"/>
      <c r="AA249" s="1486"/>
    </row>
    <row r="250" spans="3:27" ht="10.5" customHeight="1">
      <c r="C250" s="416" t="s">
        <v>2494</v>
      </c>
      <c r="D250" s="497">
        <v>39100</v>
      </c>
      <c r="F250" s="747"/>
      <c r="G250" s="430" t="s">
        <v>2692</v>
      </c>
      <c r="H250" s="430" t="s">
        <v>1367</v>
      </c>
      <c r="I250" s="745" t="s">
        <v>802</v>
      </c>
      <c r="J250" s="745" t="s">
        <v>2713</v>
      </c>
      <c r="K250" s="751" t="s">
        <v>2676</v>
      </c>
      <c r="L250" s="752" t="s">
        <v>439</v>
      </c>
      <c r="M250" s="753" t="s">
        <v>1246</v>
      </c>
      <c r="N250" s="744" t="s">
        <v>1300</v>
      </c>
      <c r="O250" s="322"/>
      <c r="P250" s="185"/>
      <c r="Q250" s="430"/>
      <c r="R250" s="616" t="s">
        <v>2156</v>
      </c>
      <c r="S250" s="616" t="s">
        <v>206</v>
      </c>
      <c r="U250" s="481" t="s">
        <v>661</v>
      </c>
      <c r="V250" s="481" t="s">
        <v>3742</v>
      </c>
      <c r="X250" s="481"/>
      <c r="Y250" s="481"/>
      <c r="AA250" s="1486"/>
    </row>
    <row r="251" spans="3:27" ht="10.5" customHeight="1">
      <c r="C251" s="416" t="s">
        <v>2496</v>
      </c>
      <c r="D251" s="497">
        <v>51700</v>
      </c>
      <c r="F251" s="747"/>
      <c r="G251" s="430" t="s">
        <v>1136</v>
      </c>
      <c r="H251" s="430" t="s">
        <v>1391</v>
      </c>
      <c r="I251" s="745" t="s">
        <v>1137</v>
      </c>
      <c r="J251" s="745" t="s">
        <v>2712</v>
      </c>
      <c r="K251" s="751" t="s">
        <v>2037</v>
      </c>
      <c r="L251" s="752" t="s">
        <v>438</v>
      </c>
      <c r="M251" s="754" t="s">
        <v>2699</v>
      </c>
      <c r="N251" s="744" t="s">
        <v>1302</v>
      </c>
      <c r="O251" s="322"/>
      <c r="P251" s="185"/>
      <c r="Q251" s="430"/>
      <c r="R251" s="616" t="s">
        <v>3130</v>
      </c>
      <c r="S251" s="616" t="s">
        <v>695</v>
      </c>
      <c r="U251" s="481" t="s">
        <v>2379</v>
      </c>
      <c r="V251" s="481" t="s">
        <v>3742</v>
      </c>
      <c r="X251" s="481"/>
      <c r="Y251" s="481"/>
      <c r="AA251" s="1486"/>
    </row>
    <row r="252" spans="3:27" ht="10.5" customHeight="1">
      <c r="F252" s="747"/>
      <c r="G252" s="430" t="s">
        <v>1138</v>
      </c>
      <c r="H252" s="430" t="s">
        <v>1367</v>
      </c>
      <c r="I252" s="745" t="s">
        <v>802</v>
      </c>
      <c r="J252" s="745" t="s">
        <v>2713</v>
      </c>
      <c r="K252" s="751" t="s">
        <v>2676</v>
      </c>
      <c r="L252" s="752" t="s">
        <v>439</v>
      </c>
      <c r="M252" s="753" t="s">
        <v>1246</v>
      </c>
      <c r="N252" s="744" t="s">
        <v>1304</v>
      </c>
      <c r="O252" s="322"/>
      <c r="P252" s="185"/>
      <c r="Q252" s="430"/>
      <c r="R252" s="616" t="s">
        <v>2158</v>
      </c>
      <c r="S252" s="616" t="s">
        <v>206</v>
      </c>
      <c r="U252" s="481" t="s">
        <v>1077</v>
      </c>
      <c r="V252" s="481" t="s">
        <v>3742</v>
      </c>
      <c r="AA252" s="1486"/>
    </row>
    <row r="253" spans="3:27" ht="10.5" customHeight="1">
      <c r="F253" s="747"/>
      <c r="G253" s="430" t="s">
        <v>1139</v>
      </c>
      <c r="H253" s="430" t="s">
        <v>1264</v>
      </c>
      <c r="I253" s="743" t="s">
        <v>1140</v>
      </c>
      <c r="J253" s="743" t="s">
        <v>2712</v>
      </c>
      <c r="K253" s="751" t="s">
        <v>2038</v>
      </c>
      <c r="L253" s="752" t="s">
        <v>438</v>
      </c>
      <c r="M253" s="754" t="s">
        <v>2699</v>
      </c>
      <c r="N253" s="744" t="s">
        <v>1305</v>
      </c>
      <c r="O253" s="322"/>
      <c r="P253" s="185"/>
      <c r="Q253" s="430"/>
      <c r="R253" s="616" t="s">
        <v>709</v>
      </c>
      <c r="S253" s="616" t="s">
        <v>2093</v>
      </c>
      <c r="U253" s="481" t="s">
        <v>2028</v>
      </c>
      <c r="V253" s="481" t="s">
        <v>3742</v>
      </c>
      <c r="AA253" s="1486"/>
    </row>
    <row r="254" spans="3:27" ht="10.5" customHeight="1">
      <c r="F254" s="747"/>
      <c r="G254" s="430" t="s">
        <v>1141</v>
      </c>
      <c r="H254" s="430" t="s">
        <v>1391</v>
      </c>
      <c r="I254" s="745" t="s">
        <v>802</v>
      </c>
      <c r="J254" s="745" t="s">
        <v>2713</v>
      </c>
      <c r="K254" s="751" t="s">
        <v>2676</v>
      </c>
      <c r="L254" s="752" t="s">
        <v>439</v>
      </c>
      <c r="M254" s="753" t="s">
        <v>1246</v>
      </c>
      <c r="N254" s="744" t="s">
        <v>1307</v>
      </c>
      <c r="O254" s="322"/>
      <c r="P254" s="185"/>
      <c r="Q254" s="430"/>
      <c r="R254" s="616" t="s">
        <v>2422</v>
      </c>
      <c r="S254" s="616" t="s">
        <v>124</v>
      </c>
      <c r="U254" s="481" t="s">
        <v>516</v>
      </c>
      <c r="V254" s="481" t="s">
        <v>3742</v>
      </c>
      <c r="AA254" s="1486"/>
    </row>
    <row r="255" spans="3:27" ht="10.5" customHeight="1">
      <c r="F255" s="747"/>
      <c r="G255" s="430" t="s">
        <v>1142</v>
      </c>
      <c r="H255" s="430" t="s">
        <v>1367</v>
      </c>
      <c r="I255" s="743" t="s">
        <v>1143</v>
      </c>
      <c r="J255" s="743" t="s">
        <v>2712</v>
      </c>
      <c r="K255" s="751" t="s">
        <v>2039</v>
      </c>
      <c r="L255" s="752" t="s">
        <v>438</v>
      </c>
      <c r="M255" s="754" t="s">
        <v>2699</v>
      </c>
      <c r="N255" s="744" t="s">
        <v>2592</v>
      </c>
      <c r="O255" s="322"/>
      <c r="P255" s="185"/>
      <c r="Q255" s="430"/>
      <c r="R255" s="616" t="s">
        <v>1301</v>
      </c>
      <c r="S255" s="616" t="s">
        <v>658</v>
      </c>
      <c r="U255" s="481" t="s">
        <v>1715</v>
      </c>
      <c r="V255" s="481" t="s">
        <v>3742</v>
      </c>
      <c r="AA255" s="1486"/>
    </row>
    <row r="256" spans="3:27" ht="10.5" customHeight="1">
      <c r="F256" s="747"/>
      <c r="G256" s="430" t="s">
        <v>1144</v>
      </c>
      <c r="H256" s="430" t="s">
        <v>1264</v>
      </c>
      <c r="I256" s="745" t="s">
        <v>1145</v>
      </c>
      <c r="J256" s="745" t="s">
        <v>2712</v>
      </c>
      <c r="K256" s="751" t="s">
        <v>2040</v>
      </c>
      <c r="L256" s="752" t="s">
        <v>438</v>
      </c>
      <c r="M256" s="754" t="s">
        <v>2699</v>
      </c>
      <c r="N256" s="744" t="s">
        <v>84</v>
      </c>
      <c r="O256" s="322"/>
      <c r="P256" s="185"/>
      <c r="Q256" s="430"/>
      <c r="R256" s="616" t="s">
        <v>1303</v>
      </c>
      <c r="S256" s="616" t="s">
        <v>2335</v>
      </c>
      <c r="U256" s="481" t="s">
        <v>983</v>
      </c>
      <c r="V256" s="481" t="s">
        <v>3742</v>
      </c>
      <c r="AA256" s="1486"/>
    </row>
    <row r="257" spans="6:27" ht="10.5" customHeight="1">
      <c r="F257" s="747"/>
      <c r="G257" s="430" t="s">
        <v>1146</v>
      </c>
      <c r="H257" s="430" t="s">
        <v>1391</v>
      </c>
      <c r="I257" s="745" t="s">
        <v>1147</v>
      </c>
      <c r="J257" s="745" t="s">
        <v>2712</v>
      </c>
      <c r="K257" s="751" t="s">
        <v>2041</v>
      </c>
      <c r="L257" s="752" t="s">
        <v>438</v>
      </c>
      <c r="M257" s="754" t="s">
        <v>2699</v>
      </c>
      <c r="N257" s="744" t="s">
        <v>85</v>
      </c>
      <c r="O257" s="322"/>
      <c r="P257" s="185"/>
      <c r="Q257" s="430"/>
      <c r="R257" s="616" t="s">
        <v>2581</v>
      </c>
      <c r="S257" s="616" t="s">
        <v>1150</v>
      </c>
      <c r="U257" s="481" t="s">
        <v>2398</v>
      </c>
      <c r="V257" s="481" t="s">
        <v>3742</v>
      </c>
      <c r="AA257" s="1486"/>
    </row>
    <row r="258" spans="6:27" ht="10.5" customHeight="1">
      <c r="F258" s="747"/>
      <c r="G258" s="430" t="s">
        <v>1148</v>
      </c>
      <c r="H258" s="430" t="s">
        <v>1264</v>
      </c>
      <c r="I258" s="743" t="s">
        <v>1149</v>
      </c>
      <c r="J258" s="743" t="s">
        <v>2712</v>
      </c>
      <c r="K258" s="751" t="s">
        <v>1860</v>
      </c>
      <c r="L258" s="752" t="s">
        <v>438</v>
      </c>
      <c r="M258" s="754" t="s">
        <v>2699</v>
      </c>
      <c r="N258" s="744" t="s">
        <v>86</v>
      </c>
      <c r="O258" s="322"/>
      <c r="P258" s="185"/>
      <c r="Q258" s="430"/>
      <c r="R258" s="616" t="s">
        <v>1306</v>
      </c>
      <c r="S258" s="616" t="s">
        <v>325</v>
      </c>
      <c r="U258" s="481" t="s">
        <v>337</v>
      </c>
      <c r="V258" s="481" t="s">
        <v>3742</v>
      </c>
      <c r="AA258" s="1486"/>
    </row>
    <row r="259" spans="6:27" ht="10.5" customHeight="1">
      <c r="F259" s="747"/>
      <c r="G259" s="430" t="s">
        <v>1150</v>
      </c>
      <c r="H259" s="430" t="s">
        <v>1367</v>
      </c>
      <c r="I259" s="743" t="s">
        <v>1151</v>
      </c>
      <c r="J259" s="743" t="s">
        <v>2712</v>
      </c>
      <c r="K259" s="751" t="s">
        <v>1861</v>
      </c>
      <c r="L259" s="752" t="s">
        <v>438</v>
      </c>
      <c r="M259" s="754" t="s">
        <v>2699</v>
      </c>
      <c r="N259" s="744" t="s">
        <v>88</v>
      </c>
      <c r="O259" s="322"/>
      <c r="P259" s="185"/>
      <c r="Q259" s="430"/>
      <c r="R259" s="616" t="s">
        <v>2591</v>
      </c>
      <c r="S259" s="616" t="s">
        <v>116</v>
      </c>
      <c r="U259" s="481" t="s">
        <v>339</v>
      </c>
      <c r="V259" s="481" t="s">
        <v>3742</v>
      </c>
      <c r="AA259" s="1486"/>
    </row>
    <row r="260" spans="6:27" ht="10.5" customHeight="1">
      <c r="F260" s="747"/>
      <c r="G260" s="430" t="s">
        <v>1152</v>
      </c>
      <c r="H260" s="430" t="s">
        <v>1264</v>
      </c>
      <c r="I260" s="743" t="s">
        <v>1153</v>
      </c>
      <c r="J260" s="743" t="s">
        <v>2712</v>
      </c>
      <c r="K260" s="751" t="s">
        <v>1862</v>
      </c>
      <c r="L260" s="752" t="s">
        <v>438</v>
      </c>
      <c r="M260" s="754" t="s">
        <v>2699</v>
      </c>
      <c r="N260" s="744" t="s">
        <v>1280</v>
      </c>
      <c r="O260" s="322"/>
      <c r="P260" s="185"/>
      <c r="Q260" s="430"/>
      <c r="R260" s="616" t="s">
        <v>83</v>
      </c>
      <c r="S260" s="616" t="s">
        <v>203</v>
      </c>
      <c r="U260" s="481" t="s">
        <v>342</v>
      </c>
      <c r="V260" s="481" t="s">
        <v>3742</v>
      </c>
      <c r="AA260" s="1486"/>
    </row>
    <row r="261" spans="6:27" ht="10.5" customHeight="1">
      <c r="F261" s="747"/>
      <c r="G261" s="430" t="s">
        <v>1154</v>
      </c>
      <c r="H261" s="430" t="s">
        <v>1391</v>
      </c>
      <c r="I261" s="745" t="s">
        <v>803</v>
      </c>
      <c r="J261" s="745" t="s">
        <v>2713</v>
      </c>
      <c r="K261" s="751" t="s">
        <v>2698</v>
      </c>
      <c r="L261" s="752" t="s">
        <v>439</v>
      </c>
      <c r="M261" s="754" t="s">
        <v>1246</v>
      </c>
      <c r="N261" s="744" t="s">
        <v>1282</v>
      </c>
      <c r="O261" s="322"/>
      <c r="P261" s="185"/>
      <c r="Q261" s="430"/>
      <c r="R261" s="616" t="s">
        <v>87</v>
      </c>
      <c r="S261" s="616" t="s">
        <v>2272</v>
      </c>
      <c r="U261" s="481" t="s">
        <v>1832</v>
      </c>
      <c r="V261" s="481" t="s">
        <v>3742</v>
      </c>
      <c r="AA261" s="1486"/>
    </row>
    <row r="262" spans="6:27" ht="10.5" customHeight="1">
      <c r="F262" s="747"/>
      <c r="G262" s="430" t="s">
        <v>1155</v>
      </c>
      <c r="H262" s="430" t="s">
        <v>1391</v>
      </c>
      <c r="I262" s="745" t="s">
        <v>802</v>
      </c>
      <c r="J262" s="745" t="s">
        <v>2713</v>
      </c>
      <c r="K262" s="751" t="s">
        <v>2676</v>
      </c>
      <c r="L262" s="752" t="s">
        <v>439</v>
      </c>
      <c r="M262" s="753" t="s">
        <v>1246</v>
      </c>
      <c r="N262" s="744" t="s">
        <v>1284</v>
      </c>
      <c r="O262" s="322"/>
      <c r="P262" s="185"/>
      <c r="Q262" s="430"/>
      <c r="R262" s="616" t="s">
        <v>89</v>
      </c>
      <c r="S262" s="616" t="s">
        <v>1377</v>
      </c>
      <c r="U262" s="481" t="s">
        <v>725</v>
      </c>
      <c r="V262" s="481" t="s">
        <v>3742</v>
      </c>
      <c r="AA262" s="1486"/>
    </row>
    <row r="263" spans="6:27" ht="10.5" customHeight="1">
      <c r="F263" s="747"/>
      <c r="G263" s="430" t="s">
        <v>1156</v>
      </c>
      <c r="H263" s="430" t="s">
        <v>1391</v>
      </c>
      <c r="I263" s="743" t="s">
        <v>2256</v>
      </c>
      <c r="J263" s="743" t="s">
        <v>2712</v>
      </c>
      <c r="K263" s="751" t="s">
        <v>1863</v>
      </c>
      <c r="L263" s="752" t="s">
        <v>438</v>
      </c>
      <c r="M263" s="754" t="s">
        <v>2699</v>
      </c>
      <c r="N263" s="744" t="s">
        <v>1286</v>
      </c>
      <c r="O263" s="322"/>
      <c r="P263" s="185"/>
      <c r="Q263" s="430"/>
      <c r="R263" s="616" t="s">
        <v>1281</v>
      </c>
      <c r="S263" s="616" t="s">
        <v>2034</v>
      </c>
      <c r="U263" s="481" t="s">
        <v>2446</v>
      </c>
      <c r="V263" s="481" t="s">
        <v>3742</v>
      </c>
      <c r="AA263" s="1486"/>
    </row>
    <row r="264" spans="6:27" ht="10.5" customHeight="1">
      <c r="F264" s="747"/>
      <c r="G264" s="430" t="s">
        <v>2257</v>
      </c>
      <c r="H264" s="430" t="s">
        <v>1264</v>
      </c>
      <c r="I264" s="743" t="s">
        <v>2258</v>
      </c>
      <c r="J264" s="743" t="s">
        <v>2712</v>
      </c>
      <c r="K264" s="751" t="s">
        <v>1864</v>
      </c>
      <c r="L264" s="752" t="s">
        <v>438</v>
      </c>
      <c r="M264" s="754" t="s">
        <v>2699</v>
      </c>
      <c r="N264" s="744" t="s">
        <v>1288</v>
      </c>
      <c r="O264" s="322"/>
      <c r="P264" s="185"/>
      <c r="Q264" s="430"/>
      <c r="R264" s="616" t="s">
        <v>1283</v>
      </c>
      <c r="S264" s="616" t="s">
        <v>185</v>
      </c>
      <c r="U264" s="481" t="s">
        <v>497</v>
      </c>
      <c r="V264" s="481" t="s">
        <v>3742</v>
      </c>
      <c r="AA264" s="1486"/>
    </row>
    <row r="265" spans="6:27" ht="10.5" customHeight="1">
      <c r="F265" s="747"/>
      <c r="G265" s="430" t="s">
        <v>1676</v>
      </c>
      <c r="H265" s="430" t="s">
        <v>1676</v>
      </c>
      <c r="I265" s="430" t="s">
        <v>1676</v>
      </c>
      <c r="J265" s="743"/>
      <c r="K265" s="751"/>
      <c r="L265" s="752"/>
      <c r="M265" s="754" t="s">
        <v>2991</v>
      </c>
      <c r="N265" s="744" t="s">
        <v>1290</v>
      </c>
      <c r="O265" s="322"/>
      <c r="P265" s="185"/>
      <c r="Q265" s="430"/>
      <c r="R265" s="616" t="s">
        <v>1285</v>
      </c>
      <c r="S265" s="616" t="s">
        <v>1152</v>
      </c>
      <c r="U265" s="481" t="s">
        <v>3735</v>
      </c>
      <c r="V265" s="481" t="s">
        <v>3742</v>
      </c>
      <c r="AA265" s="1486"/>
    </row>
    <row r="266" spans="6:27" ht="10.5" customHeight="1">
      <c r="F266" s="747"/>
      <c r="G266" s="430" t="s">
        <v>2259</v>
      </c>
      <c r="H266" s="430" t="s">
        <v>1264</v>
      </c>
      <c r="I266" s="745" t="s">
        <v>2260</v>
      </c>
      <c r="J266" s="743" t="s">
        <v>2712</v>
      </c>
      <c r="K266" s="751" t="s">
        <v>476</v>
      </c>
      <c r="L266" s="752" t="s">
        <v>438</v>
      </c>
      <c r="M266" s="754" t="s">
        <v>2699</v>
      </c>
      <c r="N266" s="744" t="s">
        <v>931</v>
      </c>
      <c r="O266" s="322"/>
      <c r="P266" s="185"/>
      <c r="Q266" s="430"/>
      <c r="R266" s="746" t="s">
        <v>1287</v>
      </c>
      <c r="S266" s="746" t="s">
        <v>1259</v>
      </c>
      <c r="U266" s="481" t="s">
        <v>3736</v>
      </c>
      <c r="V266" s="481" t="s">
        <v>3742</v>
      </c>
      <c r="AA266" s="1486"/>
    </row>
    <row r="267" spans="6:27" ht="10.5" customHeight="1">
      <c r="F267" s="747"/>
      <c r="G267" s="430" t="s">
        <v>2261</v>
      </c>
      <c r="H267" s="430" t="s">
        <v>1391</v>
      </c>
      <c r="I267" s="745" t="s">
        <v>802</v>
      </c>
      <c r="J267" s="745" t="s">
        <v>2713</v>
      </c>
      <c r="K267" s="751" t="s">
        <v>2676</v>
      </c>
      <c r="L267" s="752" t="s">
        <v>439</v>
      </c>
      <c r="M267" s="753" t="s">
        <v>1246</v>
      </c>
      <c r="N267" s="744" t="s">
        <v>932</v>
      </c>
      <c r="O267" s="322"/>
      <c r="P267" s="185"/>
      <c r="Q267" s="430"/>
      <c r="R267" s="616" t="s">
        <v>1289</v>
      </c>
      <c r="S267" s="616" t="s">
        <v>2272</v>
      </c>
      <c r="U267" s="481" t="s">
        <v>80</v>
      </c>
      <c r="V267" s="481" t="s">
        <v>3742</v>
      </c>
      <c r="AA267" s="1487"/>
    </row>
    <row r="268" spans="6:27" ht="10.5" customHeight="1">
      <c r="F268" s="747"/>
      <c r="G268" s="430" t="s">
        <v>2262</v>
      </c>
      <c r="H268" s="430" t="s">
        <v>1367</v>
      </c>
      <c r="I268" s="745" t="s">
        <v>2263</v>
      </c>
      <c r="J268" s="745" t="s">
        <v>2712</v>
      </c>
      <c r="K268" s="751" t="s">
        <v>231</v>
      </c>
      <c r="L268" s="752" t="s">
        <v>438</v>
      </c>
      <c r="M268" s="754" t="s">
        <v>2699</v>
      </c>
      <c r="N268" s="744" t="s">
        <v>934</v>
      </c>
      <c r="O268" s="322"/>
      <c r="P268" s="185"/>
      <c r="Q268" s="430"/>
      <c r="R268" s="616" t="s">
        <v>2587</v>
      </c>
      <c r="S268" s="616" t="s">
        <v>1700</v>
      </c>
      <c r="U268" s="481" t="s">
        <v>2509</v>
      </c>
      <c r="V268" s="481" t="s">
        <v>3742</v>
      </c>
      <c r="AA268" s="1486"/>
    </row>
    <row r="269" spans="6:27" ht="10.5" customHeight="1">
      <c r="F269" s="747"/>
      <c r="G269" s="430" t="s">
        <v>2264</v>
      </c>
      <c r="H269" s="430" t="s">
        <v>1264</v>
      </c>
      <c r="I269" s="743" t="s">
        <v>2265</v>
      </c>
      <c r="J269" s="745" t="s">
        <v>2712</v>
      </c>
      <c r="K269" s="751" t="s">
        <v>1482</v>
      </c>
      <c r="L269" s="752" t="s">
        <v>438</v>
      </c>
      <c r="M269" s="754" t="s">
        <v>2699</v>
      </c>
      <c r="N269" s="744" t="s">
        <v>936</v>
      </c>
      <c r="O269" s="322"/>
      <c r="P269" s="185"/>
      <c r="Q269" s="430"/>
      <c r="R269" s="616" t="s">
        <v>167</v>
      </c>
      <c r="S269" s="616" t="s">
        <v>2688</v>
      </c>
      <c r="U269" s="481" t="s">
        <v>643</v>
      </c>
      <c r="V269" s="481" t="s">
        <v>3742</v>
      </c>
      <c r="AA269" s="1486"/>
    </row>
    <row r="270" spans="6:27" ht="10.5" customHeight="1">
      <c r="F270" s="747"/>
      <c r="G270" s="430" t="s">
        <v>2266</v>
      </c>
      <c r="H270" s="430" t="s">
        <v>1264</v>
      </c>
      <c r="I270" s="743" t="s">
        <v>2267</v>
      </c>
      <c r="J270" s="743" t="s">
        <v>2712</v>
      </c>
      <c r="K270" s="751" t="s">
        <v>1483</v>
      </c>
      <c r="L270" s="752" t="s">
        <v>438</v>
      </c>
      <c r="M270" s="754" t="s">
        <v>2699</v>
      </c>
      <c r="N270" s="744" t="s">
        <v>2226</v>
      </c>
      <c r="O270" s="322"/>
      <c r="P270" s="185"/>
      <c r="Q270" s="430"/>
      <c r="R270" s="616" t="s">
        <v>933</v>
      </c>
      <c r="S270" s="616" t="s">
        <v>185</v>
      </c>
      <c r="U270" s="481" t="s">
        <v>1009</v>
      </c>
      <c r="V270" s="481" t="s">
        <v>3742</v>
      </c>
      <c r="AA270" s="1486"/>
    </row>
    <row r="271" spans="6:27" ht="10.5" customHeight="1">
      <c r="F271" s="747"/>
      <c r="G271" s="430" t="s">
        <v>2268</v>
      </c>
      <c r="H271" s="430" t="s">
        <v>1391</v>
      </c>
      <c r="I271" s="743" t="s">
        <v>2269</v>
      </c>
      <c r="J271" s="743" t="s">
        <v>2712</v>
      </c>
      <c r="K271" s="751" t="s">
        <v>1484</v>
      </c>
      <c r="L271" s="752" t="s">
        <v>438</v>
      </c>
      <c r="M271" s="754" t="s">
        <v>2699</v>
      </c>
      <c r="N271" s="744" t="s">
        <v>2227</v>
      </c>
      <c r="O271" s="322"/>
      <c r="P271" s="185"/>
      <c r="Q271" s="430"/>
      <c r="R271" s="616" t="s">
        <v>935</v>
      </c>
      <c r="S271" s="616" t="s">
        <v>337</v>
      </c>
      <c r="U271" s="481" t="s">
        <v>1558</v>
      </c>
      <c r="V271" s="481" t="s">
        <v>3742</v>
      </c>
      <c r="AA271" s="1486"/>
    </row>
    <row r="272" spans="6:27" ht="10.5" customHeight="1">
      <c r="F272" s="747"/>
      <c r="G272" s="430" t="s">
        <v>2270</v>
      </c>
      <c r="H272" s="430" t="s">
        <v>1391</v>
      </c>
      <c r="I272" s="743" t="s">
        <v>2271</v>
      </c>
      <c r="J272" s="743" t="s">
        <v>2712</v>
      </c>
      <c r="K272" s="751" t="s">
        <v>2098</v>
      </c>
      <c r="L272" s="752" t="s">
        <v>438</v>
      </c>
      <c r="M272" s="754" t="s">
        <v>2699</v>
      </c>
      <c r="N272" s="744" t="s">
        <v>2143</v>
      </c>
      <c r="O272" s="322"/>
      <c r="P272" s="185"/>
      <c r="Q272" s="430"/>
      <c r="R272" s="746" t="s">
        <v>937</v>
      </c>
      <c r="S272" s="746" t="s">
        <v>1141</v>
      </c>
      <c r="U272" s="481" t="s">
        <v>2429</v>
      </c>
      <c r="V272" s="481" t="s">
        <v>3742</v>
      </c>
      <c r="AA272" s="1486"/>
    </row>
    <row r="273" spans="6:28" ht="10.5" customHeight="1">
      <c r="F273" s="747"/>
      <c r="G273" s="430" t="s">
        <v>2272</v>
      </c>
      <c r="H273" s="430" t="s">
        <v>1264</v>
      </c>
      <c r="I273" s="743" t="s">
        <v>2273</v>
      </c>
      <c r="J273" s="743" t="s">
        <v>2712</v>
      </c>
      <c r="K273" s="751" t="s">
        <v>2099</v>
      </c>
      <c r="L273" s="752" t="s">
        <v>438</v>
      </c>
      <c r="M273" s="754" t="s">
        <v>2699</v>
      </c>
      <c r="N273" s="744" t="s">
        <v>2145</v>
      </c>
      <c r="O273" s="322"/>
      <c r="P273" s="185"/>
      <c r="Q273" s="430"/>
      <c r="R273" s="616" t="s">
        <v>2666</v>
      </c>
      <c r="S273" s="616" t="s">
        <v>2581</v>
      </c>
      <c r="U273" s="481" t="s">
        <v>860</v>
      </c>
      <c r="V273" s="481" t="s">
        <v>3742</v>
      </c>
      <c r="AA273" s="1487"/>
    </row>
    <row r="274" spans="6:28" ht="10.5" customHeight="1">
      <c r="F274" s="747"/>
      <c r="G274" s="430" t="s">
        <v>2274</v>
      </c>
      <c r="H274" s="430" t="s">
        <v>1391</v>
      </c>
      <c r="I274" s="743" t="s">
        <v>910</v>
      </c>
      <c r="J274" s="743" t="s">
        <v>2712</v>
      </c>
      <c r="K274" s="751" t="s">
        <v>2100</v>
      </c>
      <c r="L274" s="752" t="s">
        <v>438</v>
      </c>
      <c r="M274" s="754" t="s">
        <v>2699</v>
      </c>
      <c r="N274" s="744" t="s">
        <v>627</v>
      </c>
      <c r="O274" s="322"/>
      <c r="P274" s="185"/>
      <c r="Q274" s="430"/>
      <c r="R274" s="616" t="s">
        <v>2228</v>
      </c>
      <c r="S274" s="616" t="s">
        <v>1155</v>
      </c>
      <c r="U274" s="481" t="s">
        <v>863</v>
      </c>
      <c r="V274" s="481" t="s">
        <v>3742</v>
      </c>
      <c r="AA274" s="1486"/>
    </row>
    <row r="275" spans="6:28" ht="10.5" customHeight="1">
      <c r="F275" s="747"/>
      <c r="G275" s="430" t="s">
        <v>911</v>
      </c>
      <c r="H275" s="430" t="s">
        <v>1264</v>
      </c>
      <c r="I275" s="743" t="s">
        <v>912</v>
      </c>
      <c r="J275" s="743" t="s">
        <v>2712</v>
      </c>
      <c r="K275" s="751" t="s">
        <v>2101</v>
      </c>
      <c r="L275" s="752" t="s">
        <v>438</v>
      </c>
      <c r="M275" s="754" t="s">
        <v>2699</v>
      </c>
      <c r="N275" s="744" t="s">
        <v>628</v>
      </c>
      <c r="O275" s="322"/>
      <c r="P275" s="185"/>
      <c r="Q275" s="430"/>
      <c r="R275" s="616" t="s">
        <v>2144</v>
      </c>
      <c r="S275" s="616" t="s">
        <v>1735</v>
      </c>
      <c r="U275" s="481" t="s">
        <v>1575</v>
      </c>
      <c r="V275" s="481" t="s">
        <v>3742</v>
      </c>
      <c r="AA275" s="1486"/>
    </row>
    <row r="276" spans="6:28" ht="10.5" customHeight="1">
      <c r="F276" s="747"/>
      <c r="G276" s="430" t="s">
        <v>1734</v>
      </c>
      <c r="H276" s="430" t="s">
        <v>1264</v>
      </c>
      <c r="I276" s="745" t="s">
        <v>1858</v>
      </c>
      <c r="J276" s="743" t="s">
        <v>2713</v>
      </c>
      <c r="K276" s="751" t="s">
        <v>1210</v>
      </c>
      <c r="L276" s="752" t="s">
        <v>439</v>
      </c>
      <c r="M276" s="753" t="s">
        <v>1246</v>
      </c>
      <c r="N276" s="744" t="s">
        <v>630</v>
      </c>
      <c r="O276" s="322"/>
      <c r="P276" s="185"/>
      <c r="Q276" s="430"/>
      <c r="R276" s="616" t="s">
        <v>2146</v>
      </c>
      <c r="S276" s="616" t="s">
        <v>2633</v>
      </c>
      <c r="U276" s="481" t="s">
        <v>505</v>
      </c>
      <c r="V276" s="481" t="s">
        <v>3742</v>
      </c>
      <c r="AA276" s="1486"/>
    </row>
    <row r="277" spans="6:28" ht="10.5" customHeight="1">
      <c r="F277" s="747"/>
      <c r="G277" s="430" t="s">
        <v>1735</v>
      </c>
      <c r="H277" s="430" t="s">
        <v>1264</v>
      </c>
      <c r="I277" s="745" t="s">
        <v>1736</v>
      </c>
      <c r="J277" s="745" t="s">
        <v>2712</v>
      </c>
      <c r="K277" s="751" t="s">
        <v>2102</v>
      </c>
      <c r="L277" s="752" t="s">
        <v>438</v>
      </c>
      <c r="M277" s="754" t="s">
        <v>2699</v>
      </c>
      <c r="N277" s="744" t="s">
        <v>632</v>
      </c>
      <c r="O277" s="322"/>
      <c r="P277" s="185"/>
      <c r="Q277" s="430"/>
      <c r="R277" s="616" t="s">
        <v>865</v>
      </c>
      <c r="S277" s="616" t="s">
        <v>332</v>
      </c>
      <c r="U277" s="481" t="s">
        <v>1452</v>
      </c>
      <c r="V277" s="481" t="s">
        <v>3742</v>
      </c>
      <c r="AA277" s="1486"/>
    </row>
    <row r="278" spans="6:28" ht="10.5" customHeight="1">
      <c r="F278" s="747"/>
      <c r="G278" s="430" t="s">
        <v>1737</v>
      </c>
      <c r="H278" s="430" t="s">
        <v>1264</v>
      </c>
      <c r="I278" s="745" t="s">
        <v>1992</v>
      </c>
      <c r="J278" s="745" t="s">
        <v>2712</v>
      </c>
      <c r="K278" s="751" t="s">
        <v>1215</v>
      </c>
      <c r="L278" s="752" t="s">
        <v>438</v>
      </c>
      <c r="M278" s="754" t="s">
        <v>2699</v>
      </c>
      <c r="N278" s="744" t="s">
        <v>633</v>
      </c>
      <c r="O278" s="322"/>
      <c r="P278" s="185"/>
      <c r="Q278" s="430"/>
      <c r="R278" s="616" t="s">
        <v>629</v>
      </c>
      <c r="S278" s="616" t="s">
        <v>124</v>
      </c>
      <c r="U278" s="481" t="s">
        <v>1454</v>
      </c>
      <c r="V278" s="481" t="s">
        <v>3742</v>
      </c>
      <c r="AA278" s="1486"/>
      <c r="AB278" s="1490"/>
    </row>
    <row r="279" spans="6:28" ht="10.5" customHeight="1">
      <c r="F279" s="747"/>
      <c r="G279" s="430" t="s">
        <v>1993</v>
      </c>
      <c r="H279" s="430" t="s">
        <v>1264</v>
      </c>
      <c r="I279" s="745" t="s">
        <v>1994</v>
      </c>
      <c r="J279" s="745" t="s">
        <v>2712</v>
      </c>
      <c r="K279" s="751" t="s">
        <v>1216</v>
      </c>
      <c r="L279" s="752" t="s">
        <v>438</v>
      </c>
      <c r="M279" s="754" t="s">
        <v>2699</v>
      </c>
      <c r="N279" s="744" t="s">
        <v>634</v>
      </c>
      <c r="O279" s="322"/>
      <c r="P279" s="185"/>
      <c r="Q279" s="430"/>
      <c r="R279" s="616" t="s">
        <v>2667</v>
      </c>
      <c r="S279" s="616" t="s">
        <v>1383</v>
      </c>
      <c r="U279" s="481" t="s">
        <v>2590</v>
      </c>
      <c r="V279" s="481" t="s">
        <v>3742</v>
      </c>
      <c r="AA279" s="1486"/>
    </row>
    <row r="280" spans="6:28" ht="10.5" customHeight="1">
      <c r="F280" s="747"/>
      <c r="G280" s="430" t="s">
        <v>1995</v>
      </c>
      <c r="H280" s="430" t="s">
        <v>1367</v>
      </c>
      <c r="I280" s="745" t="s">
        <v>1996</v>
      </c>
      <c r="J280" s="745" t="s">
        <v>2712</v>
      </c>
      <c r="K280" s="751" t="s">
        <v>1217</v>
      </c>
      <c r="L280" s="752" t="s">
        <v>438</v>
      </c>
      <c r="M280" s="754" t="s">
        <v>2699</v>
      </c>
      <c r="N280" s="744" t="s">
        <v>636</v>
      </c>
      <c r="O280" s="322"/>
      <c r="P280" s="185"/>
      <c r="Q280" s="430"/>
      <c r="R280" s="616" t="s">
        <v>631</v>
      </c>
      <c r="S280" s="616" t="s">
        <v>2689</v>
      </c>
      <c r="U280" s="481" t="s">
        <v>1102</v>
      </c>
      <c r="V280" s="481" t="s">
        <v>3742</v>
      </c>
      <c r="AA280" s="1486"/>
    </row>
    <row r="281" spans="6:28" ht="10.5" customHeight="1">
      <c r="F281" s="747"/>
      <c r="G281" s="430" t="s">
        <v>1997</v>
      </c>
      <c r="H281" s="430" t="s">
        <v>1264</v>
      </c>
      <c r="I281" s="745" t="s">
        <v>1998</v>
      </c>
      <c r="J281" s="745" t="s">
        <v>2712</v>
      </c>
      <c r="K281" s="751" t="s">
        <v>1218</v>
      </c>
      <c r="L281" s="752" t="s">
        <v>438</v>
      </c>
      <c r="M281" s="754" t="s">
        <v>2699</v>
      </c>
      <c r="N281" s="744" t="s">
        <v>638</v>
      </c>
      <c r="O281" s="322"/>
      <c r="P281" s="185"/>
      <c r="Q281" s="430"/>
      <c r="R281" s="616" t="s">
        <v>2632</v>
      </c>
      <c r="S281" s="616" t="s">
        <v>2691</v>
      </c>
      <c r="U281" s="481" t="s">
        <v>1376</v>
      </c>
      <c r="V281" s="481" t="s">
        <v>3742</v>
      </c>
      <c r="AA281" s="1486"/>
    </row>
    <row r="282" spans="6:28" ht="10.5" customHeight="1">
      <c r="F282" s="747"/>
      <c r="G282" s="430" t="s">
        <v>1999</v>
      </c>
      <c r="H282" s="430" t="s">
        <v>1391</v>
      </c>
      <c r="I282" s="743" t="s">
        <v>2000</v>
      </c>
      <c r="J282" s="745" t="s">
        <v>2712</v>
      </c>
      <c r="K282" s="751" t="s">
        <v>1219</v>
      </c>
      <c r="L282" s="752" t="s">
        <v>438</v>
      </c>
      <c r="M282" s="754" t="s">
        <v>2699</v>
      </c>
      <c r="N282" s="744" t="s">
        <v>572</v>
      </c>
      <c r="O282" s="322"/>
      <c r="P282" s="185"/>
      <c r="Q282" s="430"/>
      <c r="R282" s="616" t="s">
        <v>635</v>
      </c>
      <c r="S282" s="616" t="s">
        <v>2270</v>
      </c>
      <c r="U282" s="481" t="s">
        <v>185</v>
      </c>
      <c r="V282" s="481" t="s">
        <v>3742</v>
      </c>
      <c r="AA282" s="1486"/>
    </row>
    <row r="283" spans="6:28" ht="10.5" customHeight="1">
      <c r="F283" s="747"/>
      <c r="G283" s="430" t="s">
        <v>2001</v>
      </c>
      <c r="H283" s="430" t="s">
        <v>1264</v>
      </c>
      <c r="I283" s="745" t="s">
        <v>2002</v>
      </c>
      <c r="J283" s="743" t="s">
        <v>2712</v>
      </c>
      <c r="K283" s="751" t="s">
        <v>1220</v>
      </c>
      <c r="L283" s="752" t="s">
        <v>438</v>
      </c>
      <c r="M283" s="754" t="s">
        <v>2699</v>
      </c>
      <c r="N283" s="744" t="s">
        <v>1205</v>
      </c>
      <c r="O283" s="322"/>
      <c r="P283" s="185"/>
      <c r="Q283" s="430"/>
      <c r="R283" s="616" t="s">
        <v>3131</v>
      </c>
      <c r="S283" s="616" t="s">
        <v>1146</v>
      </c>
      <c r="U283" s="481" t="s">
        <v>1642</v>
      </c>
      <c r="V283" s="481" t="s">
        <v>3742</v>
      </c>
      <c r="AA283" s="1486"/>
    </row>
    <row r="284" spans="6:28" ht="10.5" customHeight="1">
      <c r="F284" s="747"/>
      <c r="G284" s="430" t="s">
        <v>2003</v>
      </c>
      <c r="H284" s="430" t="s">
        <v>1391</v>
      </c>
      <c r="I284" s="745" t="s">
        <v>1376</v>
      </c>
      <c r="J284" s="745" t="s">
        <v>2713</v>
      </c>
      <c r="K284" s="751" t="s">
        <v>2679</v>
      </c>
      <c r="L284" s="752" t="s">
        <v>439</v>
      </c>
      <c r="M284" s="753" t="s">
        <v>1246</v>
      </c>
      <c r="N284" s="744" t="s">
        <v>784</v>
      </c>
      <c r="O284" s="322"/>
      <c r="P284" s="185"/>
      <c r="Q284" s="430"/>
      <c r="R284" s="616" t="s">
        <v>637</v>
      </c>
      <c r="S284" s="616" t="s">
        <v>1704</v>
      </c>
      <c r="U284" s="481" t="s">
        <v>392</v>
      </c>
      <c r="V284" s="481" t="s">
        <v>3742</v>
      </c>
      <c r="AA284" s="1486"/>
    </row>
    <row r="285" spans="6:28" ht="10.5" customHeight="1">
      <c r="F285" s="747"/>
      <c r="G285" s="430" t="s">
        <v>2004</v>
      </c>
      <c r="H285" s="430" t="s">
        <v>1367</v>
      </c>
      <c r="I285" s="745" t="s">
        <v>2005</v>
      </c>
      <c r="J285" s="745" t="s">
        <v>2712</v>
      </c>
      <c r="K285" s="751" t="s">
        <v>1221</v>
      </c>
      <c r="L285" s="752" t="s">
        <v>438</v>
      </c>
      <c r="M285" s="754" t="s">
        <v>2699</v>
      </c>
      <c r="N285" s="744" t="s">
        <v>38</v>
      </c>
      <c r="O285" s="322"/>
      <c r="P285" s="185"/>
      <c r="Q285" s="430"/>
      <c r="R285" s="616" t="s">
        <v>571</v>
      </c>
      <c r="S285" s="616" t="s">
        <v>692</v>
      </c>
      <c r="U285" s="481" t="s">
        <v>394</v>
      </c>
      <c r="V285" s="481" t="s">
        <v>3742</v>
      </c>
      <c r="AA285" s="1486"/>
    </row>
    <row r="286" spans="6:28" ht="10.5" customHeight="1">
      <c r="F286" s="747"/>
      <c r="G286" s="430" t="s">
        <v>2091</v>
      </c>
      <c r="H286" s="430" t="s">
        <v>1391</v>
      </c>
      <c r="I286" s="743" t="s">
        <v>2092</v>
      </c>
      <c r="J286" s="745" t="s">
        <v>2712</v>
      </c>
      <c r="K286" s="751" t="s">
        <v>1222</v>
      </c>
      <c r="L286" s="752" t="s">
        <v>438</v>
      </c>
      <c r="M286" s="754" t="s">
        <v>2699</v>
      </c>
      <c r="N286" s="744" t="s">
        <v>2049</v>
      </c>
      <c r="O286" s="322"/>
      <c r="P286" s="185"/>
      <c r="Q286" s="430"/>
      <c r="R286" s="616" t="s">
        <v>573</v>
      </c>
      <c r="S286" s="616" t="s">
        <v>166</v>
      </c>
      <c r="U286" s="481" t="s">
        <v>1675</v>
      </c>
      <c r="V286" s="481" t="s">
        <v>3742</v>
      </c>
      <c r="AA286" s="1486"/>
    </row>
    <row r="287" spans="6:28" ht="10.5" customHeight="1">
      <c r="F287" s="747"/>
      <c r="G287" s="430" t="s">
        <v>2093</v>
      </c>
      <c r="H287" s="430" t="s">
        <v>1367</v>
      </c>
      <c r="I287" s="745" t="s">
        <v>1587</v>
      </c>
      <c r="J287" s="743" t="s">
        <v>2713</v>
      </c>
      <c r="K287" s="751" t="s">
        <v>1754</v>
      </c>
      <c r="L287" s="752" t="s">
        <v>439</v>
      </c>
      <c r="M287" s="753" t="s">
        <v>1246</v>
      </c>
      <c r="N287" s="744" t="s">
        <v>2051</v>
      </c>
      <c r="O287" s="322"/>
      <c r="P287" s="185"/>
      <c r="Q287" s="430"/>
      <c r="R287" s="616" t="s">
        <v>783</v>
      </c>
      <c r="S287" s="616" t="s">
        <v>1152</v>
      </c>
      <c r="U287" s="481" t="s">
        <v>1133</v>
      </c>
      <c r="V287" s="481" t="s">
        <v>3742</v>
      </c>
      <c r="AA287" s="1486"/>
    </row>
    <row r="288" spans="6:28" ht="10.5" customHeight="1">
      <c r="F288" s="747"/>
      <c r="G288" s="430" t="s">
        <v>2094</v>
      </c>
      <c r="H288" s="430" t="s">
        <v>1391</v>
      </c>
      <c r="I288" s="745" t="s">
        <v>802</v>
      </c>
      <c r="J288" s="745" t="s">
        <v>2713</v>
      </c>
      <c r="K288" s="751" t="s">
        <v>2676</v>
      </c>
      <c r="L288" s="752" t="s">
        <v>439</v>
      </c>
      <c r="M288" s="753" t="s">
        <v>1246</v>
      </c>
      <c r="N288" s="744" t="s">
        <v>348</v>
      </c>
      <c r="O288" s="322"/>
      <c r="P288" s="185"/>
      <c r="Q288" s="430"/>
      <c r="R288" s="616" t="s">
        <v>785</v>
      </c>
      <c r="S288" s="616" t="s">
        <v>123</v>
      </c>
      <c r="U288" s="481" t="s">
        <v>3737</v>
      </c>
      <c r="V288" s="481" t="s">
        <v>3742</v>
      </c>
      <c r="AA288" s="1486"/>
    </row>
    <row r="289" spans="6:27" ht="10.5" customHeight="1">
      <c r="F289" s="747"/>
      <c r="G289" s="430" t="s">
        <v>2095</v>
      </c>
      <c r="H289" s="430" t="s">
        <v>1264</v>
      </c>
      <c r="I289" s="745" t="s">
        <v>105</v>
      </c>
      <c r="J289" s="745" t="s">
        <v>2712</v>
      </c>
      <c r="K289" s="751" t="s">
        <v>1223</v>
      </c>
      <c r="L289" s="752" t="s">
        <v>438</v>
      </c>
      <c r="M289" s="754" t="s">
        <v>2699</v>
      </c>
      <c r="N289" s="744" t="s">
        <v>350</v>
      </c>
      <c r="O289" s="322"/>
      <c r="P289" s="185"/>
      <c r="Q289" s="430"/>
      <c r="R289" s="616" t="s">
        <v>39</v>
      </c>
      <c r="S289" s="616" t="s">
        <v>182</v>
      </c>
      <c r="U289" s="481" t="s">
        <v>3738</v>
      </c>
      <c r="V289" s="481" t="s">
        <v>3742</v>
      </c>
      <c r="AA289" s="1486"/>
    </row>
    <row r="290" spans="6:27" ht="10.5" customHeight="1">
      <c r="F290" s="747"/>
      <c r="G290" s="430" t="s">
        <v>106</v>
      </c>
      <c r="H290" s="430" t="s">
        <v>1391</v>
      </c>
      <c r="I290" s="745" t="s">
        <v>107</v>
      </c>
      <c r="J290" s="745" t="s">
        <v>2712</v>
      </c>
      <c r="K290" s="751" t="s">
        <v>1224</v>
      </c>
      <c r="L290" s="752" t="s">
        <v>438</v>
      </c>
      <c r="M290" s="754" t="s">
        <v>2699</v>
      </c>
      <c r="N290" s="744" t="s">
        <v>352</v>
      </c>
      <c r="O290" s="322"/>
      <c r="P290" s="185"/>
      <c r="Q290" s="430"/>
      <c r="R290" s="616" t="s">
        <v>2050</v>
      </c>
      <c r="S290" s="616" t="s">
        <v>2335</v>
      </c>
      <c r="U290" s="481" t="s">
        <v>546</v>
      </c>
      <c r="V290" s="481" t="s">
        <v>3742</v>
      </c>
      <c r="AA290" s="1486"/>
    </row>
    <row r="291" spans="6:27" ht="10.5" customHeight="1">
      <c r="F291" s="747"/>
      <c r="G291" s="430" t="s">
        <v>108</v>
      </c>
      <c r="H291" s="430" t="s">
        <v>1264</v>
      </c>
      <c r="I291" s="745" t="s">
        <v>109</v>
      </c>
      <c r="J291" s="745" t="s">
        <v>2712</v>
      </c>
      <c r="K291" s="751" t="s">
        <v>1225</v>
      </c>
      <c r="L291" s="752" t="s">
        <v>438</v>
      </c>
      <c r="M291" s="754" t="s">
        <v>2699</v>
      </c>
      <c r="N291" s="744" t="s">
        <v>354</v>
      </c>
      <c r="O291" s="322"/>
      <c r="P291" s="185"/>
      <c r="Q291" s="430"/>
      <c r="R291" s="616" t="s">
        <v>2052</v>
      </c>
      <c r="S291" s="616" t="s">
        <v>2692</v>
      </c>
      <c r="U291" s="481" t="s">
        <v>548</v>
      </c>
      <c r="V291" s="481" t="s">
        <v>3742</v>
      </c>
      <c r="AA291" s="1486"/>
    </row>
    <row r="292" spans="6:27" ht="10.5" customHeight="1">
      <c r="F292" s="747"/>
      <c r="G292" s="430" t="s">
        <v>110</v>
      </c>
      <c r="H292" s="430" t="s">
        <v>1264</v>
      </c>
      <c r="I292" s="745" t="s">
        <v>111</v>
      </c>
      <c r="J292" s="745" t="s">
        <v>2712</v>
      </c>
      <c r="K292" s="751" t="s">
        <v>1226</v>
      </c>
      <c r="L292" s="752" t="s">
        <v>438</v>
      </c>
      <c r="M292" s="754" t="s">
        <v>2699</v>
      </c>
      <c r="N292" s="744" t="s">
        <v>356</v>
      </c>
      <c r="O292" s="322"/>
      <c r="P292" s="185"/>
      <c r="Q292" s="430"/>
      <c r="R292" s="616" t="s">
        <v>349</v>
      </c>
      <c r="S292" s="616" t="s">
        <v>2034</v>
      </c>
      <c r="U292" s="481" t="s">
        <v>554</v>
      </c>
      <c r="V292" s="481" t="s">
        <v>3742</v>
      </c>
      <c r="AA292" s="1486"/>
    </row>
    <row r="293" spans="6:27" ht="10.5" customHeight="1">
      <c r="F293" s="747"/>
      <c r="G293" s="430" t="s">
        <v>112</v>
      </c>
      <c r="H293" s="430" t="s">
        <v>1264</v>
      </c>
      <c r="I293" s="745" t="s">
        <v>113</v>
      </c>
      <c r="J293" s="745" t="s">
        <v>2712</v>
      </c>
      <c r="K293" s="751" t="s">
        <v>1227</v>
      </c>
      <c r="L293" s="752" t="s">
        <v>438</v>
      </c>
      <c r="M293" s="754" t="s">
        <v>2699</v>
      </c>
      <c r="N293" s="744" t="s">
        <v>358</v>
      </c>
      <c r="O293" s="322"/>
      <c r="P293" s="185"/>
      <c r="Q293" s="430"/>
      <c r="R293" s="616" t="s">
        <v>351</v>
      </c>
      <c r="S293" s="616" t="s">
        <v>914</v>
      </c>
      <c r="U293" s="481" t="s">
        <v>567</v>
      </c>
      <c r="V293" s="481" t="s">
        <v>3742</v>
      </c>
      <c r="AA293" s="1486"/>
    </row>
    <row r="294" spans="6:27" ht="10.5" customHeight="1">
      <c r="F294" s="747"/>
      <c r="G294" s="430" t="s">
        <v>114</v>
      </c>
      <c r="H294" s="430" t="s">
        <v>1264</v>
      </c>
      <c r="I294" s="745" t="s">
        <v>115</v>
      </c>
      <c r="J294" s="745" t="s">
        <v>2712</v>
      </c>
      <c r="K294" s="751" t="s">
        <v>2451</v>
      </c>
      <c r="L294" s="752" t="s">
        <v>438</v>
      </c>
      <c r="M294" s="754" t="s">
        <v>2699</v>
      </c>
      <c r="N294" s="744" t="s">
        <v>2024</v>
      </c>
      <c r="O294" s="322"/>
      <c r="P294" s="185"/>
      <c r="Q294" s="430"/>
      <c r="R294" s="616" t="s">
        <v>353</v>
      </c>
      <c r="S294" s="616" t="s">
        <v>185</v>
      </c>
      <c r="U294" s="481" t="s">
        <v>1704</v>
      </c>
      <c r="V294" s="481" t="s">
        <v>3742</v>
      </c>
      <c r="AA294" s="1486"/>
    </row>
    <row r="295" spans="6:27" ht="10.5" customHeight="1">
      <c r="F295" s="747"/>
      <c r="G295" s="430" t="s">
        <v>116</v>
      </c>
      <c r="H295" s="430" t="s">
        <v>1367</v>
      </c>
      <c r="I295" s="745" t="s">
        <v>117</v>
      </c>
      <c r="J295" s="745" t="s">
        <v>2712</v>
      </c>
      <c r="K295" s="751" t="s">
        <v>2452</v>
      </c>
      <c r="L295" s="752" t="s">
        <v>438</v>
      </c>
      <c r="M295" s="754" t="s">
        <v>2699</v>
      </c>
      <c r="N295" s="744" t="s">
        <v>2026</v>
      </c>
      <c r="O295" s="322"/>
      <c r="P295" s="185"/>
      <c r="Q295" s="430"/>
      <c r="R295" s="616" t="s">
        <v>355</v>
      </c>
      <c r="S295" s="616" t="s">
        <v>2495</v>
      </c>
      <c r="U295" s="481" t="s">
        <v>2183</v>
      </c>
      <c r="V295" s="481" t="s">
        <v>3742</v>
      </c>
      <c r="AA295" s="1486"/>
    </row>
    <row r="296" spans="6:27" ht="10.5" customHeight="1">
      <c r="F296" s="747"/>
      <c r="G296" s="430" t="s">
        <v>2034</v>
      </c>
      <c r="H296" s="430" t="s">
        <v>1367</v>
      </c>
      <c r="I296" s="743" t="s">
        <v>349</v>
      </c>
      <c r="J296" s="745" t="s">
        <v>2713</v>
      </c>
      <c r="K296" s="751" t="s">
        <v>2453</v>
      </c>
      <c r="L296" s="752" t="s">
        <v>439</v>
      </c>
      <c r="M296" s="754" t="s">
        <v>1246</v>
      </c>
      <c r="N296" s="744" t="s">
        <v>2242</v>
      </c>
      <c r="O296" s="322"/>
      <c r="P296" s="185"/>
      <c r="Q296" s="430"/>
      <c r="R296" s="746" t="s">
        <v>357</v>
      </c>
      <c r="S296" s="746" t="s">
        <v>1961</v>
      </c>
      <c r="U296" s="481" t="s">
        <v>3739</v>
      </c>
      <c r="V296" s="481" t="s">
        <v>3742</v>
      </c>
      <c r="AA296" s="1486"/>
    </row>
    <row r="297" spans="6:27" ht="10.5" customHeight="1">
      <c r="F297" s="747"/>
      <c r="G297" s="430" t="s">
        <v>2035</v>
      </c>
      <c r="H297" s="430" t="s">
        <v>1264</v>
      </c>
      <c r="I297" s="745" t="s">
        <v>2492</v>
      </c>
      <c r="J297" s="743" t="s">
        <v>2712</v>
      </c>
      <c r="K297" s="751" t="s">
        <v>2454</v>
      </c>
      <c r="L297" s="752" t="s">
        <v>438</v>
      </c>
      <c r="M297" s="754" t="s">
        <v>2699</v>
      </c>
      <c r="N297" s="744" t="s">
        <v>159</v>
      </c>
      <c r="O297" s="322"/>
      <c r="P297" s="185"/>
      <c r="Q297" s="430"/>
      <c r="R297" s="616" t="s">
        <v>359</v>
      </c>
      <c r="S297" s="616" t="s">
        <v>181</v>
      </c>
      <c r="U297" s="481" t="s">
        <v>2339</v>
      </c>
      <c r="V297" s="481" t="s">
        <v>3742</v>
      </c>
      <c r="AA297" s="1487"/>
    </row>
    <row r="298" spans="6:27" ht="10.5" customHeight="1">
      <c r="F298" s="747"/>
      <c r="G298" s="430" t="s">
        <v>2493</v>
      </c>
      <c r="H298" s="430" t="s">
        <v>1391</v>
      </c>
      <c r="I298" s="745" t="s">
        <v>2494</v>
      </c>
      <c r="J298" s="745" t="s">
        <v>2712</v>
      </c>
      <c r="K298" s="751" t="s">
        <v>436</v>
      </c>
      <c r="L298" s="752" t="s">
        <v>438</v>
      </c>
      <c r="M298" s="754" t="s">
        <v>2699</v>
      </c>
      <c r="N298" s="744" t="s">
        <v>160</v>
      </c>
      <c r="O298" s="322"/>
      <c r="P298" s="185"/>
      <c r="Q298" s="430"/>
      <c r="R298" s="616" t="s">
        <v>2025</v>
      </c>
      <c r="S298" s="616" t="s">
        <v>108</v>
      </c>
      <c r="U298" s="481" t="s">
        <v>413</v>
      </c>
      <c r="V298" s="481" t="s">
        <v>3742</v>
      </c>
      <c r="AA298" s="1486"/>
    </row>
    <row r="299" spans="6:27" ht="10.5" customHeight="1">
      <c r="F299" s="747"/>
      <c r="G299" s="430" t="s">
        <v>2495</v>
      </c>
      <c r="H299" s="430" t="s">
        <v>1391</v>
      </c>
      <c r="I299" s="745" t="s">
        <v>2496</v>
      </c>
      <c r="J299" s="745" t="s">
        <v>2712</v>
      </c>
      <c r="K299" s="751" t="s">
        <v>437</v>
      </c>
      <c r="L299" s="752" t="s">
        <v>438</v>
      </c>
      <c r="M299" s="754" t="s">
        <v>2699</v>
      </c>
      <c r="N299" s="744" t="s">
        <v>1647</v>
      </c>
      <c r="O299" s="322"/>
      <c r="P299" s="185"/>
      <c r="Q299" s="430"/>
      <c r="R299" s="616" t="s">
        <v>202</v>
      </c>
      <c r="S299" s="616" t="s">
        <v>1734</v>
      </c>
      <c r="U299" s="481" t="s">
        <v>1918</v>
      </c>
      <c r="V299" s="481" t="s">
        <v>3742</v>
      </c>
      <c r="AA299" s="1486"/>
    </row>
    <row r="300" spans="6:27" ht="10.5" customHeight="1">
      <c r="F300" s="368"/>
      <c r="G300" s="430" t="s">
        <v>2497</v>
      </c>
      <c r="H300" s="430" t="s">
        <v>1264</v>
      </c>
      <c r="I300" s="745" t="s">
        <v>1858</v>
      </c>
      <c r="J300" s="745" t="s">
        <v>2713</v>
      </c>
      <c r="K300" s="751" t="s">
        <v>1210</v>
      </c>
      <c r="L300" s="752" t="s">
        <v>439</v>
      </c>
      <c r="M300" s="753" t="s">
        <v>1246</v>
      </c>
      <c r="N300" s="744" t="s">
        <v>829</v>
      </c>
      <c r="O300" s="322"/>
      <c r="P300" s="185"/>
      <c r="Q300" s="430"/>
      <c r="R300" s="616" t="s">
        <v>2243</v>
      </c>
      <c r="S300" s="616" t="s">
        <v>202</v>
      </c>
      <c r="U300" s="481" t="s">
        <v>2363</v>
      </c>
      <c r="V300" s="481" t="s">
        <v>3742</v>
      </c>
      <c r="AA300" s="1486"/>
    </row>
    <row r="301" spans="6:27" ht="10.5" customHeight="1">
      <c r="F301" s="368"/>
      <c r="G301" s="345"/>
      <c r="H301" s="345"/>
      <c r="I301" s="345"/>
      <c r="J301" s="416"/>
      <c r="K301" s="345"/>
      <c r="L301" s="345"/>
      <c r="M301" s="403"/>
      <c r="N301" s="744" t="s">
        <v>831</v>
      </c>
      <c r="O301" s="322"/>
      <c r="P301" s="185"/>
      <c r="Q301" s="430"/>
      <c r="R301" s="616" t="s">
        <v>723</v>
      </c>
      <c r="S301" s="616" t="s">
        <v>2266</v>
      </c>
      <c r="U301" s="481" t="s">
        <v>587</v>
      </c>
      <c r="V301" s="481" t="s">
        <v>3742</v>
      </c>
      <c r="AA301" s="1486"/>
    </row>
    <row r="302" spans="6:27" ht="10.5" customHeight="1">
      <c r="F302" s="368"/>
      <c r="G302" s="345"/>
      <c r="H302" s="345"/>
      <c r="I302" s="345"/>
      <c r="J302" s="345"/>
      <c r="K302" s="345"/>
      <c r="L302" s="345"/>
      <c r="M302" s="345"/>
      <c r="N302" s="744" t="s">
        <v>833</v>
      </c>
      <c r="O302" s="322"/>
      <c r="P302" s="185"/>
      <c r="Q302" s="430"/>
      <c r="R302" s="746" t="s">
        <v>161</v>
      </c>
      <c r="S302" s="746" t="s">
        <v>1960</v>
      </c>
      <c r="U302" s="481" t="s">
        <v>1515</v>
      </c>
      <c r="V302" s="481" t="s">
        <v>3742</v>
      </c>
      <c r="AA302" s="1486"/>
    </row>
    <row r="303" spans="6:27" ht="10.5" customHeight="1">
      <c r="F303" s="368"/>
      <c r="G303" s="345"/>
      <c r="H303" s="345"/>
      <c r="I303" s="345"/>
      <c r="J303" s="345"/>
      <c r="K303" s="345"/>
      <c r="L303" s="345"/>
      <c r="M303" s="345"/>
      <c r="N303" s="744" t="s">
        <v>2519</v>
      </c>
      <c r="O303" s="322"/>
      <c r="P303" s="185"/>
      <c r="Q303" s="430"/>
      <c r="R303" s="616" t="s">
        <v>203</v>
      </c>
      <c r="S303" s="616" t="s">
        <v>658</v>
      </c>
      <c r="U303" s="481" t="s">
        <v>1649</v>
      </c>
      <c r="V303" s="481" t="s">
        <v>3742</v>
      </c>
      <c r="AA303" s="1487"/>
    </row>
    <row r="304" spans="6:27" ht="10.5" customHeight="1">
      <c r="F304" s="368"/>
      <c r="G304" s="345"/>
      <c r="H304" s="345"/>
      <c r="I304" s="345"/>
      <c r="J304" s="345"/>
      <c r="K304" s="345"/>
      <c r="L304" s="345"/>
      <c r="M304" s="345"/>
      <c r="N304" s="744" t="s">
        <v>2520</v>
      </c>
      <c r="O304" s="322"/>
      <c r="P304" s="185"/>
      <c r="Q304" s="430"/>
      <c r="R304" s="616" t="s">
        <v>2668</v>
      </c>
      <c r="S304" s="616" t="s">
        <v>2095</v>
      </c>
      <c r="U304" s="481" t="s">
        <v>2208</v>
      </c>
      <c r="V304" s="481" t="s">
        <v>3742</v>
      </c>
      <c r="AA304" s="1486"/>
    </row>
    <row r="305" spans="6:27" ht="10.5" customHeight="1">
      <c r="F305" s="368"/>
      <c r="G305" s="345"/>
      <c r="H305" s="345"/>
      <c r="I305" s="345"/>
      <c r="J305" s="345"/>
      <c r="K305" s="345"/>
      <c r="L305" s="345"/>
      <c r="M305" s="345"/>
      <c r="N305" s="744" t="s">
        <v>2522</v>
      </c>
      <c r="O305" s="322"/>
      <c r="P305" s="185"/>
      <c r="Q305" s="430"/>
      <c r="R305" s="616" t="s">
        <v>830</v>
      </c>
      <c r="S305" s="616" t="s">
        <v>108</v>
      </c>
      <c r="U305" s="481" t="s">
        <v>2210</v>
      </c>
      <c r="V305" s="481" t="s">
        <v>3742</v>
      </c>
      <c r="AA305" s="1486"/>
    </row>
    <row r="306" spans="6:27" ht="10.5" customHeight="1">
      <c r="F306" s="368"/>
      <c r="G306" s="345"/>
      <c r="H306" s="345"/>
      <c r="I306" s="345"/>
      <c r="J306" s="345"/>
      <c r="K306" s="345"/>
      <c r="L306" s="345"/>
      <c r="M306" s="345"/>
      <c r="N306" s="744" t="s">
        <v>2524</v>
      </c>
      <c r="O306" s="322"/>
      <c r="P306" s="185"/>
      <c r="Q306" s="430"/>
      <c r="R306" s="616" t="s">
        <v>832</v>
      </c>
      <c r="S306" s="616" t="s">
        <v>124</v>
      </c>
      <c r="U306" s="481" t="s">
        <v>1504</v>
      </c>
      <c r="V306" s="481" t="s">
        <v>3742</v>
      </c>
      <c r="AA306" s="1486"/>
    </row>
    <row r="307" spans="6:27" ht="10.5" customHeight="1">
      <c r="F307" s="368"/>
      <c r="G307" s="345"/>
      <c r="H307" s="345"/>
      <c r="I307" s="345"/>
      <c r="J307" s="345"/>
      <c r="K307" s="345"/>
      <c r="L307" s="345"/>
      <c r="M307" s="345"/>
      <c r="N307" s="744" t="s">
        <v>2525</v>
      </c>
      <c r="O307" s="322"/>
      <c r="P307" s="185"/>
      <c r="Q307" s="430"/>
      <c r="R307" s="616" t="s">
        <v>834</v>
      </c>
      <c r="S307" s="616" t="s">
        <v>340</v>
      </c>
      <c r="U307" s="481" t="s">
        <v>1623</v>
      </c>
      <c r="V307" s="481" t="s">
        <v>3742</v>
      </c>
      <c r="AA307" s="1486"/>
    </row>
    <row r="308" spans="6:27" ht="10.5" customHeight="1">
      <c r="F308" s="368"/>
      <c r="G308" s="345"/>
      <c r="H308" s="345"/>
      <c r="I308" s="345"/>
      <c r="J308" s="345"/>
      <c r="K308" s="345"/>
      <c r="L308" s="345"/>
      <c r="M308" s="345"/>
      <c r="N308" s="744" t="s">
        <v>396</v>
      </c>
      <c r="O308" s="322"/>
      <c r="P308" s="185"/>
      <c r="Q308" s="430"/>
      <c r="R308" s="616" t="s">
        <v>3132</v>
      </c>
      <c r="S308" s="616" t="s">
        <v>918</v>
      </c>
      <c r="U308" s="481" t="s">
        <v>1233</v>
      </c>
      <c r="V308" s="481" t="s">
        <v>3742</v>
      </c>
      <c r="AA308" s="1486"/>
    </row>
    <row r="309" spans="6:27" ht="10.5" customHeight="1">
      <c r="F309" s="368"/>
      <c r="G309" s="345"/>
      <c r="H309" s="345"/>
      <c r="I309" s="345"/>
      <c r="J309" s="345"/>
      <c r="K309" s="345"/>
      <c r="L309" s="345"/>
      <c r="M309" s="345"/>
      <c r="N309" s="744" t="s">
        <v>49</v>
      </c>
      <c r="O309" s="322"/>
      <c r="P309" s="185"/>
      <c r="Q309" s="430"/>
      <c r="R309" s="746" t="s">
        <v>2521</v>
      </c>
      <c r="S309" s="746" t="s">
        <v>1517</v>
      </c>
      <c r="U309" s="481" t="s">
        <v>1826</v>
      </c>
      <c r="V309" s="481" t="s">
        <v>3742</v>
      </c>
      <c r="AA309" s="1486"/>
    </row>
    <row r="310" spans="6:27" ht="10.5" customHeight="1">
      <c r="F310" s="368"/>
      <c r="G310" s="345"/>
      <c r="H310" s="345"/>
      <c r="I310" s="345"/>
      <c r="J310" s="345"/>
      <c r="K310" s="345"/>
      <c r="L310" s="345"/>
      <c r="M310" s="345"/>
      <c r="N310" s="744" t="s">
        <v>51</v>
      </c>
      <c r="O310" s="322"/>
      <c r="P310" s="185"/>
      <c r="Q310" s="430"/>
      <c r="R310" s="616" t="s">
        <v>2523</v>
      </c>
      <c r="S310" s="616" t="s">
        <v>1150</v>
      </c>
      <c r="U310" s="481" t="s">
        <v>1893</v>
      </c>
      <c r="V310" s="481" t="s">
        <v>3742</v>
      </c>
      <c r="AA310" s="1487"/>
    </row>
    <row r="311" spans="6:27" ht="10.5" customHeight="1">
      <c r="F311" s="368"/>
      <c r="G311" s="345"/>
      <c r="H311" s="345"/>
      <c r="I311" s="345"/>
      <c r="J311" s="345"/>
      <c r="K311" s="345"/>
      <c r="L311" s="345"/>
      <c r="M311" s="345"/>
      <c r="N311" s="744" t="s">
        <v>2006</v>
      </c>
      <c r="O311" s="322"/>
      <c r="P311" s="185"/>
      <c r="Q311" s="430"/>
      <c r="R311" s="616" t="s">
        <v>2669</v>
      </c>
      <c r="S311" s="616" t="s">
        <v>699</v>
      </c>
      <c r="U311" s="481" t="s">
        <v>1148</v>
      </c>
      <c r="V311" s="481" t="s">
        <v>3742</v>
      </c>
      <c r="AA311" s="1486"/>
    </row>
    <row r="312" spans="6:27" ht="10.5" customHeight="1">
      <c r="F312" s="368"/>
      <c r="G312" s="345"/>
      <c r="H312" s="345"/>
      <c r="I312" s="345"/>
      <c r="J312" s="345"/>
      <c r="K312" s="345"/>
      <c r="L312" s="345"/>
      <c r="M312" s="345"/>
      <c r="N312" s="744" t="s">
        <v>2007</v>
      </c>
      <c r="O312" s="322"/>
      <c r="P312" s="185"/>
      <c r="Q312" s="430"/>
      <c r="R312" s="616" t="s">
        <v>395</v>
      </c>
      <c r="S312" s="616" t="s">
        <v>2587</v>
      </c>
      <c r="U312" s="481" t="s">
        <v>3740</v>
      </c>
      <c r="V312" s="481" t="s">
        <v>3742</v>
      </c>
      <c r="AA312" s="1486"/>
    </row>
    <row r="313" spans="6:27" ht="10.5" customHeight="1">
      <c r="F313" s="368"/>
      <c r="G313" s="345"/>
      <c r="H313" s="345"/>
      <c r="I313" s="345"/>
      <c r="J313" s="345"/>
      <c r="K313" s="345"/>
      <c r="L313" s="345"/>
      <c r="M313" s="345"/>
      <c r="N313" s="744" t="s">
        <v>2009</v>
      </c>
      <c r="O313" s="322"/>
      <c r="P313" s="185"/>
      <c r="Q313" s="430"/>
      <c r="R313" s="748" t="s">
        <v>397</v>
      </c>
      <c r="S313" s="616" t="s">
        <v>2259</v>
      </c>
      <c r="U313" s="481" t="s">
        <v>2232</v>
      </c>
      <c r="V313" s="481" t="s">
        <v>3742</v>
      </c>
      <c r="AA313" s="1486"/>
    </row>
    <row r="314" spans="6:27" ht="10.5" customHeight="1">
      <c r="F314" s="368"/>
      <c r="G314" s="345"/>
      <c r="H314" s="345"/>
      <c r="I314" s="345"/>
      <c r="J314" s="345"/>
      <c r="K314" s="345"/>
      <c r="L314" s="345"/>
      <c r="M314" s="345"/>
      <c r="N314" s="744" t="s">
        <v>2010</v>
      </c>
      <c r="O314" s="322"/>
      <c r="P314" s="185"/>
      <c r="Q314" s="430"/>
      <c r="R314" s="616" t="s">
        <v>50</v>
      </c>
      <c r="S314" s="616" t="s">
        <v>994</v>
      </c>
      <c r="U314" s="481" t="s">
        <v>1585</v>
      </c>
      <c r="V314" s="481" t="s">
        <v>3742</v>
      </c>
      <c r="AA314" s="1488"/>
    </row>
    <row r="315" spans="6:27" ht="10.5" customHeight="1">
      <c r="F315" s="368"/>
      <c r="G315" s="345"/>
      <c r="H315" s="345"/>
      <c r="I315" s="345"/>
      <c r="J315" s="345"/>
      <c r="K315" s="345"/>
      <c r="L315" s="345"/>
      <c r="M315" s="345"/>
      <c r="N315" s="744" t="s">
        <v>2011</v>
      </c>
      <c r="O315" s="322"/>
      <c r="P315" s="185"/>
      <c r="Q315" s="430"/>
      <c r="R315" s="616" t="s">
        <v>52</v>
      </c>
      <c r="S315" s="616" t="s">
        <v>658</v>
      </c>
      <c r="U315" s="481" t="s">
        <v>65</v>
      </c>
      <c r="V315" s="481" t="s">
        <v>3742</v>
      </c>
      <c r="AA315" s="1486"/>
    </row>
    <row r="316" spans="6:27" ht="10.5" customHeight="1">
      <c r="F316" s="368"/>
      <c r="G316" s="345"/>
      <c r="H316" s="345"/>
      <c r="I316" s="345"/>
      <c r="J316" s="345"/>
      <c r="K316" s="345"/>
      <c r="L316" s="345"/>
      <c r="M316" s="345"/>
      <c r="N316" s="744" t="s">
        <v>2013</v>
      </c>
      <c r="O316" s="322"/>
      <c r="P316" s="185"/>
      <c r="Q316" s="430"/>
      <c r="R316" s="616" t="s">
        <v>913</v>
      </c>
      <c r="S316" s="616" t="s">
        <v>2585</v>
      </c>
      <c r="U316" s="481" t="s">
        <v>69</v>
      </c>
      <c r="V316" s="481" t="s">
        <v>3742</v>
      </c>
      <c r="AA316" s="1486"/>
    </row>
    <row r="317" spans="6:27" ht="10.5" customHeight="1">
      <c r="F317" s="368"/>
      <c r="G317" s="345"/>
      <c r="H317" s="345"/>
      <c r="I317" s="345"/>
      <c r="J317" s="345"/>
      <c r="K317" s="345"/>
      <c r="L317" s="345"/>
      <c r="M317" s="345"/>
      <c r="N317" s="744" t="s">
        <v>751</v>
      </c>
      <c r="O317" s="322"/>
      <c r="P317" s="185"/>
      <c r="Q317" s="430"/>
      <c r="R317" s="746" t="s">
        <v>2008</v>
      </c>
      <c r="S317" s="746" t="s">
        <v>913</v>
      </c>
      <c r="U317" s="481" t="s">
        <v>71</v>
      </c>
      <c r="V317" s="481" t="s">
        <v>3742</v>
      </c>
      <c r="AA317" s="1486"/>
    </row>
    <row r="318" spans="6:27" ht="10.5" customHeight="1">
      <c r="F318" s="368"/>
      <c r="G318" s="345"/>
      <c r="H318" s="345"/>
      <c r="I318" s="345"/>
      <c r="J318" s="345"/>
      <c r="K318" s="345"/>
      <c r="L318" s="345"/>
      <c r="M318" s="345"/>
      <c r="N318" s="744" t="s">
        <v>1188</v>
      </c>
      <c r="O318" s="322"/>
      <c r="P318" s="185"/>
      <c r="Q318" s="430"/>
      <c r="R318" s="746" t="s">
        <v>2670</v>
      </c>
      <c r="S318" s="746" t="s">
        <v>658</v>
      </c>
      <c r="U318" s="481" t="s">
        <v>815</v>
      </c>
      <c r="V318" s="481" t="s">
        <v>3742</v>
      </c>
      <c r="AA318" s="1487"/>
    </row>
    <row r="319" spans="6:27" ht="10.5" customHeight="1">
      <c r="F319" s="368"/>
      <c r="G319" s="345"/>
      <c r="H319" s="345"/>
      <c r="I319" s="345"/>
      <c r="J319" s="345"/>
      <c r="K319" s="345"/>
      <c r="L319" s="345"/>
      <c r="M319" s="345"/>
      <c r="N319" s="744" t="s">
        <v>1190</v>
      </c>
      <c r="O319" s="322"/>
      <c r="P319" s="185"/>
      <c r="Q319" s="430"/>
      <c r="R319" s="616" t="s">
        <v>3133</v>
      </c>
      <c r="S319" s="616" t="s">
        <v>2582</v>
      </c>
      <c r="U319" s="481" t="s">
        <v>981</v>
      </c>
      <c r="V319" s="481" t="s">
        <v>3742</v>
      </c>
      <c r="AA319" s="1487"/>
    </row>
    <row r="320" spans="6:27" ht="10.5" customHeight="1">
      <c r="F320" s="368"/>
      <c r="G320" s="345"/>
      <c r="H320" s="345"/>
      <c r="I320" s="345"/>
      <c r="J320" s="345"/>
      <c r="K320" s="345"/>
      <c r="L320" s="345"/>
      <c r="M320" s="345"/>
      <c r="N320" s="744" t="s">
        <v>1192</v>
      </c>
      <c r="O320" s="322"/>
      <c r="P320" s="185"/>
      <c r="Q320" s="430"/>
      <c r="R320" s="616" t="s">
        <v>2012</v>
      </c>
      <c r="S320" s="616" t="s">
        <v>1517</v>
      </c>
      <c r="U320" s="481" t="s">
        <v>1087</v>
      </c>
      <c r="V320" s="481" t="s">
        <v>3742</v>
      </c>
      <c r="AA320" s="1486"/>
    </row>
    <row r="321" spans="6:27" ht="10.5" customHeight="1">
      <c r="F321" s="368"/>
      <c r="G321" s="345"/>
      <c r="H321" s="345"/>
      <c r="I321" s="345"/>
      <c r="J321" s="345"/>
      <c r="K321" s="345"/>
      <c r="L321" s="345"/>
      <c r="M321" s="345"/>
      <c r="N321" s="744" t="s">
        <v>2612</v>
      </c>
      <c r="O321" s="322"/>
      <c r="P321" s="185"/>
      <c r="Q321" s="430"/>
      <c r="R321" s="616" t="s">
        <v>2014</v>
      </c>
      <c r="S321" s="616" t="s">
        <v>1517</v>
      </c>
      <c r="U321" s="481" t="s">
        <v>2359</v>
      </c>
      <c r="V321" s="481" t="s">
        <v>3742</v>
      </c>
      <c r="AA321" s="1486"/>
    </row>
    <row r="322" spans="6:27" ht="10.5" customHeight="1">
      <c r="F322" s="368"/>
      <c r="G322" s="345"/>
      <c r="H322" s="345"/>
      <c r="I322" s="345"/>
      <c r="J322" s="345"/>
      <c r="K322" s="345"/>
      <c r="L322" s="345"/>
      <c r="M322" s="345"/>
      <c r="N322" s="744" t="s">
        <v>2614</v>
      </c>
      <c r="O322" s="322"/>
      <c r="P322" s="185"/>
      <c r="Q322" s="430"/>
      <c r="R322" s="616" t="s">
        <v>752</v>
      </c>
      <c r="S322" s="616" t="s">
        <v>123</v>
      </c>
      <c r="U322" s="481" t="s">
        <v>2620</v>
      </c>
      <c r="V322" s="481" t="s">
        <v>3742</v>
      </c>
      <c r="AA322" s="1486"/>
    </row>
    <row r="323" spans="6:27" ht="10.5" customHeight="1">
      <c r="F323" s="368"/>
      <c r="G323" s="345"/>
      <c r="H323" s="345"/>
      <c r="I323" s="345"/>
      <c r="J323" s="345"/>
      <c r="K323" s="345"/>
      <c r="L323" s="345"/>
      <c r="M323" s="345"/>
      <c r="N323" s="744" t="s">
        <v>194</v>
      </c>
      <c r="O323" s="322"/>
      <c r="P323" s="185"/>
      <c r="Q323" s="430"/>
      <c r="R323" s="616" t="s">
        <v>724</v>
      </c>
      <c r="S323" s="616" t="s">
        <v>658</v>
      </c>
      <c r="U323" s="481" t="s">
        <v>2252</v>
      </c>
      <c r="V323" s="481" t="s">
        <v>3742</v>
      </c>
      <c r="AA323" s="1486"/>
    </row>
    <row r="324" spans="6:27" ht="10.5" customHeight="1">
      <c r="F324" s="368"/>
      <c r="G324" s="345"/>
      <c r="H324" s="345"/>
      <c r="I324" s="345"/>
      <c r="J324" s="345"/>
      <c r="K324" s="345"/>
      <c r="L324" s="345"/>
      <c r="M324" s="345"/>
      <c r="N324" s="744" t="s">
        <v>196</v>
      </c>
      <c r="O324" s="322"/>
      <c r="P324" s="185"/>
      <c r="Q324" s="430"/>
      <c r="R324" s="616" t="s">
        <v>3134</v>
      </c>
      <c r="S324" s="616" t="s">
        <v>165</v>
      </c>
      <c r="U324" s="481" t="s">
        <v>1682</v>
      </c>
      <c r="V324" s="481" t="s">
        <v>3742</v>
      </c>
      <c r="AA324" s="1486"/>
    </row>
    <row r="325" spans="6:27" ht="10.5" customHeight="1">
      <c r="F325" s="368"/>
      <c r="G325" s="345"/>
      <c r="H325" s="345"/>
      <c r="I325" s="345"/>
      <c r="J325" s="345"/>
      <c r="K325" s="345"/>
      <c r="L325" s="345"/>
      <c r="M325" s="345"/>
      <c r="N325" s="744" t="s">
        <v>1902</v>
      </c>
      <c r="O325" s="322"/>
      <c r="P325" s="185"/>
      <c r="Q325" s="430"/>
      <c r="R325" s="616" t="s">
        <v>3135</v>
      </c>
      <c r="S325" s="616" t="s">
        <v>330</v>
      </c>
      <c r="U325" s="481" t="s">
        <v>2512</v>
      </c>
      <c r="V325" s="481" t="s">
        <v>3742</v>
      </c>
      <c r="AA325" s="1486"/>
    </row>
    <row r="326" spans="6:27" ht="10.5" customHeight="1">
      <c r="F326" s="368"/>
      <c r="G326" s="345"/>
      <c r="H326" s="345"/>
      <c r="I326" s="345"/>
      <c r="J326" s="345"/>
      <c r="K326" s="345"/>
      <c r="L326" s="345"/>
      <c r="M326" s="345"/>
      <c r="N326" s="744" t="s">
        <v>1904</v>
      </c>
      <c r="O326" s="322"/>
      <c r="P326" s="185"/>
      <c r="Q326" s="430"/>
      <c r="R326" s="616" t="s">
        <v>1189</v>
      </c>
      <c r="S326" s="616" t="s">
        <v>1517</v>
      </c>
      <c r="U326" s="481" t="s">
        <v>854</v>
      </c>
      <c r="V326" s="481" t="s">
        <v>3742</v>
      </c>
      <c r="AA326" s="1486"/>
    </row>
    <row r="327" spans="6:27" ht="10.5" customHeight="1">
      <c r="F327" s="368"/>
      <c r="G327" s="345"/>
      <c r="H327" s="345"/>
      <c r="I327" s="345"/>
      <c r="J327" s="345"/>
      <c r="K327" s="345"/>
      <c r="L327" s="345"/>
      <c r="M327" s="345"/>
      <c r="N327" s="744" t="s">
        <v>1975</v>
      </c>
      <c r="O327" s="322"/>
      <c r="P327" s="185"/>
      <c r="Q327" s="430"/>
      <c r="R327" s="616" t="s">
        <v>1191</v>
      </c>
      <c r="S327" s="616" t="s">
        <v>695</v>
      </c>
      <c r="U327" s="481" t="s">
        <v>174</v>
      </c>
      <c r="V327" s="481" t="s">
        <v>3742</v>
      </c>
      <c r="AA327" s="1486"/>
    </row>
    <row r="328" spans="6:27" ht="10.5" customHeight="1">
      <c r="F328" s="368"/>
      <c r="G328" s="345"/>
      <c r="H328" s="345"/>
      <c r="I328" s="345"/>
      <c r="J328" s="345"/>
      <c r="K328" s="345"/>
      <c r="L328" s="345"/>
      <c r="M328" s="345"/>
      <c r="N328" s="744" t="s">
        <v>1977</v>
      </c>
      <c r="O328" s="322"/>
      <c r="P328" s="185"/>
      <c r="Q328" s="430"/>
      <c r="R328" s="616" t="s">
        <v>2671</v>
      </c>
      <c r="S328" s="616" t="s">
        <v>2261</v>
      </c>
      <c r="U328" s="481" t="s">
        <v>1382</v>
      </c>
      <c r="V328" s="481" t="s">
        <v>3742</v>
      </c>
      <c r="AA328" s="1486"/>
    </row>
    <row r="329" spans="6:27" ht="10.5" customHeight="1">
      <c r="F329" s="368"/>
      <c r="G329" s="345"/>
      <c r="H329" s="345"/>
      <c r="I329" s="345"/>
      <c r="J329" s="345"/>
      <c r="K329" s="345"/>
      <c r="L329" s="345"/>
      <c r="M329" s="345"/>
      <c r="N329" s="744" t="s">
        <v>1978</v>
      </c>
      <c r="O329" s="322"/>
      <c r="P329" s="185"/>
      <c r="Q329" s="430"/>
      <c r="R329" s="616" t="s">
        <v>2672</v>
      </c>
      <c r="S329" s="616" t="s">
        <v>2631</v>
      </c>
      <c r="U329" s="481" t="s">
        <v>1117</v>
      </c>
      <c r="V329" s="481" t="s">
        <v>3742</v>
      </c>
      <c r="AA329" s="1486"/>
    </row>
    <row r="330" spans="6:27" ht="10.5" customHeight="1">
      <c r="F330" s="368"/>
      <c r="G330" s="345"/>
      <c r="H330" s="345"/>
      <c r="I330" s="345"/>
      <c r="J330" s="345"/>
      <c r="K330" s="345"/>
      <c r="L330" s="345"/>
      <c r="M330" s="345"/>
      <c r="N330" s="744" t="s">
        <v>1980</v>
      </c>
      <c r="O330" s="322"/>
      <c r="P330" s="185"/>
      <c r="Q330" s="430"/>
      <c r="R330" s="616" t="s">
        <v>1193</v>
      </c>
      <c r="S330" s="616" t="s">
        <v>1259</v>
      </c>
      <c r="U330" s="481" t="s">
        <v>2078</v>
      </c>
      <c r="V330" s="481" t="s">
        <v>3742</v>
      </c>
      <c r="AA330" s="1486"/>
    </row>
    <row r="331" spans="6:27" ht="10.5" customHeight="1">
      <c r="F331" s="368"/>
      <c r="G331" s="345"/>
      <c r="H331" s="345"/>
      <c r="I331" s="345"/>
      <c r="J331" s="345"/>
      <c r="K331" s="345"/>
      <c r="L331" s="345"/>
      <c r="M331" s="345"/>
      <c r="N331" s="744" t="s">
        <v>1982</v>
      </c>
      <c r="O331" s="322"/>
      <c r="P331" s="185"/>
      <c r="Q331" s="430"/>
      <c r="R331" s="616" t="s">
        <v>2613</v>
      </c>
      <c r="S331" s="616" t="s">
        <v>206</v>
      </c>
      <c r="U331" s="481" t="s">
        <v>1972</v>
      </c>
      <c r="V331" s="481" t="s">
        <v>3742</v>
      </c>
      <c r="AA331" s="1486"/>
    </row>
    <row r="332" spans="6:27" ht="10.5" customHeight="1">
      <c r="F332" s="368"/>
      <c r="G332" s="345"/>
      <c r="H332" s="345"/>
      <c r="I332" s="345"/>
      <c r="J332" s="345"/>
      <c r="K332" s="345"/>
      <c r="L332" s="345"/>
      <c r="M332" s="345"/>
      <c r="N332" s="744" t="s">
        <v>2016</v>
      </c>
      <c r="O332" s="322"/>
      <c r="P332" s="185"/>
      <c r="Q332" s="430"/>
      <c r="R332" s="616" t="s">
        <v>475</v>
      </c>
      <c r="S332" s="616" t="s">
        <v>1146</v>
      </c>
      <c r="U332" s="481" t="s">
        <v>2636</v>
      </c>
      <c r="V332" s="481" t="s">
        <v>3742</v>
      </c>
      <c r="AA332" s="1486"/>
    </row>
    <row r="333" spans="6:27" ht="10.5" customHeight="1">
      <c r="F333" s="368"/>
      <c r="G333" s="345"/>
      <c r="H333" s="345"/>
      <c r="I333" s="345"/>
      <c r="J333" s="345"/>
      <c r="K333" s="345"/>
      <c r="L333" s="345"/>
      <c r="M333" s="345"/>
      <c r="N333" s="744" t="s">
        <v>2018</v>
      </c>
      <c r="O333" s="322"/>
      <c r="P333" s="185"/>
      <c r="Q333" s="430"/>
      <c r="R333" s="746" t="s">
        <v>195</v>
      </c>
      <c r="S333" s="746" t="s">
        <v>697</v>
      </c>
      <c r="U333" s="481" t="s">
        <v>1204</v>
      </c>
      <c r="V333" s="481" t="s">
        <v>3742</v>
      </c>
      <c r="AA333" s="1486"/>
    </row>
    <row r="334" spans="6:27" ht="10.5" customHeight="1">
      <c r="F334" s="368"/>
      <c r="G334" s="345"/>
      <c r="H334" s="345"/>
      <c r="I334" s="345"/>
      <c r="J334" s="345"/>
      <c r="K334" s="345"/>
      <c r="L334" s="345"/>
      <c r="M334" s="345"/>
      <c r="N334" s="744" t="s">
        <v>2019</v>
      </c>
      <c r="O334" s="322"/>
      <c r="P334" s="185"/>
      <c r="Q334" s="430"/>
      <c r="R334" s="746" t="s">
        <v>315</v>
      </c>
      <c r="S334" s="746" t="s">
        <v>1388</v>
      </c>
      <c r="U334" s="481" t="s">
        <v>2616</v>
      </c>
      <c r="V334" s="481" t="s">
        <v>3742</v>
      </c>
      <c r="AA334" s="1487"/>
    </row>
    <row r="335" spans="6:27" ht="10.5" customHeight="1">
      <c r="F335" s="368"/>
      <c r="G335" s="345"/>
      <c r="H335" s="345"/>
      <c r="I335" s="345"/>
      <c r="J335" s="345"/>
      <c r="K335" s="345"/>
      <c r="L335" s="345"/>
      <c r="M335" s="345"/>
      <c r="N335" s="744" t="s">
        <v>2021</v>
      </c>
      <c r="O335" s="322"/>
      <c r="P335" s="185"/>
      <c r="Q335" s="430"/>
      <c r="R335" s="746" t="s">
        <v>1903</v>
      </c>
      <c r="S335" s="746" t="s">
        <v>918</v>
      </c>
      <c r="U335" s="481" t="s">
        <v>855</v>
      </c>
      <c r="V335" s="481" t="s">
        <v>3742</v>
      </c>
      <c r="AA335" s="1487"/>
    </row>
    <row r="336" spans="6:27" ht="10.5" customHeight="1">
      <c r="F336" s="368"/>
      <c r="G336" s="345"/>
      <c r="H336" s="345"/>
      <c r="I336" s="345"/>
      <c r="J336" s="345"/>
      <c r="K336" s="345"/>
      <c r="L336" s="345"/>
      <c r="M336" s="345"/>
      <c r="N336" s="744" t="s">
        <v>2023</v>
      </c>
      <c r="O336" s="322"/>
      <c r="P336" s="185"/>
      <c r="Q336" s="430"/>
      <c r="R336" s="616" t="s">
        <v>1905</v>
      </c>
      <c r="S336" s="616" t="s">
        <v>1156</v>
      </c>
      <c r="U336" s="481" t="s">
        <v>2190</v>
      </c>
      <c r="V336" s="481" t="s">
        <v>3742</v>
      </c>
      <c r="AA336" s="1487"/>
    </row>
    <row r="337" spans="6:27" ht="10.5" customHeight="1">
      <c r="F337" s="368"/>
      <c r="G337" s="345"/>
      <c r="H337" s="345"/>
      <c r="I337" s="345"/>
      <c r="J337" s="345"/>
      <c r="K337" s="345"/>
      <c r="L337" s="345"/>
      <c r="M337" s="345"/>
      <c r="N337" s="744" t="s">
        <v>434</v>
      </c>
      <c r="O337" s="322"/>
      <c r="P337" s="185"/>
      <c r="Q337" s="430"/>
      <c r="R337" s="616" t="s">
        <v>1976</v>
      </c>
      <c r="S337" s="616" t="s">
        <v>2587</v>
      </c>
      <c r="U337" s="481" t="s">
        <v>979</v>
      </c>
      <c r="V337" s="481" t="s">
        <v>3742</v>
      </c>
      <c r="AA337" s="1486"/>
    </row>
    <row r="338" spans="6:27" ht="10.5" customHeight="1">
      <c r="F338" s="368"/>
      <c r="G338" s="345"/>
      <c r="H338" s="345"/>
      <c r="I338" s="345"/>
      <c r="J338" s="345"/>
      <c r="K338" s="345"/>
      <c r="L338" s="345"/>
      <c r="M338" s="345"/>
      <c r="N338" s="744" t="s">
        <v>135</v>
      </c>
      <c r="O338" s="322"/>
      <c r="P338" s="185"/>
      <c r="Q338" s="430"/>
      <c r="R338" s="746" t="s">
        <v>1979</v>
      </c>
      <c r="S338" s="746" t="s">
        <v>695</v>
      </c>
      <c r="U338" s="481" t="s">
        <v>2600</v>
      </c>
      <c r="V338" s="481" t="s">
        <v>3742</v>
      </c>
      <c r="AA338" s="1486"/>
    </row>
    <row r="339" spans="6:27" ht="10.5" customHeight="1">
      <c r="F339" s="368"/>
      <c r="G339" s="345"/>
      <c r="H339" s="345"/>
      <c r="I339" s="345"/>
      <c r="J339" s="345"/>
      <c r="K339" s="345"/>
      <c r="L339" s="345"/>
      <c r="M339" s="345"/>
      <c r="N339" s="744" t="s">
        <v>1748</v>
      </c>
      <c r="O339" s="322"/>
      <c r="P339" s="185"/>
      <c r="Q339" s="430"/>
      <c r="R339" s="616" t="s">
        <v>1981</v>
      </c>
      <c r="S339" s="616" t="s">
        <v>1370</v>
      </c>
      <c r="U339" s="481" t="s">
        <v>1989</v>
      </c>
      <c r="V339" s="481" t="s">
        <v>3742</v>
      </c>
      <c r="AA339" s="1487"/>
    </row>
    <row r="340" spans="6:27" ht="10.5" customHeight="1">
      <c r="F340" s="368"/>
      <c r="G340" s="345"/>
      <c r="H340" s="345"/>
      <c r="I340" s="345"/>
      <c r="J340" s="345"/>
      <c r="K340" s="345"/>
      <c r="L340" s="345"/>
      <c r="M340" s="345"/>
      <c r="N340" s="744" t="s">
        <v>1824</v>
      </c>
      <c r="O340" s="322"/>
      <c r="P340" s="185"/>
      <c r="Q340" s="430"/>
      <c r="R340" s="616" t="s">
        <v>3136</v>
      </c>
      <c r="S340" s="616" t="s">
        <v>206</v>
      </c>
      <c r="U340" s="481" t="s">
        <v>1474</v>
      </c>
      <c r="V340" s="481" t="s">
        <v>3742</v>
      </c>
      <c r="AA340" s="1486"/>
    </row>
    <row r="341" spans="6:27" ht="10.5" customHeight="1">
      <c r="F341" s="368"/>
      <c r="G341" s="345"/>
      <c r="H341" s="345"/>
      <c r="I341" s="345"/>
      <c r="J341" s="345"/>
      <c r="K341" s="345"/>
      <c r="L341" s="345"/>
      <c r="M341" s="345"/>
      <c r="N341" s="744" t="s">
        <v>2369</v>
      </c>
      <c r="O341" s="322"/>
      <c r="P341" s="185"/>
      <c r="Q341" s="430"/>
      <c r="R341" s="616" t="s">
        <v>1983</v>
      </c>
      <c r="S341" s="616" t="s">
        <v>1373</v>
      </c>
      <c r="U341" s="481" t="s">
        <v>2349</v>
      </c>
      <c r="V341" s="481" t="s">
        <v>3742</v>
      </c>
      <c r="AA341" s="1486"/>
    </row>
    <row r="342" spans="6:27" ht="10.5" customHeight="1">
      <c r="F342" s="368"/>
      <c r="G342" s="345"/>
      <c r="H342" s="345"/>
      <c r="I342" s="345"/>
      <c r="J342" s="345"/>
      <c r="K342" s="345"/>
      <c r="L342" s="345"/>
      <c r="M342" s="345"/>
      <c r="N342" s="744" t="s">
        <v>2371</v>
      </c>
      <c r="O342" s="322"/>
      <c r="P342" s="185"/>
      <c r="Q342" s="430"/>
      <c r="R342" s="616" t="s">
        <v>2017</v>
      </c>
      <c r="S342" s="616" t="s">
        <v>332</v>
      </c>
      <c r="U342" s="481" t="s">
        <v>2351</v>
      </c>
      <c r="V342" s="481" t="s">
        <v>3742</v>
      </c>
      <c r="AA342" s="1486"/>
    </row>
    <row r="343" spans="6:27" ht="10.5" customHeight="1">
      <c r="F343" s="368"/>
      <c r="G343" s="345"/>
      <c r="H343" s="345"/>
      <c r="I343" s="345"/>
      <c r="J343" s="345"/>
      <c r="K343" s="345"/>
      <c r="L343" s="345"/>
      <c r="M343" s="345"/>
      <c r="N343" s="744" t="s">
        <v>1035</v>
      </c>
      <c r="O343" s="322"/>
      <c r="P343" s="185"/>
      <c r="Q343" s="430"/>
      <c r="R343" s="616" t="s">
        <v>3137</v>
      </c>
      <c r="S343" s="616" t="s">
        <v>688</v>
      </c>
      <c r="U343" s="481" t="s">
        <v>1161</v>
      </c>
      <c r="V343" s="481" t="s">
        <v>3742</v>
      </c>
      <c r="AA343" s="1486"/>
    </row>
    <row r="344" spans="6:27" ht="10.5" customHeight="1">
      <c r="F344" s="368"/>
      <c r="G344" s="345"/>
      <c r="H344" s="345"/>
      <c r="I344" s="345"/>
      <c r="J344" s="345"/>
      <c r="K344" s="345"/>
      <c r="L344" s="345"/>
      <c r="M344" s="345"/>
      <c r="N344" s="744" t="s">
        <v>710</v>
      </c>
      <c r="O344" s="322"/>
      <c r="P344" s="185"/>
      <c r="Q344" s="430"/>
      <c r="R344" s="616" t="s">
        <v>2020</v>
      </c>
      <c r="S344" s="616" t="s">
        <v>2686</v>
      </c>
      <c r="U344" s="481" t="s">
        <v>2213</v>
      </c>
      <c r="V344" s="481" t="s">
        <v>3742</v>
      </c>
      <c r="AA344" s="1486"/>
    </row>
    <row r="345" spans="6:27" ht="10.5" customHeight="1">
      <c r="F345" s="368"/>
      <c r="G345" s="345"/>
      <c r="H345" s="345"/>
      <c r="I345" s="345"/>
      <c r="J345" s="345"/>
      <c r="K345" s="345"/>
      <c r="L345" s="345"/>
      <c r="M345" s="345"/>
      <c r="N345" s="744" t="s">
        <v>596</v>
      </c>
      <c r="O345" s="322"/>
      <c r="P345" s="185"/>
      <c r="Q345" s="430"/>
      <c r="R345" s="616" t="s">
        <v>2022</v>
      </c>
      <c r="S345" s="616" t="s">
        <v>1370</v>
      </c>
      <c r="U345" s="481" t="s">
        <v>2214</v>
      </c>
      <c r="V345" s="481" t="s">
        <v>3742</v>
      </c>
      <c r="AA345" s="1486"/>
    </row>
    <row r="346" spans="6:27" ht="10.5" customHeight="1">
      <c r="F346" s="368"/>
      <c r="G346" s="345"/>
      <c r="H346" s="345"/>
      <c r="I346" s="345"/>
      <c r="J346" s="345"/>
      <c r="K346" s="345"/>
      <c r="L346" s="345"/>
      <c r="M346" s="345"/>
      <c r="N346" s="744" t="s">
        <v>706</v>
      </c>
      <c r="O346" s="322"/>
      <c r="P346" s="185"/>
      <c r="Q346" s="430"/>
      <c r="R346" s="616" t="s">
        <v>2335</v>
      </c>
      <c r="S346" s="616" t="s">
        <v>2628</v>
      </c>
      <c r="U346" s="481" t="s">
        <v>2215</v>
      </c>
      <c r="V346" s="481" t="s">
        <v>3742</v>
      </c>
      <c r="AA346" s="1486"/>
    </row>
    <row r="347" spans="6:27" ht="10.5" customHeight="1">
      <c r="F347" s="368"/>
      <c r="G347" s="345"/>
      <c r="H347" s="345"/>
      <c r="I347" s="345"/>
      <c r="J347" s="345"/>
      <c r="K347" s="345"/>
      <c r="L347" s="345"/>
      <c r="M347" s="345"/>
      <c r="N347" s="744" t="s">
        <v>2483</v>
      </c>
      <c r="O347" s="322"/>
      <c r="P347" s="185"/>
      <c r="Q347" s="430"/>
      <c r="R347" s="616" t="s">
        <v>2673</v>
      </c>
      <c r="S347" s="616" t="s">
        <v>2261</v>
      </c>
      <c r="U347" s="481" t="s">
        <v>2424</v>
      </c>
      <c r="V347" s="481" t="s">
        <v>3742</v>
      </c>
      <c r="AA347" s="1486"/>
    </row>
    <row r="348" spans="6:27" ht="10.5" customHeight="1">
      <c r="F348" s="368"/>
      <c r="G348" s="345"/>
      <c r="H348" s="345"/>
      <c r="I348" s="345"/>
      <c r="J348" s="345"/>
      <c r="K348" s="345"/>
      <c r="L348" s="345"/>
      <c r="M348" s="345"/>
      <c r="N348" s="744" t="s">
        <v>229</v>
      </c>
      <c r="O348" s="322"/>
      <c r="P348" s="185"/>
      <c r="Q348" s="430"/>
      <c r="R348" s="616" t="s">
        <v>2674</v>
      </c>
      <c r="S348" s="616" t="s">
        <v>2584</v>
      </c>
      <c r="U348" s="481" t="s">
        <v>2426</v>
      </c>
      <c r="V348" s="481" t="s">
        <v>3742</v>
      </c>
      <c r="AA348" s="1486"/>
    </row>
    <row r="349" spans="6:27" ht="10.5" customHeight="1">
      <c r="F349" s="368"/>
      <c r="G349" s="345"/>
      <c r="H349" s="345"/>
      <c r="I349" s="345"/>
      <c r="J349" s="345"/>
      <c r="K349" s="345"/>
      <c r="L349" s="345"/>
      <c r="M349" s="345"/>
      <c r="N349" s="744" t="s">
        <v>819</v>
      </c>
      <c r="O349" s="322"/>
      <c r="P349" s="185"/>
      <c r="Q349" s="430"/>
      <c r="R349" s="616" t="s">
        <v>435</v>
      </c>
      <c r="S349" s="616" t="s">
        <v>1259</v>
      </c>
      <c r="U349" s="481" t="s">
        <v>2352</v>
      </c>
      <c r="V349" s="481" t="s">
        <v>3742</v>
      </c>
      <c r="AA349" s="1486"/>
    </row>
    <row r="350" spans="6:27" ht="10.5" customHeight="1">
      <c r="F350" s="368"/>
      <c r="G350" s="345"/>
      <c r="H350" s="345"/>
      <c r="I350" s="345"/>
      <c r="J350" s="345"/>
      <c r="K350" s="345"/>
      <c r="L350" s="345"/>
      <c r="M350" s="345"/>
      <c r="N350" s="744" t="s">
        <v>820</v>
      </c>
      <c r="O350" s="322"/>
      <c r="P350" s="185"/>
      <c r="Q350" s="430"/>
      <c r="R350" s="746" t="s">
        <v>237</v>
      </c>
      <c r="S350" s="746" t="s">
        <v>700</v>
      </c>
      <c r="U350" s="481" t="s">
        <v>1695</v>
      </c>
      <c r="V350" s="481" t="s">
        <v>3742</v>
      </c>
      <c r="AA350" s="1486"/>
    </row>
    <row r="351" spans="6:27" ht="10.5" customHeight="1">
      <c r="F351" s="368"/>
      <c r="G351" s="345"/>
      <c r="H351" s="345"/>
      <c r="I351" s="345"/>
      <c r="J351" s="345"/>
      <c r="K351" s="345"/>
      <c r="L351" s="345"/>
      <c r="M351" s="345"/>
      <c r="N351" s="744" t="s">
        <v>241</v>
      </c>
      <c r="O351" s="322"/>
      <c r="P351" s="185"/>
      <c r="Q351" s="430"/>
      <c r="R351" s="616" t="s">
        <v>2675</v>
      </c>
      <c r="S351" s="616" t="s">
        <v>2093</v>
      </c>
      <c r="U351" s="481" t="s">
        <v>1760</v>
      </c>
      <c r="V351" s="481" t="s">
        <v>3742</v>
      </c>
      <c r="AA351" s="1487"/>
    </row>
    <row r="352" spans="6:27" ht="10.5" customHeight="1">
      <c r="F352" s="368"/>
      <c r="G352" s="345"/>
      <c r="H352" s="345"/>
      <c r="I352" s="345"/>
      <c r="J352" s="345"/>
      <c r="K352" s="345"/>
      <c r="L352" s="345"/>
      <c r="M352" s="345"/>
      <c r="N352" s="744" t="s">
        <v>243</v>
      </c>
      <c r="O352" s="322"/>
      <c r="P352" s="185"/>
      <c r="Q352" s="430"/>
      <c r="R352" s="616" t="s">
        <v>1749</v>
      </c>
      <c r="S352" s="616" t="s">
        <v>2582</v>
      </c>
      <c r="U352" s="481" t="s">
        <v>1122</v>
      </c>
      <c r="V352" s="481" t="s">
        <v>3742</v>
      </c>
      <c r="AA352" s="1486"/>
    </row>
    <row r="353" spans="6:27" ht="10.5" customHeight="1">
      <c r="F353" s="368"/>
      <c r="G353" s="345"/>
      <c r="H353" s="345"/>
      <c r="I353" s="345"/>
      <c r="J353" s="345"/>
      <c r="K353" s="345"/>
      <c r="L353" s="345"/>
      <c r="M353" s="345"/>
      <c r="N353" s="744" t="s">
        <v>245</v>
      </c>
      <c r="O353" s="322"/>
      <c r="P353" s="185"/>
      <c r="Q353" s="430"/>
      <c r="R353" s="616" t="s">
        <v>2370</v>
      </c>
      <c r="S353" s="616" t="s">
        <v>690</v>
      </c>
      <c r="U353" s="481" t="s">
        <v>1767</v>
      </c>
      <c r="V353" s="481" t="s">
        <v>3742</v>
      </c>
      <c r="AA353" s="1486"/>
    </row>
    <row r="354" spans="6:27" ht="10.5" customHeight="1">
      <c r="F354" s="368"/>
      <c r="G354" s="345"/>
      <c r="H354" s="345"/>
      <c r="I354" s="345"/>
      <c r="J354" s="345"/>
      <c r="K354" s="345"/>
      <c r="L354" s="345"/>
      <c r="M354" s="345"/>
      <c r="N354" s="744" t="s">
        <v>824</v>
      </c>
      <c r="O354" s="322"/>
      <c r="P354" s="185"/>
      <c r="Q354" s="430"/>
      <c r="R354" s="616" t="s">
        <v>2372</v>
      </c>
      <c r="S354" s="616" t="s">
        <v>1371</v>
      </c>
      <c r="U354" s="481" t="s">
        <v>1768</v>
      </c>
      <c r="V354" s="481" t="s">
        <v>3742</v>
      </c>
      <c r="AA354" s="1486"/>
    </row>
    <row r="355" spans="6:27" ht="10.5" customHeight="1">
      <c r="F355" s="368"/>
      <c r="G355" s="345"/>
      <c r="H355" s="345"/>
      <c r="I355" s="345"/>
      <c r="J355" s="345"/>
      <c r="K355" s="345"/>
      <c r="L355" s="345"/>
      <c r="M355" s="345"/>
      <c r="N355" s="744" t="s">
        <v>825</v>
      </c>
      <c r="O355" s="322"/>
      <c r="P355" s="185"/>
      <c r="Q355" s="430"/>
      <c r="R355" s="616" t="s">
        <v>1036</v>
      </c>
      <c r="S355" s="616" t="s">
        <v>1520</v>
      </c>
      <c r="U355" s="481" t="s">
        <v>1770</v>
      </c>
      <c r="V355" s="481" t="s">
        <v>3742</v>
      </c>
      <c r="AA355" s="1486"/>
    </row>
    <row r="356" spans="6:27" ht="10.5" customHeight="1">
      <c r="F356" s="368"/>
      <c r="G356" s="345"/>
      <c r="H356" s="345"/>
      <c r="I356" s="345"/>
      <c r="J356" s="345"/>
      <c r="K356" s="345"/>
      <c r="L356" s="345"/>
      <c r="M356" s="345"/>
      <c r="N356" s="744" t="s">
        <v>827</v>
      </c>
      <c r="O356" s="322"/>
      <c r="P356" s="185"/>
      <c r="Q356" s="430"/>
      <c r="R356" s="616" t="s">
        <v>597</v>
      </c>
      <c r="S356" s="616" t="s">
        <v>1387</v>
      </c>
      <c r="U356" s="481" t="s">
        <v>1773</v>
      </c>
      <c r="V356" s="481" t="s">
        <v>3742</v>
      </c>
      <c r="AA356" s="1486"/>
    </row>
    <row r="357" spans="6:27" ht="10.5" customHeight="1">
      <c r="F357" s="368"/>
      <c r="G357" s="345"/>
      <c r="H357" s="345"/>
      <c r="I357" s="345"/>
      <c r="J357" s="345"/>
      <c r="K357" s="345"/>
      <c r="L357" s="345"/>
      <c r="M357" s="345"/>
      <c r="N357" s="744" t="s">
        <v>1621</v>
      </c>
      <c r="O357" s="322"/>
      <c r="P357" s="185"/>
      <c r="Q357" s="430"/>
      <c r="R357" s="616" t="s">
        <v>707</v>
      </c>
      <c r="S357" s="616" t="s">
        <v>325</v>
      </c>
      <c r="U357" s="481" t="s">
        <v>1775</v>
      </c>
      <c r="V357" s="481" t="s">
        <v>3742</v>
      </c>
      <c r="AA357" s="1486"/>
    </row>
    <row r="358" spans="6:27" ht="10.5" customHeight="1">
      <c r="F358" s="368"/>
      <c r="G358" s="345"/>
      <c r="H358" s="345"/>
      <c r="I358" s="345"/>
      <c r="J358" s="345"/>
      <c r="K358" s="345"/>
      <c r="L358" s="345"/>
      <c r="M358" s="345"/>
      <c r="N358" s="744" t="s">
        <v>1273</v>
      </c>
      <c r="O358" s="322"/>
      <c r="P358" s="185"/>
      <c r="Q358" s="430"/>
      <c r="R358" s="616" t="s">
        <v>2484</v>
      </c>
      <c r="S358" s="616" t="s">
        <v>163</v>
      </c>
      <c r="U358" s="481" t="s">
        <v>1776</v>
      </c>
      <c r="V358" s="481" t="s">
        <v>3742</v>
      </c>
      <c r="AA358" s="1486"/>
    </row>
    <row r="359" spans="6:27" ht="10.5" customHeight="1">
      <c r="F359" s="368"/>
      <c r="G359" s="345"/>
      <c r="H359" s="345"/>
      <c r="I359" s="345"/>
      <c r="J359" s="345"/>
      <c r="K359" s="345"/>
      <c r="L359" s="345"/>
      <c r="M359" s="345"/>
      <c r="N359" s="744" t="s">
        <v>1275</v>
      </c>
      <c r="O359" s="322"/>
      <c r="P359" s="185"/>
      <c r="Q359" s="430"/>
      <c r="R359" s="616" t="s">
        <v>230</v>
      </c>
      <c r="S359" s="616" t="s">
        <v>2581</v>
      </c>
      <c r="U359" s="481" t="s">
        <v>1778</v>
      </c>
      <c r="V359" s="481" t="s">
        <v>3742</v>
      </c>
      <c r="AA359" s="1486"/>
    </row>
    <row r="360" spans="6:27" ht="10.5" customHeight="1">
      <c r="F360" s="368"/>
      <c r="G360" s="345"/>
      <c r="H360" s="345"/>
      <c r="I360" s="345"/>
      <c r="J360" s="345"/>
      <c r="K360" s="345"/>
      <c r="L360" s="345"/>
      <c r="M360" s="345"/>
      <c r="N360" s="744" t="s">
        <v>938</v>
      </c>
      <c r="O360" s="322"/>
      <c r="P360" s="185"/>
      <c r="Q360" s="430"/>
      <c r="R360" s="616" t="s">
        <v>692</v>
      </c>
      <c r="S360" s="616" t="s">
        <v>1704</v>
      </c>
      <c r="U360" s="481" t="s">
        <v>1782</v>
      </c>
      <c r="V360" s="481" t="s">
        <v>3742</v>
      </c>
      <c r="AA360" s="1486"/>
    </row>
    <row r="361" spans="6:27" ht="10.5" customHeight="1">
      <c r="F361" s="368"/>
      <c r="G361" s="345"/>
      <c r="H361" s="345"/>
      <c r="I361" s="345"/>
      <c r="J361" s="345"/>
      <c r="K361" s="345"/>
      <c r="L361" s="345"/>
      <c r="M361" s="345"/>
      <c r="N361" s="744" t="s">
        <v>2559</v>
      </c>
      <c r="O361" s="322"/>
      <c r="P361" s="185"/>
      <c r="Q361" s="430"/>
      <c r="R361" s="616" t="s">
        <v>2457</v>
      </c>
      <c r="S361" s="616" t="s">
        <v>2579</v>
      </c>
      <c r="U361" s="481" t="s">
        <v>1783</v>
      </c>
      <c r="V361" s="481" t="s">
        <v>3742</v>
      </c>
      <c r="AA361" s="1486"/>
    </row>
    <row r="362" spans="6:27" ht="10.5" customHeight="1">
      <c r="F362" s="368"/>
      <c r="G362" s="345"/>
      <c r="H362" s="345"/>
      <c r="I362" s="345"/>
      <c r="J362" s="345"/>
      <c r="K362" s="345"/>
      <c r="L362" s="345"/>
      <c r="M362" s="345"/>
      <c r="N362" s="744" t="s">
        <v>941</v>
      </c>
      <c r="O362" s="322"/>
      <c r="P362" s="185"/>
      <c r="Q362" s="430"/>
      <c r="R362" s="616" t="s">
        <v>242</v>
      </c>
      <c r="S362" s="616" t="s">
        <v>1586</v>
      </c>
      <c r="U362" s="481" t="s">
        <v>1784</v>
      </c>
      <c r="V362" s="481" t="s">
        <v>3742</v>
      </c>
      <c r="AA362" s="1486"/>
    </row>
    <row r="363" spans="6:27" ht="10.5" customHeight="1">
      <c r="F363" s="368"/>
      <c r="G363" s="345"/>
      <c r="H363" s="345"/>
      <c r="I363" s="345"/>
      <c r="J363" s="345"/>
      <c r="K363" s="345"/>
      <c r="L363" s="345"/>
      <c r="M363" s="345"/>
      <c r="N363" s="744" t="s">
        <v>943</v>
      </c>
      <c r="O363" s="322"/>
      <c r="P363" s="185"/>
      <c r="Q363" s="430"/>
      <c r="R363" s="616" t="s">
        <v>1090</v>
      </c>
      <c r="S363" s="616" t="s">
        <v>1520</v>
      </c>
      <c r="U363" s="481" t="s">
        <v>108</v>
      </c>
      <c r="V363" s="481" t="s">
        <v>3742</v>
      </c>
      <c r="AA363" s="1486"/>
    </row>
    <row r="364" spans="6:27" ht="10.5" customHeight="1">
      <c r="F364" s="368"/>
      <c r="G364" s="345"/>
      <c r="H364" s="345"/>
      <c r="I364" s="345"/>
      <c r="J364" s="345"/>
      <c r="K364" s="345"/>
      <c r="L364" s="345"/>
      <c r="M364" s="345"/>
      <c r="N364" s="744" t="s">
        <v>945</v>
      </c>
      <c r="O364" s="322"/>
      <c r="P364" s="185"/>
      <c r="Q364" s="430"/>
      <c r="R364" s="616" t="s">
        <v>244</v>
      </c>
      <c r="S364" s="616" t="s">
        <v>1136</v>
      </c>
      <c r="U364" s="481" t="s">
        <v>310</v>
      </c>
      <c r="V364" s="481" t="s">
        <v>3742</v>
      </c>
      <c r="AA364" s="1486"/>
    </row>
    <row r="365" spans="6:27" ht="10.5" customHeight="1">
      <c r="F365" s="368"/>
      <c r="G365" s="345"/>
      <c r="H365" s="345"/>
      <c r="I365" s="345"/>
      <c r="J365" s="345"/>
      <c r="K365" s="345"/>
      <c r="L365" s="345"/>
      <c r="M365" s="345"/>
      <c r="N365" s="744" t="s">
        <v>947</v>
      </c>
      <c r="O365" s="322"/>
      <c r="P365" s="185"/>
      <c r="Q365" s="430"/>
      <c r="R365" s="616" t="s">
        <v>693</v>
      </c>
      <c r="S365" s="616" t="s">
        <v>332</v>
      </c>
      <c r="U365" s="481" t="s">
        <v>311</v>
      </c>
      <c r="V365" s="481" t="s">
        <v>3742</v>
      </c>
      <c r="AA365" s="1486"/>
    </row>
    <row r="366" spans="6:27" ht="10.5" customHeight="1">
      <c r="F366" s="368"/>
      <c r="G366" s="345"/>
      <c r="H366" s="345"/>
      <c r="I366" s="345"/>
      <c r="J366" s="345"/>
      <c r="K366" s="345"/>
      <c r="L366" s="345"/>
      <c r="M366" s="345"/>
      <c r="N366" s="744" t="s">
        <v>949</v>
      </c>
      <c r="O366" s="322"/>
      <c r="P366" s="185"/>
      <c r="Q366" s="430"/>
      <c r="R366" s="616" t="s">
        <v>826</v>
      </c>
      <c r="S366" s="616" t="s">
        <v>693</v>
      </c>
      <c r="U366" s="481" t="s">
        <v>312</v>
      </c>
      <c r="V366" s="481" t="s">
        <v>3742</v>
      </c>
      <c r="AA366" s="1486"/>
    </row>
    <row r="367" spans="6:27" ht="10.5" customHeight="1">
      <c r="F367" s="368"/>
      <c r="G367" s="345"/>
      <c r="H367" s="345"/>
      <c r="I367" s="345"/>
      <c r="J367" s="345"/>
      <c r="K367" s="345"/>
      <c r="L367" s="345"/>
      <c r="M367" s="345"/>
      <c r="N367" s="744" t="s">
        <v>712</v>
      </c>
      <c r="O367" s="322"/>
      <c r="P367" s="185"/>
      <c r="Q367" s="430"/>
      <c r="R367" s="616" t="s">
        <v>1272</v>
      </c>
      <c r="S367" s="616" t="s">
        <v>2587</v>
      </c>
      <c r="U367" s="481" t="s">
        <v>1608</v>
      </c>
      <c r="V367" s="481" t="s">
        <v>3742</v>
      </c>
      <c r="AA367" s="1486"/>
    </row>
    <row r="368" spans="6:27" ht="10.5" customHeight="1">
      <c r="F368" s="368"/>
      <c r="G368" s="345"/>
      <c r="H368" s="345"/>
      <c r="I368" s="345"/>
      <c r="J368" s="345"/>
      <c r="K368" s="345"/>
      <c r="L368" s="345"/>
      <c r="M368" s="345"/>
      <c r="N368" s="744" t="s">
        <v>56</v>
      </c>
      <c r="O368" s="322"/>
      <c r="P368" s="185"/>
      <c r="Q368" s="430"/>
      <c r="R368" s="616" t="s">
        <v>1274</v>
      </c>
      <c r="S368" s="616" t="s">
        <v>325</v>
      </c>
      <c r="U368" s="481" t="s">
        <v>1609</v>
      </c>
      <c r="V368" s="481" t="s">
        <v>3742</v>
      </c>
      <c r="AA368" s="1486"/>
    </row>
    <row r="369" spans="6:27" ht="10.5" customHeight="1">
      <c r="F369" s="368"/>
      <c r="G369" s="345"/>
      <c r="H369" s="345"/>
      <c r="I369" s="345"/>
      <c r="J369" s="345"/>
      <c r="K369" s="345"/>
      <c r="L369" s="345"/>
      <c r="M369" s="345"/>
      <c r="N369" s="744" t="s">
        <v>1002</v>
      </c>
      <c r="O369" s="322"/>
      <c r="P369" s="185"/>
      <c r="Q369" s="430"/>
      <c r="R369" s="616" t="s">
        <v>1276</v>
      </c>
      <c r="S369" s="616" t="s">
        <v>165</v>
      </c>
      <c r="U369" s="481" t="s">
        <v>1610</v>
      </c>
      <c r="V369" s="481" t="s">
        <v>3742</v>
      </c>
      <c r="AA369" s="1486"/>
    </row>
    <row r="370" spans="6:27" ht="10.5" customHeight="1">
      <c r="F370" s="368"/>
      <c r="G370" s="345"/>
      <c r="H370" s="345"/>
      <c r="I370" s="345"/>
      <c r="J370" s="345"/>
      <c r="K370" s="345"/>
      <c r="L370" s="345"/>
      <c r="M370" s="345"/>
      <c r="N370" s="744" t="s">
        <v>1817</v>
      </c>
      <c r="O370" s="322"/>
      <c r="P370" s="185"/>
      <c r="Q370" s="430"/>
      <c r="R370" s="616" t="s">
        <v>939</v>
      </c>
      <c r="S370" s="616" t="s">
        <v>2333</v>
      </c>
      <c r="U370" s="481" t="s">
        <v>1615</v>
      </c>
      <c r="V370" s="481" t="s">
        <v>3742</v>
      </c>
      <c r="AA370" s="1486"/>
    </row>
    <row r="371" spans="6:27" ht="10.5" customHeight="1">
      <c r="F371" s="368"/>
      <c r="G371" s="345"/>
      <c r="H371" s="345"/>
      <c r="I371" s="345"/>
      <c r="J371" s="345"/>
      <c r="K371" s="345"/>
      <c r="L371" s="345"/>
      <c r="M371" s="345"/>
      <c r="N371" s="744" t="s">
        <v>1041</v>
      </c>
      <c r="O371" s="322"/>
      <c r="P371" s="185"/>
      <c r="Q371" s="430"/>
      <c r="R371" s="616" t="s">
        <v>2560</v>
      </c>
      <c r="S371" s="616" t="s">
        <v>1962</v>
      </c>
      <c r="U371" s="481" t="s">
        <v>2479</v>
      </c>
      <c r="V371" s="481" t="s">
        <v>3742</v>
      </c>
      <c r="AA371" s="1486"/>
    </row>
    <row r="372" spans="6:27" ht="10.5" customHeight="1">
      <c r="F372" s="368"/>
      <c r="G372" s="345"/>
      <c r="H372" s="345"/>
      <c r="I372" s="345"/>
      <c r="J372" s="345"/>
      <c r="K372" s="345"/>
      <c r="L372" s="345"/>
      <c r="M372" s="345"/>
      <c r="N372" s="744" t="s">
        <v>1042</v>
      </c>
      <c r="O372" s="322"/>
      <c r="P372" s="185"/>
      <c r="Q372" s="430"/>
      <c r="R372" s="616" t="s">
        <v>942</v>
      </c>
      <c r="S372" s="616" t="s">
        <v>2268</v>
      </c>
      <c r="U372" s="481" t="s">
        <v>873</v>
      </c>
      <c r="V372" s="481" t="s">
        <v>3742</v>
      </c>
      <c r="AA372" s="1486"/>
    </row>
    <row r="373" spans="6:27" ht="10.5" customHeight="1">
      <c r="F373" s="368"/>
      <c r="G373" s="345"/>
      <c r="H373" s="345"/>
      <c r="I373" s="345"/>
      <c r="J373" s="345"/>
      <c r="K373" s="345"/>
      <c r="L373" s="345"/>
      <c r="M373" s="345"/>
      <c r="N373" s="744" t="s">
        <v>1044</v>
      </c>
      <c r="O373" s="322"/>
      <c r="P373" s="185"/>
      <c r="Q373" s="430"/>
      <c r="R373" s="746" t="s">
        <v>944</v>
      </c>
      <c r="S373" s="746" t="s">
        <v>1148</v>
      </c>
      <c r="U373" s="481" t="s">
        <v>875</v>
      </c>
      <c r="V373" s="481" t="s">
        <v>3742</v>
      </c>
      <c r="AA373" s="1486"/>
    </row>
    <row r="374" spans="6:27" ht="10.5" customHeight="1">
      <c r="F374" s="368"/>
      <c r="G374" s="345"/>
      <c r="H374" s="345"/>
      <c r="I374" s="345"/>
      <c r="J374" s="345"/>
      <c r="K374" s="345"/>
      <c r="L374" s="345"/>
      <c r="M374" s="345"/>
      <c r="N374" s="744" t="s">
        <v>1023</v>
      </c>
      <c r="O374" s="322"/>
      <c r="P374" s="185"/>
      <c r="Q374" s="430"/>
      <c r="R374" s="616" t="s">
        <v>946</v>
      </c>
      <c r="S374" s="616" t="s">
        <v>697</v>
      </c>
      <c r="AA374" s="1487"/>
    </row>
    <row r="375" spans="6:27" ht="10.5" customHeight="1">
      <c r="F375" s="368"/>
      <c r="G375" s="345"/>
      <c r="H375" s="345"/>
      <c r="I375" s="345"/>
      <c r="J375" s="345"/>
      <c r="K375" s="345"/>
      <c r="L375" s="345"/>
      <c r="M375" s="345"/>
      <c r="N375" s="744" t="s">
        <v>1025</v>
      </c>
      <c r="O375" s="322"/>
      <c r="P375" s="185"/>
      <c r="Q375" s="430"/>
      <c r="R375" s="616" t="s">
        <v>948</v>
      </c>
      <c r="S375" s="616" t="s">
        <v>325</v>
      </c>
      <c r="AA375" s="1486"/>
    </row>
    <row r="376" spans="6:27" ht="10.5" customHeight="1">
      <c r="F376" s="368"/>
      <c r="G376" s="345"/>
      <c r="H376" s="345"/>
      <c r="I376" s="345"/>
      <c r="J376" s="345"/>
      <c r="K376" s="345"/>
      <c r="L376" s="345"/>
      <c r="M376" s="345"/>
      <c r="N376" s="744" t="s">
        <v>1027</v>
      </c>
      <c r="O376" s="322"/>
      <c r="P376" s="185"/>
      <c r="Q376" s="430"/>
      <c r="R376" s="616" t="s">
        <v>950</v>
      </c>
      <c r="S376" s="616" t="s">
        <v>1385</v>
      </c>
      <c r="AA376" s="1486"/>
    </row>
    <row r="377" spans="6:27" ht="10.5" customHeight="1">
      <c r="F377" s="368"/>
      <c r="G377" s="345"/>
      <c r="H377" s="345"/>
      <c r="I377" s="345"/>
      <c r="J377" s="345"/>
      <c r="K377" s="345"/>
      <c r="L377" s="345"/>
      <c r="M377" s="345"/>
      <c r="N377" s="744" t="s">
        <v>1029</v>
      </c>
      <c r="O377" s="322"/>
      <c r="P377" s="185"/>
      <c r="Q377" s="430"/>
      <c r="R377" s="746" t="s">
        <v>713</v>
      </c>
      <c r="S377" s="746" t="s">
        <v>2272</v>
      </c>
      <c r="AA377" s="1486"/>
    </row>
    <row r="378" spans="6:27" ht="10.5" customHeight="1">
      <c r="F378" s="368"/>
      <c r="G378" s="345"/>
      <c r="H378" s="345"/>
      <c r="I378" s="345"/>
      <c r="J378" s="345"/>
      <c r="K378" s="345"/>
      <c r="L378" s="345"/>
      <c r="M378" s="345"/>
      <c r="N378" s="744" t="s">
        <v>600</v>
      </c>
      <c r="O378" s="322"/>
      <c r="P378" s="185"/>
      <c r="Q378" s="430"/>
      <c r="R378" s="616" t="s">
        <v>57</v>
      </c>
      <c r="S378" s="616" t="s">
        <v>114</v>
      </c>
      <c r="AA378" s="1487"/>
    </row>
    <row r="379" spans="6:27" ht="10.5" customHeight="1">
      <c r="F379" s="368"/>
      <c r="G379" s="345"/>
      <c r="H379" s="345"/>
      <c r="I379" s="345"/>
      <c r="J379" s="345"/>
      <c r="K379" s="345"/>
      <c r="L379" s="345"/>
      <c r="M379" s="345"/>
      <c r="N379" s="744" t="s">
        <v>386</v>
      </c>
      <c r="O379" s="322"/>
      <c r="P379" s="185"/>
      <c r="Q379" s="430"/>
      <c r="R379" s="616" t="s">
        <v>1003</v>
      </c>
      <c r="S379" s="616" t="s">
        <v>2094</v>
      </c>
      <c r="AA379" s="1486"/>
    </row>
    <row r="380" spans="6:27" ht="10.5" customHeight="1">
      <c r="F380" s="368"/>
      <c r="G380" s="345"/>
      <c r="H380" s="345"/>
      <c r="I380" s="345"/>
      <c r="J380" s="345"/>
      <c r="K380" s="345"/>
      <c r="L380" s="345"/>
      <c r="M380" s="345"/>
      <c r="N380" s="744" t="s">
        <v>388</v>
      </c>
      <c r="O380" s="322"/>
      <c r="P380" s="185"/>
      <c r="Q380" s="430"/>
      <c r="R380" s="616" t="s">
        <v>700</v>
      </c>
      <c r="S380" s="616" t="s">
        <v>2495</v>
      </c>
      <c r="AA380" s="1486"/>
    </row>
    <row r="381" spans="6:27" ht="10.5" customHeight="1">
      <c r="F381" s="368"/>
      <c r="G381" s="345"/>
      <c r="H381" s="345"/>
      <c r="I381" s="345"/>
      <c r="J381" s="345"/>
      <c r="K381" s="345"/>
      <c r="L381" s="345"/>
      <c r="M381" s="345"/>
      <c r="N381" s="744" t="s">
        <v>390</v>
      </c>
      <c r="O381" s="322"/>
      <c r="P381" s="185"/>
      <c r="Q381" s="430"/>
      <c r="R381" s="616" t="s">
        <v>1043</v>
      </c>
      <c r="S381" s="616" t="s">
        <v>1263</v>
      </c>
      <c r="AA381" s="1486"/>
    </row>
    <row r="382" spans="6:27" ht="10.5" customHeight="1">
      <c r="F382" s="368"/>
      <c r="G382" s="345"/>
      <c r="H382" s="345"/>
      <c r="I382" s="345"/>
      <c r="J382" s="345"/>
      <c r="K382" s="345"/>
      <c r="L382" s="345"/>
      <c r="M382" s="345"/>
      <c r="N382" s="744" t="s">
        <v>626</v>
      </c>
      <c r="O382" s="322"/>
      <c r="P382" s="185"/>
      <c r="Q382" s="430"/>
      <c r="R382" s="616" t="s">
        <v>1045</v>
      </c>
      <c r="S382" s="616" t="s">
        <v>2631</v>
      </c>
      <c r="AA382" s="1486"/>
    </row>
    <row r="383" spans="6:27" ht="10.5" customHeight="1">
      <c r="F383" s="368"/>
      <c r="G383" s="345"/>
      <c r="H383" s="345"/>
      <c r="I383" s="345"/>
      <c r="J383" s="345"/>
      <c r="K383" s="345"/>
      <c r="L383" s="345"/>
      <c r="M383" s="345"/>
      <c r="N383" s="744" t="s">
        <v>1477</v>
      </c>
      <c r="O383" s="322"/>
      <c r="P383" s="185"/>
      <c r="Q383" s="430"/>
      <c r="R383" s="746" t="s">
        <v>1024</v>
      </c>
      <c r="S383" s="746" t="s">
        <v>445</v>
      </c>
      <c r="AA383" s="1486"/>
    </row>
    <row r="384" spans="6:27" ht="10.5" customHeight="1">
      <c r="F384" s="368"/>
      <c r="G384" s="345"/>
      <c r="H384" s="345"/>
      <c r="I384" s="345"/>
      <c r="J384" s="345"/>
      <c r="K384" s="345"/>
      <c r="L384" s="345"/>
      <c r="M384" s="345"/>
      <c r="N384" s="744" t="s">
        <v>1661</v>
      </c>
      <c r="O384" s="322"/>
      <c r="P384" s="185"/>
      <c r="Q384" s="430"/>
      <c r="R384" s="616" t="s">
        <v>1026</v>
      </c>
      <c r="S384" s="616" t="s">
        <v>123</v>
      </c>
      <c r="AA384" s="1487"/>
    </row>
    <row r="385" spans="6:27" ht="10.5" customHeight="1">
      <c r="F385" s="368"/>
      <c r="G385" s="345"/>
      <c r="H385" s="345"/>
      <c r="I385" s="345"/>
      <c r="J385" s="345"/>
      <c r="K385" s="345"/>
      <c r="L385" s="345"/>
      <c r="M385" s="345"/>
      <c r="N385" s="744" t="s">
        <v>1051</v>
      </c>
      <c r="O385" s="322"/>
      <c r="P385" s="185"/>
      <c r="Q385" s="430"/>
      <c r="R385" s="616" t="s">
        <v>1028</v>
      </c>
      <c r="S385" s="616" t="s">
        <v>704</v>
      </c>
      <c r="AA385" s="1486"/>
    </row>
    <row r="386" spans="6:27" ht="10.5" customHeight="1">
      <c r="F386" s="368"/>
      <c r="G386" s="345"/>
      <c r="H386" s="345"/>
      <c r="I386" s="345"/>
      <c r="J386" s="345"/>
      <c r="K386" s="345"/>
      <c r="L386" s="345"/>
      <c r="M386" s="345"/>
      <c r="N386" s="744" t="s">
        <v>1053</v>
      </c>
      <c r="O386" s="322"/>
      <c r="P386" s="185"/>
      <c r="Q386" s="430"/>
      <c r="R386" s="616" t="s">
        <v>1030</v>
      </c>
      <c r="S386" s="616" t="s">
        <v>1962</v>
      </c>
      <c r="AA386" s="1486"/>
    </row>
    <row r="387" spans="6:27" ht="10.5" customHeight="1">
      <c r="F387" s="368"/>
      <c r="G387" s="345"/>
      <c r="H387" s="345"/>
      <c r="I387" s="345"/>
      <c r="J387" s="345"/>
      <c r="K387" s="345"/>
      <c r="L387" s="345"/>
      <c r="M387" s="345"/>
      <c r="N387" s="744" t="s">
        <v>1055</v>
      </c>
      <c r="O387" s="322"/>
      <c r="P387" s="185"/>
      <c r="Q387" s="430"/>
      <c r="R387" s="616" t="s">
        <v>1091</v>
      </c>
      <c r="S387" s="616" t="s">
        <v>658</v>
      </c>
      <c r="AA387" s="1486"/>
    </row>
    <row r="388" spans="6:27" ht="10.5" customHeight="1">
      <c r="F388" s="368"/>
      <c r="G388" s="345"/>
      <c r="H388" s="345"/>
      <c r="I388" s="345"/>
      <c r="J388" s="345"/>
      <c r="K388" s="345"/>
      <c r="L388" s="345"/>
      <c r="M388" s="345"/>
      <c r="N388" s="744" t="s">
        <v>1750</v>
      </c>
      <c r="O388" s="322"/>
      <c r="P388" s="185"/>
      <c r="Q388" s="430"/>
      <c r="R388" s="616" t="s">
        <v>601</v>
      </c>
      <c r="S388" s="616" t="s">
        <v>2261</v>
      </c>
      <c r="AA388" s="1486"/>
    </row>
    <row r="389" spans="6:27" ht="10.5" customHeight="1">
      <c r="F389" s="368"/>
      <c r="G389" s="345"/>
      <c r="H389" s="345"/>
      <c r="I389" s="345"/>
      <c r="J389" s="345"/>
      <c r="K389" s="345"/>
      <c r="L389" s="345"/>
      <c r="M389" s="345"/>
      <c r="N389" s="744" t="s">
        <v>1751</v>
      </c>
      <c r="O389" s="322"/>
      <c r="P389" s="185"/>
      <c r="Q389" s="430"/>
      <c r="R389" s="616" t="s">
        <v>387</v>
      </c>
      <c r="S389" s="616" t="s">
        <v>2628</v>
      </c>
      <c r="AA389" s="1486"/>
    </row>
    <row r="390" spans="6:27" ht="10.5" customHeight="1">
      <c r="F390" s="368"/>
      <c r="G390" s="345"/>
      <c r="H390" s="345"/>
      <c r="I390" s="345"/>
      <c r="J390" s="345"/>
      <c r="K390" s="345"/>
      <c r="L390" s="345"/>
      <c r="M390" s="345"/>
      <c r="N390" s="744" t="s">
        <v>1752</v>
      </c>
      <c r="O390" s="322"/>
      <c r="P390" s="185"/>
      <c r="Q390" s="430"/>
      <c r="R390" s="616" t="s">
        <v>389</v>
      </c>
      <c r="S390" s="616" t="s">
        <v>1520</v>
      </c>
      <c r="AA390" s="1486"/>
    </row>
    <row r="391" spans="6:27" ht="10.5" customHeight="1">
      <c r="F391" s="368"/>
      <c r="G391" s="345"/>
      <c r="H391" s="345"/>
      <c r="I391" s="345"/>
      <c r="J391" s="345"/>
      <c r="K391" s="345"/>
      <c r="L391" s="345"/>
      <c r="M391" s="345"/>
      <c r="N391" s="744" t="s">
        <v>902</v>
      </c>
      <c r="O391" s="322"/>
      <c r="P391" s="185"/>
      <c r="Q391" s="430"/>
      <c r="R391" s="616" t="s">
        <v>1092</v>
      </c>
      <c r="S391" s="616" t="s">
        <v>1995</v>
      </c>
      <c r="AA391" s="1486"/>
    </row>
    <row r="392" spans="6:27" ht="10.5" customHeight="1">
      <c r="F392" s="368"/>
      <c r="G392" s="345"/>
      <c r="H392" s="345"/>
      <c r="I392" s="345"/>
      <c r="J392" s="345"/>
      <c r="K392" s="345"/>
      <c r="L392" s="345"/>
      <c r="M392" s="345"/>
      <c r="N392" s="744" t="s">
        <v>904</v>
      </c>
      <c r="O392" s="322"/>
      <c r="P392" s="185"/>
      <c r="Q392" s="430"/>
      <c r="R392" s="616" t="s">
        <v>391</v>
      </c>
      <c r="S392" s="616" t="s">
        <v>917</v>
      </c>
      <c r="AA392" s="1486"/>
    </row>
    <row r="393" spans="6:27" ht="10.5" customHeight="1">
      <c r="F393" s="368"/>
      <c r="G393" s="345"/>
      <c r="H393" s="345"/>
      <c r="I393" s="345"/>
      <c r="J393" s="345"/>
      <c r="K393" s="345"/>
      <c r="L393" s="345"/>
      <c r="M393" s="345"/>
      <c r="N393" s="744" t="s">
        <v>906</v>
      </c>
      <c r="O393" s="322"/>
      <c r="P393" s="185"/>
      <c r="Q393" s="430"/>
      <c r="R393" s="616" t="s">
        <v>1478</v>
      </c>
      <c r="S393" s="616" t="s">
        <v>2335</v>
      </c>
      <c r="AA393" s="1486"/>
    </row>
    <row r="394" spans="6:27" ht="10.5" customHeight="1">
      <c r="F394" s="368"/>
      <c r="G394" s="345"/>
      <c r="H394" s="345"/>
      <c r="I394" s="345"/>
      <c r="J394" s="345"/>
      <c r="K394" s="345"/>
      <c r="L394" s="345"/>
      <c r="M394" s="345"/>
      <c r="N394" s="744" t="s">
        <v>449</v>
      </c>
      <c r="O394" s="322"/>
      <c r="P394" s="185"/>
      <c r="Q394" s="430"/>
      <c r="R394" s="616" t="s">
        <v>1662</v>
      </c>
      <c r="S394" s="616" t="s">
        <v>181</v>
      </c>
      <c r="AA394" s="1486"/>
    </row>
    <row r="395" spans="6:27" ht="10.5" customHeight="1">
      <c r="F395" s="368"/>
      <c r="G395" s="345"/>
      <c r="H395" s="345"/>
      <c r="I395" s="345"/>
      <c r="J395" s="345"/>
      <c r="K395" s="345"/>
      <c r="L395" s="345"/>
      <c r="M395" s="345"/>
      <c r="N395" s="744" t="s">
        <v>1798</v>
      </c>
      <c r="O395" s="322"/>
      <c r="P395" s="185"/>
      <c r="Q395" s="430"/>
      <c r="R395" s="616" t="s">
        <v>1052</v>
      </c>
      <c r="S395" s="616" t="s">
        <v>329</v>
      </c>
      <c r="AA395" s="1486"/>
    </row>
    <row r="396" spans="6:27" ht="10.5" customHeight="1">
      <c r="F396" s="368"/>
      <c r="G396" s="345"/>
      <c r="H396" s="345"/>
      <c r="I396" s="345"/>
      <c r="J396" s="345"/>
      <c r="K396" s="345"/>
      <c r="L396" s="345"/>
      <c r="M396" s="345"/>
      <c r="N396" s="744" t="s">
        <v>2378</v>
      </c>
      <c r="O396" s="322"/>
      <c r="P396" s="185"/>
      <c r="Q396" s="430"/>
      <c r="R396" s="746" t="s">
        <v>1054</v>
      </c>
      <c r="S396" s="746" t="s">
        <v>333</v>
      </c>
      <c r="AA396" s="1486"/>
    </row>
    <row r="397" spans="6:27" ht="10.5" customHeight="1">
      <c r="F397" s="368"/>
      <c r="G397" s="345"/>
      <c r="H397" s="345"/>
      <c r="I397" s="345"/>
      <c r="J397" s="345"/>
      <c r="K397" s="345"/>
      <c r="L397" s="345"/>
      <c r="M397" s="345"/>
      <c r="N397" s="744" t="s">
        <v>2089</v>
      </c>
      <c r="O397" s="322"/>
      <c r="P397" s="185"/>
      <c r="Q397" s="430"/>
      <c r="R397" s="616" t="s">
        <v>1093</v>
      </c>
      <c r="S397" s="616" t="s">
        <v>2091</v>
      </c>
      <c r="AA397" s="1487"/>
    </row>
    <row r="398" spans="6:27" ht="10.5" customHeight="1">
      <c r="F398" s="368"/>
      <c r="G398" s="345"/>
      <c r="H398" s="345"/>
      <c r="I398" s="345"/>
      <c r="J398" s="345"/>
      <c r="K398" s="345"/>
      <c r="L398" s="345"/>
      <c r="M398" s="345"/>
      <c r="N398" s="744" t="s">
        <v>1076</v>
      </c>
      <c r="O398" s="322"/>
      <c r="P398" s="185"/>
      <c r="Q398" s="430"/>
      <c r="R398" s="616" t="s">
        <v>1056</v>
      </c>
      <c r="S398" s="616" t="s">
        <v>1259</v>
      </c>
      <c r="AA398" s="1486"/>
    </row>
    <row r="399" spans="6:27" ht="10.5" customHeight="1">
      <c r="F399" s="368"/>
      <c r="G399" s="345"/>
      <c r="H399" s="345"/>
      <c r="I399" s="345"/>
      <c r="J399" s="345"/>
      <c r="K399" s="345"/>
      <c r="L399" s="345"/>
      <c r="M399" s="345"/>
      <c r="N399" s="744" t="s">
        <v>426</v>
      </c>
      <c r="O399" s="322"/>
      <c r="P399" s="185"/>
      <c r="Q399" s="430"/>
      <c r="R399" s="616" t="s">
        <v>328</v>
      </c>
      <c r="S399" s="616" t="s">
        <v>2631</v>
      </c>
      <c r="AA399" s="1486"/>
    </row>
    <row r="400" spans="6:27" ht="10.5" customHeight="1">
      <c r="F400" s="368"/>
      <c r="G400" s="345"/>
      <c r="H400" s="345"/>
      <c r="I400" s="345"/>
      <c r="J400" s="345"/>
      <c r="K400" s="345"/>
      <c r="L400" s="345"/>
      <c r="M400" s="345"/>
      <c r="N400" s="744" t="s">
        <v>428</v>
      </c>
      <c r="O400" s="322"/>
      <c r="P400" s="185"/>
      <c r="Q400" s="430"/>
      <c r="R400" s="616" t="s">
        <v>3138</v>
      </c>
      <c r="S400" s="616" t="s">
        <v>1859</v>
      </c>
      <c r="AA400" s="1486"/>
    </row>
    <row r="401" spans="6:27" ht="10.5" customHeight="1">
      <c r="F401" s="368"/>
      <c r="G401" s="345"/>
      <c r="H401" s="345"/>
      <c r="I401" s="345"/>
      <c r="J401" s="345"/>
      <c r="K401" s="345"/>
      <c r="L401" s="345"/>
      <c r="M401" s="345"/>
      <c r="N401" s="744" t="s">
        <v>429</v>
      </c>
      <c r="O401" s="322"/>
      <c r="P401" s="185"/>
      <c r="Q401" s="430"/>
      <c r="R401" s="616" t="s">
        <v>1753</v>
      </c>
      <c r="S401" s="616" t="s">
        <v>2628</v>
      </c>
      <c r="AA401" s="1486"/>
    </row>
    <row r="402" spans="6:27" ht="10.5" customHeight="1">
      <c r="F402" s="368"/>
      <c r="G402" s="345"/>
      <c r="H402" s="345"/>
      <c r="I402" s="345"/>
      <c r="J402" s="345"/>
      <c r="K402" s="345"/>
      <c r="L402" s="345"/>
      <c r="M402" s="345"/>
      <c r="N402" s="744" t="s">
        <v>2027</v>
      </c>
      <c r="O402" s="322"/>
      <c r="P402" s="185"/>
      <c r="Q402" s="430"/>
      <c r="R402" s="616" t="s">
        <v>903</v>
      </c>
      <c r="S402" s="616" t="s">
        <v>108</v>
      </c>
      <c r="AA402" s="1486"/>
    </row>
    <row r="403" spans="6:27" ht="10.5" customHeight="1">
      <c r="F403" s="368"/>
      <c r="G403" s="345"/>
      <c r="H403" s="345"/>
      <c r="I403" s="345"/>
      <c r="J403" s="345"/>
      <c r="K403" s="345"/>
      <c r="L403" s="345"/>
      <c r="M403" s="345"/>
      <c r="N403" s="744" t="s">
        <v>515</v>
      </c>
      <c r="O403" s="322"/>
      <c r="P403" s="185"/>
      <c r="Q403" s="430"/>
      <c r="R403" s="616" t="s">
        <v>905</v>
      </c>
      <c r="S403" s="616" t="s">
        <v>330</v>
      </c>
      <c r="AA403" s="1486"/>
    </row>
    <row r="404" spans="6:27" ht="10.5" customHeight="1">
      <c r="F404" s="368"/>
      <c r="G404" s="345"/>
      <c r="H404" s="345"/>
      <c r="I404" s="345"/>
      <c r="J404" s="345"/>
      <c r="K404" s="345"/>
      <c r="L404" s="345"/>
      <c r="M404" s="345"/>
      <c r="N404" s="744" t="s">
        <v>2249</v>
      </c>
      <c r="O404" s="322"/>
      <c r="P404" s="185"/>
      <c r="Q404" s="430"/>
      <c r="R404" s="616" t="s">
        <v>1816</v>
      </c>
      <c r="S404" s="616" t="s">
        <v>1144</v>
      </c>
      <c r="AA404" s="1486"/>
    </row>
    <row r="405" spans="6:27" ht="10.5" customHeight="1">
      <c r="F405" s="368"/>
      <c r="G405" s="345"/>
      <c r="H405" s="345"/>
      <c r="I405" s="345"/>
      <c r="J405" s="345"/>
      <c r="K405" s="345"/>
      <c r="L405" s="345"/>
      <c r="M405" s="345"/>
      <c r="N405" s="744" t="s">
        <v>1714</v>
      </c>
      <c r="O405" s="322"/>
      <c r="P405" s="185"/>
      <c r="Q405" s="430"/>
      <c r="R405" s="616" t="s">
        <v>661</v>
      </c>
      <c r="S405" s="616" t="s">
        <v>340</v>
      </c>
      <c r="AA405" s="1486"/>
    </row>
    <row r="406" spans="6:27" ht="10.5" customHeight="1">
      <c r="F406" s="368"/>
      <c r="G406" s="345"/>
      <c r="H406" s="345"/>
      <c r="I406" s="345"/>
      <c r="J406" s="345"/>
      <c r="K406" s="345"/>
      <c r="L406" s="345"/>
      <c r="M406" s="345"/>
      <c r="N406" s="744" t="s">
        <v>1716</v>
      </c>
      <c r="O406" s="322"/>
      <c r="P406" s="185"/>
      <c r="Q406" s="430"/>
      <c r="R406" s="616" t="s">
        <v>1799</v>
      </c>
      <c r="S406" s="616" t="s">
        <v>116</v>
      </c>
      <c r="AA406" s="1486"/>
    </row>
    <row r="407" spans="6:27" ht="10.5" customHeight="1">
      <c r="F407" s="368"/>
      <c r="G407" s="345"/>
      <c r="H407" s="345"/>
      <c r="I407" s="345"/>
      <c r="J407" s="345"/>
      <c r="K407" s="345"/>
      <c r="L407" s="345"/>
      <c r="M407" s="345"/>
      <c r="N407" s="744" t="s">
        <v>320</v>
      </c>
      <c r="O407" s="322"/>
      <c r="P407" s="185"/>
      <c r="Q407" s="430"/>
      <c r="R407" s="616" t="s">
        <v>2379</v>
      </c>
      <c r="S407" s="616" t="s">
        <v>911</v>
      </c>
      <c r="AA407" s="1486"/>
    </row>
    <row r="408" spans="6:27" ht="10.5" customHeight="1">
      <c r="F408" s="368"/>
      <c r="G408" s="345"/>
      <c r="H408" s="345"/>
      <c r="I408" s="345"/>
      <c r="J408" s="345"/>
      <c r="K408" s="345"/>
      <c r="L408" s="345"/>
      <c r="M408" s="345"/>
      <c r="N408" s="744" t="s">
        <v>322</v>
      </c>
      <c r="O408" s="322"/>
      <c r="P408" s="185"/>
      <c r="Q408" s="430"/>
      <c r="R408" s="616" t="s">
        <v>3139</v>
      </c>
      <c r="S408" s="616" t="s">
        <v>165</v>
      </c>
      <c r="AA408" s="1486"/>
    </row>
    <row r="409" spans="6:27" ht="10.5" customHeight="1">
      <c r="F409" s="368"/>
      <c r="G409" s="345"/>
      <c r="H409" s="345"/>
      <c r="I409" s="345"/>
      <c r="J409" s="345"/>
      <c r="K409" s="345"/>
      <c r="L409" s="345"/>
      <c r="M409" s="345"/>
      <c r="N409" s="744" t="s">
        <v>982</v>
      </c>
      <c r="O409" s="322"/>
      <c r="P409" s="185"/>
      <c r="Q409" s="430"/>
      <c r="R409" s="616" t="s">
        <v>2090</v>
      </c>
      <c r="S409" s="616" t="s">
        <v>1154</v>
      </c>
      <c r="AA409" s="1486"/>
    </row>
    <row r="410" spans="6:27" ht="10.5" customHeight="1">
      <c r="F410" s="368"/>
      <c r="G410" s="345"/>
      <c r="H410" s="345"/>
      <c r="I410" s="345"/>
      <c r="J410" s="345"/>
      <c r="K410" s="345"/>
      <c r="L410" s="345"/>
      <c r="M410" s="345"/>
      <c r="N410" s="744" t="s">
        <v>2412</v>
      </c>
      <c r="O410" s="322"/>
      <c r="P410" s="185"/>
      <c r="Q410" s="430"/>
      <c r="R410" s="746" t="s">
        <v>3140</v>
      </c>
      <c r="S410" s="746" t="s">
        <v>333</v>
      </c>
      <c r="AA410" s="1486"/>
    </row>
    <row r="411" spans="6:27" ht="10.5" customHeight="1">
      <c r="F411" s="368"/>
      <c r="G411" s="345"/>
      <c r="H411" s="345"/>
      <c r="I411" s="345"/>
      <c r="J411" s="345"/>
      <c r="K411" s="345"/>
      <c r="L411" s="345"/>
      <c r="M411" s="345"/>
      <c r="N411" s="744" t="s">
        <v>2413</v>
      </c>
      <c r="O411" s="322"/>
      <c r="P411" s="185"/>
      <c r="Q411" s="430"/>
      <c r="R411" s="616" t="s">
        <v>1077</v>
      </c>
      <c r="S411" s="616" t="s">
        <v>1995</v>
      </c>
      <c r="AA411" s="1487"/>
    </row>
    <row r="412" spans="6:27" ht="10.5" customHeight="1">
      <c r="F412" s="368"/>
      <c r="G412" s="345"/>
      <c r="H412" s="345"/>
      <c r="I412" s="345"/>
      <c r="J412" s="345"/>
      <c r="K412" s="345"/>
      <c r="L412" s="345"/>
      <c r="M412" s="345"/>
      <c r="N412" s="744" t="s">
        <v>2394</v>
      </c>
      <c r="O412" s="322"/>
      <c r="P412" s="185"/>
      <c r="Q412" s="430"/>
      <c r="R412" s="746" t="s">
        <v>427</v>
      </c>
      <c r="S412" s="746" t="s">
        <v>190</v>
      </c>
      <c r="AA412" s="1486"/>
    </row>
    <row r="413" spans="6:27" ht="10.5" customHeight="1">
      <c r="F413" s="368"/>
      <c r="G413" s="345"/>
      <c r="H413" s="345"/>
      <c r="I413" s="345"/>
      <c r="J413" s="345"/>
      <c r="K413" s="345"/>
      <c r="L413" s="345"/>
      <c r="M413" s="345"/>
      <c r="N413" s="744" t="s">
        <v>2395</v>
      </c>
      <c r="O413" s="322"/>
      <c r="P413" s="185"/>
      <c r="Q413" s="430"/>
      <c r="R413" s="616" t="s">
        <v>1094</v>
      </c>
      <c r="S413" s="616" t="s">
        <v>1141</v>
      </c>
      <c r="AA413" s="1487"/>
    </row>
    <row r="414" spans="6:27" ht="10.5" customHeight="1">
      <c r="F414" s="368"/>
      <c r="G414" s="345"/>
      <c r="H414" s="345"/>
      <c r="I414" s="345"/>
      <c r="J414" s="345"/>
      <c r="K414" s="345"/>
      <c r="L414" s="345"/>
      <c r="M414" s="345"/>
      <c r="N414" s="744" t="s">
        <v>2397</v>
      </c>
      <c r="O414" s="322"/>
      <c r="P414" s="185"/>
      <c r="Q414" s="430"/>
      <c r="R414" s="746" t="s">
        <v>430</v>
      </c>
      <c r="S414" s="746" t="s">
        <v>2257</v>
      </c>
      <c r="AA414" s="1486"/>
    </row>
    <row r="415" spans="6:27" ht="10.5" customHeight="1">
      <c r="F415" s="368"/>
      <c r="G415" s="345"/>
      <c r="H415" s="345"/>
      <c r="I415" s="345"/>
      <c r="J415" s="345"/>
      <c r="K415" s="345"/>
      <c r="L415" s="345"/>
      <c r="M415" s="345"/>
      <c r="N415" s="744" t="s">
        <v>534</v>
      </c>
      <c r="O415" s="322"/>
      <c r="P415" s="185"/>
      <c r="Q415" s="430"/>
      <c r="R415" s="616" t="s">
        <v>2028</v>
      </c>
      <c r="S415" s="616" t="s">
        <v>1520</v>
      </c>
      <c r="AA415" s="1487"/>
    </row>
    <row r="416" spans="6:27" ht="10.5" customHeight="1">
      <c r="F416" s="368"/>
      <c r="G416" s="345"/>
      <c r="H416" s="345"/>
      <c r="I416" s="345"/>
      <c r="J416" s="345"/>
      <c r="K416" s="345"/>
      <c r="L416" s="345"/>
      <c r="M416" s="345"/>
      <c r="N416" s="744" t="s">
        <v>192</v>
      </c>
      <c r="O416" s="322"/>
      <c r="P416" s="185"/>
      <c r="Q416" s="430"/>
      <c r="R416" s="616" t="s">
        <v>516</v>
      </c>
      <c r="S416" s="616" t="s">
        <v>2692</v>
      </c>
      <c r="AA416" s="1486"/>
    </row>
    <row r="417" spans="6:27" ht="10.5" customHeight="1">
      <c r="F417" s="368"/>
      <c r="G417" s="345"/>
      <c r="H417" s="345"/>
      <c r="I417" s="345"/>
      <c r="J417" s="345"/>
      <c r="K417" s="345"/>
      <c r="L417" s="345"/>
      <c r="M417" s="345"/>
      <c r="N417" s="744" t="s">
        <v>2202</v>
      </c>
      <c r="O417" s="322"/>
      <c r="P417" s="185"/>
      <c r="Q417" s="430"/>
      <c r="R417" s="616" t="s">
        <v>2250</v>
      </c>
      <c r="S417" s="616" t="s">
        <v>1379</v>
      </c>
      <c r="AA417" s="1486"/>
    </row>
    <row r="418" spans="6:27" ht="10.5" customHeight="1">
      <c r="F418" s="368"/>
      <c r="G418" s="345"/>
      <c r="H418" s="345"/>
      <c r="I418" s="345"/>
      <c r="J418" s="345"/>
      <c r="K418" s="345"/>
      <c r="L418" s="345"/>
      <c r="M418" s="345"/>
      <c r="N418" s="744" t="s">
        <v>2060</v>
      </c>
      <c r="O418" s="322"/>
      <c r="P418" s="185"/>
      <c r="Q418" s="430"/>
      <c r="R418" s="616" t="s">
        <v>1715</v>
      </c>
      <c r="S418" s="616" t="s">
        <v>1999</v>
      </c>
      <c r="AA418" s="1486"/>
    </row>
    <row r="419" spans="6:27" ht="10.5" customHeight="1">
      <c r="F419" s="368"/>
      <c r="G419" s="345"/>
      <c r="H419" s="345"/>
      <c r="I419" s="345"/>
      <c r="J419" s="345"/>
      <c r="K419" s="345"/>
      <c r="L419" s="345"/>
      <c r="M419" s="345"/>
      <c r="N419" s="744" t="s">
        <v>2062</v>
      </c>
      <c r="O419" s="322"/>
      <c r="P419" s="185"/>
      <c r="Q419" s="430"/>
      <c r="R419" s="616" t="s">
        <v>1717</v>
      </c>
      <c r="S419" s="616" t="s">
        <v>170</v>
      </c>
      <c r="AA419" s="1486"/>
    </row>
    <row r="420" spans="6:27" ht="10.5" customHeight="1">
      <c r="F420" s="368"/>
      <c r="G420" s="345"/>
      <c r="H420" s="345"/>
      <c r="I420" s="345"/>
      <c r="J420" s="345"/>
      <c r="K420" s="345"/>
      <c r="L420" s="345"/>
      <c r="M420" s="345"/>
      <c r="N420" s="744" t="s">
        <v>1194</v>
      </c>
      <c r="O420" s="322"/>
      <c r="P420" s="185"/>
      <c r="Q420" s="430"/>
      <c r="R420" s="616" t="s">
        <v>321</v>
      </c>
      <c r="S420" s="616" t="s">
        <v>163</v>
      </c>
      <c r="AA420" s="1486"/>
    </row>
    <row r="421" spans="6:27" ht="10.5" customHeight="1">
      <c r="F421" s="368"/>
      <c r="G421" s="345"/>
      <c r="H421" s="345"/>
      <c r="I421" s="345"/>
      <c r="J421" s="345"/>
      <c r="K421" s="345"/>
      <c r="L421" s="345"/>
      <c r="M421" s="345"/>
      <c r="N421" s="744" t="s">
        <v>1196</v>
      </c>
      <c r="O421" s="322"/>
      <c r="P421" s="185"/>
      <c r="Q421" s="430"/>
      <c r="R421" s="616" t="s">
        <v>323</v>
      </c>
      <c r="S421" s="616" t="s">
        <v>1366</v>
      </c>
      <c r="AA421" s="1486"/>
    </row>
    <row r="422" spans="6:27" ht="10.5" customHeight="1">
      <c r="F422" s="368"/>
      <c r="G422" s="345"/>
      <c r="H422" s="345"/>
      <c r="I422" s="345"/>
      <c r="J422" s="345"/>
      <c r="K422" s="345"/>
      <c r="L422" s="345"/>
      <c r="M422" s="345"/>
      <c r="N422" s="744" t="s">
        <v>1158</v>
      </c>
      <c r="O422" s="322"/>
      <c r="P422" s="185"/>
      <c r="Q422" s="430"/>
      <c r="R422" s="616" t="s">
        <v>983</v>
      </c>
      <c r="S422" s="616" t="s">
        <v>2582</v>
      </c>
      <c r="AA422" s="1486"/>
    </row>
    <row r="423" spans="6:27" ht="10.5" customHeight="1">
      <c r="F423" s="368"/>
      <c r="G423" s="345"/>
      <c r="H423" s="345"/>
      <c r="I423" s="345"/>
      <c r="J423" s="345"/>
      <c r="K423" s="345"/>
      <c r="L423" s="345"/>
      <c r="M423" s="345"/>
      <c r="N423" s="744" t="s">
        <v>1159</v>
      </c>
      <c r="O423" s="322"/>
      <c r="P423" s="185"/>
      <c r="Q423" s="430"/>
      <c r="R423" s="616" t="s">
        <v>2414</v>
      </c>
      <c r="S423" s="616" t="s">
        <v>337</v>
      </c>
      <c r="AA423" s="1486"/>
    </row>
    <row r="424" spans="6:27" ht="10.5" customHeight="1">
      <c r="F424" s="368"/>
      <c r="G424" s="345"/>
      <c r="H424" s="345"/>
      <c r="I424" s="345"/>
      <c r="J424" s="345"/>
      <c r="K424" s="345"/>
      <c r="L424" s="345"/>
      <c r="M424" s="345"/>
      <c r="N424" s="744" t="s">
        <v>74</v>
      </c>
      <c r="O424" s="322"/>
      <c r="P424" s="185"/>
      <c r="Q424" s="430"/>
      <c r="R424" s="616" t="s">
        <v>3141</v>
      </c>
      <c r="S424" s="616" t="s">
        <v>2274</v>
      </c>
      <c r="AA424" s="1486"/>
    </row>
    <row r="425" spans="6:27" ht="10.5" customHeight="1">
      <c r="F425" s="368"/>
      <c r="G425" s="345"/>
      <c r="H425" s="345"/>
      <c r="I425" s="345"/>
      <c r="J425" s="345"/>
      <c r="K425" s="345"/>
      <c r="L425" s="345"/>
      <c r="M425" s="345"/>
      <c r="N425" s="744" t="s">
        <v>382</v>
      </c>
      <c r="O425" s="322"/>
      <c r="P425" s="185"/>
      <c r="Q425" s="430"/>
      <c r="R425" s="748" t="s">
        <v>2396</v>
      </c>
      <c r="S425" s="616" t="s">
        <v>185</v>
      </c>
      <c r="AA425" s="1486"/>
    </row>
    <row r="426" spans="6:27" ht="10.5" customHeight="1">
      <c r="F426" s="368"/>
      <c r="G426" s="345"/>
      <c r="H426" s="345"/>
      <c r="I426" s="345"/>
      <c r="J426" s="345"/>
      <c r="K426" s="345"/>
      <c r="L426" s="345"/>
      <c r="M426" s="345"/>
      <c r="N426" s="744" t="s">
        <v>2340</v>
      </c>
      <c r="O426" s="322"/>
      <c r="P426" s="185"/>
      <c r="Q426" s="430"/>
      <c r="R426" s="616" t="s">
        <v>2398</v>
      </c>
      <c r="S426" s="616" t="s">
        <v>1376</v>
      </c>
      <c r="AA426" s="1488"/>
    </row>
    <row r="427" spans="6:27" ht="10.5" customHeight="1">
      <c r="F427" s="368"/>
      <c r="G427" s="345"/>
      <c r="H427" s="345"/>
      <c r="I427" s="345"/>
      <c r="J427" s="345"/>
      <c r="K427" s="345"/>
      <c r="L427" s="345"/>
      <c r="M427" s="345"/>
      <c r="N427" s="744" t="s">
        <v>1896</v>
      </c>
      <c r="O427" s="322"/>
      <c r="P427" s="185"/>
      <c r="Q427" s="430"/>
      <c r="R427" s="616" t="s">
        <v>535</v>
      </c>
      <c r="S427" s="616" t="s">
        <v>185</v>
      </c>
      <c r="AA427" s="1486"/>
    </row>
    <row r="428" spans="6:27" ht="10.5" customHeight="1">
      <c r="F428" s="368"/>
      <c r="G428" s="345"/>
      <c r="H428" s="345"/>
      <c r="I428" s="345"/>
      <c r="J428" s="345"/>
      <c r="K428" s="345"/>
      <c r="L428" s="345"/>
      <c r="M428" s="345"/>
      <c r="N428" s="744" t="s">
        <v>1831</v>
      </c>
      <c r="O428" s="322"/>
      <c r="P428" s="185"/>
      <c r="Q428" s="430"/>
      <c r="R428" s="616" t="s">
        <v>1095</v>
      </c>
      <c r="S428" s="616" t="s">
        <v>1586</v>
      </c>
      <c r="AA428" s="1486"/>
    </row>
    <row r="429" spans="6:27" ht="10.5" customHeight="1">
      <c r="F429" s="368"/>
      <c r="G429" s="345"/>
      <c r="H429" s="345"/>
      <c r="I429" s="345"/>
      <c r="J429" s="345"/>
      <c r="K429" s="345"/>
      <c r="L429" s="345"/>
      <c r="M429" s="345"/>
      <c r="N429" s="744" t="s">
        <v>287</v>
      </c>
      <c r="O429" s="322"/>
      <c r="P429" s="185"/>
      <c r="Q429" s="430"/>
      <c r="R429" s="616" t="s">
        <v>193</v>
      </c>
      <c r="S429" s="616" t="s">
        <v>2259</v>
      </c>
      <c r="AA429" s="1486"/>
    </row>
    <row r="430" spans="6:27" ht="10.5" customHeight="1">
      <c r="F430" s="368"/>
      <c r="G430" s="345"/>
      <c r="H430" s="345"/>
      <c r="I430" s="345"/>
      <c r="J430" s="345"/>
      <c r="K430" s="345"/>
      <c r="L430" s="345"/>
      <c r="M430" s="345"/>
      <c r="N430" s="744" t="s">
        <v>2447</v>
      </c>
      <c r="O430" s="322"/>
      <c r="P430" s="185"/>
      <c r="Q430" s="430"/>
      <c r="R430" s="746" t="s">
        <v>1096</v>
      </c>
      <c r="S430" s="746" t="s">
        <v>2581</v>
      </c>
      <c r="AA430" s="1486"/>
    </row>
    <row r="431" spans="6:27" ht="10.5" customHeight="1">
      <c r="F431" s="368"/>
      <c r="G431" s="345"/>
      <c r="H431" s="345"/>
      <c r="I431" s="345"/>
      <c r="J431" s="345"/>
      <c r="K431" s="345"/>
      <c r="L431" s="345"/>
      <c r="M431" s="345"/>
      <c r="N431" s="744" t="s">
        <v>491</v>
      </c>
      <c r="O431" s="322"/>
      <c r="P431" s="185"/>
      <c r="Q431" s="430"/>
      <c r="R431" s="616" t="s">
        <v>2059</v>
      </c>
      <c r="S431" s="616" t="s">
        <v>2495</v>
      </c>
      <c r="AA431" s="1487"/>
    </row>
    <row r="432" spans="6:27" ht="10.5" customHeight="1">
      <c r="F432" s="368"/>
      <c r="G432" s="345"/>
      <c r="H432" s="345"/>
      <c r="I432" s="345"/>
      <c r="J432" s="345"/>
      <c r="K432" s="345"/>
      <c r="L432" s="345"/>
      <c r="M432" s="345"/>
      <c r="N432" s="744" t="s">
        <v>492</v>
      </c>
      <c r="O432" s="322"/>
      <c r="P432" s="185"/>
      <c r="Q432" s="430"/>
      <c r="R432" s="616" t="s">
        <v>1097</v>
      </c>
      <c r="S432" s="616" t="s">
        <v>165</v>
      </c>
      <c r="AA432" s="1486"/>
    </row>
    <row r="433" spans="6:27" ht="10.5" customHeight="1">
      <c r="F433" s="368"/>
      <c r="G433" s="345"/>
      <c r="H433" s="345"/>
      <c r="I433" s="345"/>
      <c r="J433" s="345"/>
      <c r="K433" s="345"/>
      <c r="L433" s="345"/>
      <c r="M433" s="345"/>
      <c r="N433" s="744" t="s">
        <v>494</v>
      </c>
      <c r="O433" s="322"/>
      <c r="P433" s="185"/>
      <c r="Q433" s="430"/>
      <c r="R433" s="616" t="s">
        <v>2061</v>
      </c>
      <c r="S433" s="616" t="s">
        <v>2495</v>
      </c>
      <c r="AA433" s="1486"/>
    </row>
    <row r="434" spans="6:27" ht="10.5" customHeight="1">
      <c r="F434" s="368"/>
      <c r="G434" s="345"/>
      <c r="H434" s="345"/>
      <c r="I434" s="345"/>
      <c r="J434" s="345"/>
      <c r="K434" s="345"/>
      <c r="L434" s="345"/>
      <c r="M434" s="345"/>
      <c r="N434" s="744" t="s">
        <v>496</v>
      </c>
      <c r="O434" s="322"/>
      <c r="P434" s="185"/>
      <c r="Q434" s="430"/>
      <c r="R434" s="616" t="s">
        <v>337</v>
      </c>
      <c r="S434" s="616" t="s">
        <v>1387</v>
      </c>
      <c r="AA434" s="1486"/>
    </row>
    <row r="435" spans="6:27" ht="10.5" customHeight="1">
      <c r="F435" s="368"/>
      <c r="G435" s="345"/>
      <c r="H435" s="345"/>
      <c r="I435" s="345"/>
      <c r="J435" s="345"/>
      <c r="K435" s="345"/>
      <c r="L435" s="345"/>
      <c r="M435" s="345"/>
      <c r="N435" s="744" t="s">
        <v>1294</v>
      </c>
      <c r="O435" s="322"/>
      <c r="P435" s="185"/>
      <c r="Q435" s="430"/>
      <c r="R435" s="616" t="s">
        <v>1195</v>
      </c>
      <c r="S435" s="616" t="s">
        <v>911</v>
      </c>
      <c r="AA435" s="1486"/>
    </row>
    <row r="436" spans="6:27" ht="10.5" customHeight="1">
      <c r="F436" s="368"/>
      <c r="G436" s="345"/>
      <c r="H436" s="345"/>
      <c r="I436" s="345"/>
      <c r="J436" s="345"/>
      <c r="K436" s="345"/>
      <c r="L436" s="345"/>
      <c r="M436" s="345"/>
      <c r="N436" s="744" t="s">
        <v>1296</v>
      </c>
      <c r="O436" s="322"/>
      <c r="P436" s="185"/>
      <c r="Q436" s="430"/>
      <c r="R436" s="616" t="s">
        <v>1157</v>
      </c>
      <c r="S436" s="616" t="s">
        <v>914</v>
      </c>
      <c r="AA436" s="1486"/>
    </row>
    <row r="437" spans="6:27" ht="10.5" customHeight="1">
      <c r="F437" s="368"/>
      <c r="G437" s="345"/>
      <c r="H437" s="345"/>
      <c r="I437" s="345"/>
      <c r="J437" s="345"/>
      <c r="K437" s="345"/>
      <c r="L437" s="345"/>
      <c r="M437" s="345"/>
      <c r="N437" s="744" t="s">
        <v>2079</v>
      </c>
      <c r="O437" s="322"/>
      <c r="P437" s="185"/>
      <c r="Q437" s="430"/>
      <c r="R437" s="616" t="s">
        <v>339</v>
      </c>
      <c r="S437" s="616" t="s">
        <v>1138</v>
      </c>
      <c r="AA437" s="1486"/>
    </row>
    <row r="438" spans="6:27" ht="10.5" customHeight="1">
      <c r="F438" s="368"/>
      <c r="G438" s="345"/>
      <c r="H438" s="345"/>
      <c r="I438" s="345"/>
      <c r="J438" s="345"/>
      <c r="K438" s="345"/>
      <c r="L438" s="345"/>
      <c r="M438" s="345"/>
      <c r="N438" s="744" t="s">
        <v>2080</v>
      </c>
      <c r="O438" s="322"/>
      <c r="P438" s="185"/>
      <c r="Q438" s="430"/>
      <c r="R438" s="616" t="s">
        <v>342</v>
      </c>
      <c r="S438" s="616" t="s">
        <v>337</v>
      </c>
      <c r="AA438" s="1486"/>
    </row>
    <row r="439" spans="6:27" ht="10.5" customHeight="1">
      <c r="F439" s="368"/>
      <c r="G439" s="345"/>
      <c r="H439" s="345"/>
      <c r="I439" s="345"/>
      <c r="J439" s="345"/>
      <c r="K439" s="345"/>
      <c r="L439" s="345"/>
      <c r="M439" s="345"/>
      <c r="N439" s="744" t="s">
        <v>77</v>
      </c>
      <c r="O439" s="322"/>
      <c r="P439" s="185"/>
      <c r="Q439" s="430"/>
      <c r="R439" s="746" t="s">
        <v>75</v>
      </c>
      <c r="S439" s="746" t="s">
        <v>2003</v>
      </c>
      <c r="AA439" s="1486"/>
    </row>
    <row r="440" spans="6:27" ht="10.5" customHeight="1">
      <c r="F440" s="368"/>
      <c r="G440" s="345"/>
      <c r="H440" s="345"/>
      <c r="I440" s="345"/>
      <c r="J440" s="345"/>
      <c r="K440" s="345"/>
      <c r="L440" s="345"/>
      <c r="M440" s="345"/>
      <c r="N440" s="744" t="s">
        <v>79</v>
      </c>
      <c r="O440" s="322"/>
      <c r="P440" s="185"/>
      <c r="Q440" s="430"/>
      <c r="R440" s="746" t="s">
        <v>2341</v>
      </c>
      <c r="S440" s="746" t="s">
        <v>1387</v>
      </c>
      <c r="AA440" s="1487"/>
    </row>
    <row r="441" spans="6:27" ht="10.5" customHeight="1">
      <c r="F441" s="368"/>
      <c r="G441" s="345"/>
      <c r="H441" s="345"/>
      <c r="I441" s="345"/>
      <c r="J441" s="345"/>
      <c r="K441" s="345"/>
      <c r="L441" s="345"/>
      <c r="M441" s="345"/>
      <c r="N441" s="744" t="s">
        <v>2508</v>
      </c>
      <c r="O441" s="322"/>
      <c r="P441" s="185"/>
      <c r="Q441" s="430"/>
      <c r="R441" s="616" t="s">
        <v>1830</v>
      </c>
      <c r="S441" s="616" t="s">
        <v>2094</v>
      </c>
      <c r="AA441" s="1487"/>
    </row>
    <row r="442" spans="6:27" ht="10.5" customHeight="1">
      <c r="F442" s="368"/>
      <c r="G442" s="345"/>
      <c r="H442" s="345"/>
      <c r="I442" s="345"/>
      <c r="J442" s="345"/>
      <c r="K442" s="345"/>
      <c r="L442" s="345"/>
      <c r="M442" s="345"/>
      <c r="N442" s="744" t="s">
        <v>2288</v>
      </c>
      <c r="O442" s="322"/>
      <c r="P442" s="185"/>
      <c r="Q442" s="430"/>
      <c r="R442" s="616" t="s">
        <v>1832</v>
      </c>
      <c r="S442" s="616" t="s">
        <v>110</v>
      </c>
      <c r="AA442" s="1486"/>
    </row>
    <row r="443" spans="6:27" ht="10.5" customHeight="1">
      <c r="F443" s="368"/>
      <c r="G443" s="345"/>
      <c r="H443" s="345"/>
      <c r="I443" s="345"/>
      <c r="J443" s="345"/>
      <c r="K443" s="345"/>
      <c r="L443" s="345"/>
      <c r="M443" s="345"/>
      <c r="N443" s="744" t="s">
        <v>2289</v>
      </c>
      <c r="O443" s="322"/>
      <c r="P443" s="185"/>
      <c r="Q443" s="430"/>
      <c r="R443" s="616" t="s">
        <v>725</v>
      </c>
      <c r="S443" s="616" t="s">
        <v>1259</v>
      </c>
      <c r="AA443" s="1486"/>
    </row>
    <row r="444" spans="6:27" ht="10.5" customHeight="1">
      <c r="F444" s="368"/>
      <c r="G444" s="345"/>
      <c r="H444" s="345"/>
      <c r="I444" s="345"/>
      <c r="J444" s="345"/>
      <c r="K444" s="345"/>
      <c r="L444" s="345"/>
      <c r="M444" s="345"/>
      <c r="N444" s="744" t="s">
        <v>1008</v>
      </c>
      <c r="O444" s="322"/>
      <c r="P444" s="185"/>
      <c r="Q444" s="430"/>
      <c r="R444" s="616" t="s">
        <v>2446</v>
      </c>
      <c r="S444" s="616" t="s">
        <v>2581</v>
      </c>
      <c r="AA444" s="1486"/>
    </row>
    <row r="445" spans="6:27" ht="10.5" customHeight="1">
      <c r="F445" s="368"/>
      <c r="G445" s="345"/>
      <c r="H445" s="345"/>
      <c r="I445" s="345"/>
      <c r="J445" s="345"/>
      <c r="K445" s="345"/>
      <c r="L445" s="345"/>
      <c r="M445" s="345"/>
      <c r="N445" s="744" t="s">
        <v>1010</v>
      </c>
      <c r="O445" s="322"/>
      <c r="P445" s="185"/>
      <c r="Q445" s="430"/>
      <c r="R445" s="616" t="s">
        <v>2448</v>
      </c>
      <c r="S445" s="616" t="s">
        <v>2268</v>
      </c>
      <c r="AA445" s="1486"/>
    </row>
    <row r="446" spans="6:27" ht="10.5" customHeight="1">
      <c r="F446" s="368"/>
      <c r="G446" s="345"/>
      <c r="H446" s="345"/>
      <c r="I446" s="345"/>
      <c r="J446" s="345"/>
      <c r="K446" s="345"/>
      <c r="L446" s="345"/>
      <c r="M446" s="345"/>
      <c r="N446" s="744" t="s">
        <v>1556</v>
      </c>
      <c r="O446" s="322"/>
      <c r="P446" s="185"/>
      <c r="Q446" s="430"/>
      <c r="R446" s="616" t="s">
        <v>493</v>
      </c>
      <c r="S446" s="616" t="s">
        <v>2584</v>
      </c>
      <c r="AA446" s="1486"/>
    </row>
    <row r="447" spans="6:27" ht="10.5" customHeight="1">
      <c r="F447" s="368"/>
      <c r="G447" s="345"/>
      <c r="H447" s="345"/>
      <c r="I447" s="345"/>
      <c r="J447" s="345"/>
      <c r="K447" s="345"/>
      <c r="L447" s="345"/>
      <c r="M447" s="345"/>
      <c r="N447" s="744" t="s">
        <v>1557</v>
      </c>
      <c r="O447" s="322"/>
      <c r="P447" s="185"/>
      <c r="Q447" s="430"/>
      <c r="R447" s="616" t="s">
        <v>495</v>
      </c>
      <c r="S447" s="616" t="s">
        <v>1385</v>
      </c>
      <c r="AA447" s="1486"/>
    </row>
    <row r="448" spans="6:27" ht="10.5" customHeight="1">
      <c r="F448" s="368"/>
      <c r="G448" s="345"/>
      <c r="H448" s="345"/>
      <c r="I448" s="345"/>
      <c r="J448" s="345"/>
      <c r="K448" s="345"/>
      <c r="L448" s="345"/>
      <c r="M448" s="345"/>
      <c r="N448" s="744" t="s">
        <v>1559</v>
      </c>
      <c r="O448" s="322"/>
      <c r="P448" s="185"/>
      <c r="Q448" s="430"/>
      <c r="R448" s="616" t="s">
        <v>1098</v>
      </c>
      <c r="S448" s="616" t="s">
        <v>1390</v>
      </c>
      <c r="AA448" s="1486"/>
    </row>
    <row r="449" spans="6:27" ht="10.5" customHeight="1">
      <c r="F449" s="368"/>
      <c r="G449" s="345"/>
      <c r="H449" s="345"/>
      <c r="I449" s="345"/>
      <c r="J449" s="345"/>
      <c r="K449" s="345"/>
      <c r="L449" s="345"/>
      <c r="M449" s="345"/>
      <c r="N449" s="744" t="s">
        <v>1561</v>
      </c>
      <c r="O449" s="322"/>
      <c r="P449" s="185"/>
      <c r="Q449" s="430"/>
      <c r="R449" s="616" t="s">
        <v>497</v>
      </c>
      <c r="S449" s="616" t="s">
        <v>1390</v>
      </c>
      <c r="AA449" s="1486"/>
    </row>
    <row r="450" spans="6:27" ht="10.5" customHeight="1">
      <c r="F450" s="368"/>
      <c r="G450" s="345"/>
      <c r="H450" s="345"/>
      <c r="I450" s="345"/>
      <c r="J450" s="345"/>
      <c r="K450" s="345"/>
      <c r="L450" s="345"/>
      <c r="M450" s="345"/>
      <c r="N450" s="744" t="s">
        <v>1563</v>
      </c>
      <c r="O450" s="322"/>
      <c r="P450" s="185"/>
      <c r="Q450" s="430"/>
      <c r="R450" s="746" t="s">
        <v>1295</v>
      </c>
      <c r="S450" s="746" t="s">
        <v>1370</v>
      </c>
      <c r="AA450" s="1486"/>
    </row>
    <row r="451" spans="6:27" ht="10.5" customHeight="1">
      <c r="F451" s="368"/>
      <c r="G451" s="345"/>
      <c r="H451" s="345"/>
      <c r="I451" s="345"/>
      <c r="J451" s="345"/>
      <c r="K451" s="345"/>
      <c r="L451" s="345"/>
      <c r="M451" s="345"/>
      <c r="N451" s="744" t="s">
        <v>2430</v>
      </c>
      <c r="O451" s="322"/>
      <c r="P451" s="185"/>
      <c r="Q451" s="430"/>
      <c r="R451" s="616" t="s">
        <v>1297</v>
      </c>
      <c r="S451" s="616" t="s">
        <v>346</v>
      </c>
      <c r="AA451" s="1487"/>
    </row>
    <row r="452" spans="6:27" ht="10.5" customHeight="1">
      <c r="F452" s="368"/>
      <c r="G452" s="345"/>
      <c r="H452" s="345"/>
      <c r="I452" s="345"/>
      <c r="J452" s="345"/>
      <c r="K452" s="345"/>
      <c r="L452" s="345"/>
      <c r="M452" s="345"/>
      <c r="N452" s="744" t="s">
        <v>2696</v>
      </c>
      <c r="O452" s="322"/>
      <c r="P452" s="185"/>
      <c r="Q452" s="430"/>
      <c r="R452" s="616" t="s">
        <v>3142</v>
      </c>
      <c r="S452" s="616" t="s">
        <v>2632</v>
      </c>
      <c r="AA452" s="1486"/>
    </row>
    <row r="453" spans="6:27" ht="10.5" customHeight="1">
      <c r="F453" s="368"/>
      <c r="G453" s="345"/>
      <c r="H453" s="345"/>
      <c r="I453" s="345"/>
      <c r="J453" s="345"/>
      <c r="K453" s="345"/>
      <c r="L453" s="345"/>
      <c r="M453" s="345"/>
      <c r="N453" s="744" t="s">
        <v>1335</v>
      </c>
      <c r="O453" s="322"/>
      <c r="P453" s="185"/>
      <c r="Q453" s="430"/>
      <c r="R453" s="616" t="s">
        <v>2081</v>
      </c>
      <c r="S453" s="616" t="s">
        <v>2093</v>
      </c>
      <c r="AA453" s="1486"/>
    </row>
    <row r="454" spans="6:27" ht="10.5" customHeight="1">
      <c r="F454" s="368"/>
      <c r="G454" s="345"/>
      <c r="H454" s="345"/>
      <c r="I454" s="345"/>
      <c r="J454" s="345"/>
      <c r="K454" s="345"/>
      <c r="L454" s="345"/>
      <c r="M454" s="345"/>
      <c r="N454" s="744" t="s">
        <v>1574</v>
      </c>
      <c r="O454" s="322"/>
      <c r="P454" s="185"/>
      <c r="Q454" s="430"/>
      <c r="R454" s="616" t="s">
        <v>78</v>
      </c>
      <c r="S454" s="616" t="s">
        <v>1999</v>
      </c>
      <c r="AA454" s="1486"/>
    </row>
    <row r="455" spans="6:27" ht="10.5" customHeight="1">
      <c r="F455" s="368"/>
      <c r="G455" s="345"/>
      <c r="H455" s="345"/>
      <c r="I455" s="345"/>
      <c r="J455" s="345"/>
      <c r="K455" s="345"/>
      <c r="L455" s="345"/>
      <c r="M455" s="345"/>
      <c r="N455" s="744" t="s">
        <v>858</v>
      </c>
      <c r="O455" s="322"/>
      <c r="P455" s="185"/>
      <c r="Q455" s="430"/>
      <c r="R455" s="616" t="s">
        <v>662</v>
      </c>
      <c r="S455" s="616" t="s">
        <v>2581</v>
      </c>
      <c r="AA455" s="1486"/>
    </row>
    <row r="456" spans="6:27" ht="10.5" customHeight="1">
      <c r="F456" s="368"/>
      <c r="G456" s="345"/>
      <c r="H456" s="345"/>
      <c r="I456" s="345"/>
      <c r="J456" s="345"/>
      <c r="K456" s="345"/>
      <c r="L456" s="345"/>
      <c r="M456" s="345"/>
      <c r="N456" s="744" t="s">
        <v>859</v>
      </c>
      <c r="O456" s="322"/>
      <c r="P456" s="185"/>
      <c r="Q456" s="430"/>
      <c r="R456" s="616" t="s">
        <v>80</v>
      </c>
      <c r="S456" s="616" t="s">
        <v>181</v>
      </c>
      <c r="AA456" s="1486"/>
    </row>
    <row r="457" spans="6:27" ht="10.5" customHeight="1">
      <c r="F457" s="368"/>
      <c r="G457" s="345"/>
      <c r="H457" s="345"/>
      <c r="I457" s="345"/>
      <c r="J457" s="345"/>
      <c r="K457" s="345"/>
      <c r="L457" s="345"/>
      <c r="M457" s="345"/>
      <c r="N457" s="744" t="s">
        <v>861</v>
      </c>
      <c r="O457" s="322"/>
      <c r="P457" s="185"/>
      <c r="Q457" s="430"/>
      <c r="R457" s="616" t="s">
        <v>2509</v>
      </c>
      <c r="S457" s="616" t="s">
        <v>1516</v>
      </c>
      <c r="AA457" s="1486"/>
    </row>
    <row r="458" spans="6:27" ht="10.5" customHeight="1">
      <c r="F458" s="368"/>
      <c r="G458" s="345"/>
      <c r="H458" s="345"/>
      <c r="I458" s="345"/>
      <c r="J458" s="345"/>
      <c r="K458" s="345"/>
      <c r="L458" s="345"/>
      <c r="M458" s="345"/>
      <c r="N458" s="744" t="s">
        <v>862</v>
      </c>
      <c r="O458" s="322"/>
      <c r="P458" s="185"/>
      <c r="Q458" s="430"/>
      <c r="R458" s="616" t="s">
        <v>1099</v>
      </c>
      <c r="S458" s="616" t="s">
        <v>1586</v>
      </c>
      <c r="AA458" s="1486"/>
    </row>
    <row r="459" spans="6:27" ht="10.5" customHeight="1">
      <c r="F459" s="368"/>
      <c r="G459" s="345"/>
      <c r="H459" s="345"/>
      <c r="I459" s="345"/>
      <c r="J459" s="345"/>
      <c r="K459" s="345"/>
      <c r="L459" s="345"/>
      <c r="M459" s="345"/>
      <c r="N459" s="744" t="s">
        <v>121</v>
      </c>
      <c r="O459" s="322"/>
      <c r="P459" s="185"/>
      <c r="Q459" s="430"/>
      <c r="R459" s="616" t="s">
        <v>1100</v>
      </c>
      <c r="S459" s="616" t="s">
        <v>1155</v>
      </c>
      <c r="AA459" s="1486"/>
    </row>
    <row r="460" spans="6:27" ht="10.5" customHeight="1">
      <c r="F460" s="368"/>
      <c r="G460" s="345"/>
      <c r="H460" s="345"/>
      <c r="I460" s="345"/>
      <c r="J460" s="345"/>
      <c r="K460" s="345"/>
      <c r="L460" s="345"/>
      <c r="M460" s="345"/>
      <c r="N460" s="744" t="s">
        <v>261</v>
      </c>
      <c r="O460" s="322"/>
      <c r="P460" s="185"/>
      <c r="Q460" s="430"/>
      <c r="R460" s="616" t="s">
        <v>643</v>
      </c>
      <c r="S460" s="616" t="s">
        <v>693</v>
      </c>
      <c r="AA460" s="1486"/>
    </row>
    <row r="461" spans="6:27" ht="10.5" customHeight="1">
      <c r="F461" s="368"/>
      <c r="G461" s="345"/>
      <c r="H461" s="345"/>
      <c r="I461" s="345"/>
      <c r="J461" s="345"/>
      <c r="K461" s="345"/>
      <c r="L461" s="345"/>
      <c r="M461" s="345"/>
      <c r="N461" s="744" t="s">
        <v>1571</v>
      </c>
      <c r="O461" s="322"/>
      <c r="P461" s="185"/>
      <c r="Q461" s="430"/>
      <c r="R461" s="616" t="s">
        <v>1009</v>
      </c>
      <c r="S461" s="616" t="s">
        <v>123</v>
      </c>
      <c r="AA461" s="1486"/>
    </row>
    <row r="462" spans="6:27" ht="10.5" customHeight="1">
      <c r="F462" s="368"/>
      <c r="G462" s="345"/>
      <c r="H462" s="345"/>
      <c r="I462" s="345"/>
      <c r="J462" s="345"/>
      <c r="K462" s="345"/>
      <c r="L462" s="345"/>
      <c r="M462" s="345"/>
      <c r="N462" s="744" t="s">
        <v>256</v>
      </c>
      <c r="O462" s="322"/>
      <c r="P462" s="185"/>
      <c r="Q462" s="430"/>
      <c r="R462" s="616" t="s">
        <v>1011</v>
      </c>
      <c r="S462" s="616" t="s">
        <v>1388</v>
      </c>
      <c r="AA462" s="1486"/>
    </row>
    <row r="463" spans="6:27" ht="10.5" customHeight="1">
      <c r="F463" s="368"/>
      <c r="G463" s="345"/>
      <c r="H463" s="345"/>
      <c r="I463" s="345"/>
      <c r="J463" s="345"/>
      <c r="K463" s="345"/>
      <c r="L463" s="345"/>
      <c r="M463" s="345"/>
      <c r="N463" s="744" t="s">
        <v>1576</v>
      </c>
      <c r="O463" s="322"/>
      <c r="P463" s="185"/>
      <c r="Q463" s="430"/>
      <c r="R463" s="616" t="s">
        <v>1558</v>
      </c>
      <c r="S463" s="616" t="s">
        <v>1519</v>
      </c>
      <c r="AA463" s="1486"/>
    </row>
    <row r="464" spans="6:27" ht="10.5" customHeight="1">
      <c r="F464" s="368"/>
      <c r="G464" s="345"/>
      <c r="H464" s="345"/>
      <c r="I464" s="345"/>
      <c r="J464" s="345"/>
      <c r="K464" s="345"/>
      <c r="L464" s="345"/>
      <c r="M464" s="345"/>
      <c r="N464" s="744" t="s">
        <v>1578</v>
      </c>
      <c r="O464" s="322"/>
      <c r="P464" s="185"/>
      <c r="Q464" s="430"/>
      <c r="R464" s="616" t="s">
        <v>1560</v>
      </c>
      <c r="S464" s="616" t="s">
        <v>2629</v>
      </c>
      <c r="AA464" s="1486"/>
    </row>
    <row r="465" spans="6:27" ht="10.5" customHeight="1">
      <c r="F465" s="368"/>
      <c r="G465" s="345"/>
      <c r="H465" s="345"/>
      <c r="I465" s="345"/>
      <c r="J465" s="345"/>
      <c r="K465" s="345"/>
      <c r="L465" s="345"/>
      <c r="M465" s="345"/>
      <c r="N465" s="744" t="s">
        <v>1451</v>
      </c>
      <c r="O465" s="322"/>
      <c r="P465" s="185"/>
      <c r="Q465" s="430"/>
      <c r="R465" s="616" t="s">
        <v>1562</v>
      </c>
      <c r="S465" s="616" t="s">
        <v>2266</v>
      </c>
      <c r="AA465" s="1486"/>
    </row>
    <row r="466" spans="6:27" ht="10.5" customHeight="1">
      <c r="F466" s="368"/>
      <c r="G466" s="345"/>
      <c r="H466" s="345"/>
      <c r="I466" s="345"/>
      <c r="J466" s="345"/>
      <c r="K466" s="345"/>
      <c r="L466" s="345"/>
      <c r="M466" s="345"/>
      <c r="N466" s="744" t="s">
        <v>1453</v>
      </c>
      <c r="O466" s="322"/>
      <c r="P466" s="185"/>
      <c r="Q466" s="430"/>
      <c r="R466" s="616" t="s">
        <v>2429</v>
      </c>
      <c r="S466" s="616" t="s">
        <v>2691</v>
      </c>
      <c r="AA466" s="1486"/>
    </row>
    <row r="467" spans="6:27" ht="10.5" customHeight="1">
      <c r="F467" s="368"/>
      <c r="G467" s="345"/>
      <c r="H467" s="345"/>
      <c r="I467" s="345"/>
      <c r="J467" s="345"/>
      <c r="K467" s="345"/>
      <c r="L467" s="345"/>
      <c r="M467" s="345"/>
      <c r="N467" s="744" t="s">
        <v>1455</v>
      </c>
      <c r="O467" s="322"/>
      <c r="P467" s="185"/>
      <c r="Q467" s="430"/>
      <c r="R467" s="616" t="s">
        <v>2431</v>
      </c>
      <c r="S467" s="616" t="s">
        <v>123</v>
      </c>
      <c r="AA467" s="1486"/>
    </row>
    <row r="468" spans="6:27" ht="10.5" customHeight="1">
      <c r="F468" s="368"/>
      <c r="G468" s="345"/>
      <c r="H468" s="345"/>
      <c r="I468" s="345"/>
      <c r="J468" s="345"/>
      <c r="K468" s="345"/>
      <c r="L468" s="345"/>
      <c r="M468" s="345"/>
      <c r="N468" s="744" t="s">
        <v>1456</v>
      </c>
      <c r="O468" s="322"/>
      <c r="P468" s="185"/>
      <c r="Q468" s="430"/>
      <c r="R468" s="746" t="s">
        <v>1334</v>
      </c>
      <c r="S468" s="746" t="s">
        <v>994</v>
      </c>
      <c r="AA468" s="1486"/>
    </row>
    <row r="469" spans="6:27" ht="10.5" customHeight="1">
      <c r="F469" s="368"/>
      <c r="G469" s="345"/>
      <c r="H469" s="345"/>
      <c r="I469" s="345"/>
      <c r="J469" s="345"/>
      <c r="K469" s="345"/>
      <c r="L469" s="345"/>
      <c r="M469" s="345"/>
      <c r="N469" s="744" t="s">
        <v>1458</v>
      </c>
      <c r="O469" s="322"/>
      <c r="P469" s="185"/>
      <c r="Q469" s="430"/>
      <c r="R469" s="616" t="s">
        <v>1101</v>
      </c>
      <c r="S469" s="616" t="s">
        <v>2091</v>
      </c>
      <c r="AA469" s="1487"/>
    </row>
    <row r="470" spans="6:27" ht="10.5" customHeight="1">
      <c r="F470" s="368"/>
      <c r="G470" s="345"/>
      <c r="H470" s="345"/>
      <c r="I470" s="345"/>
      <c r="J470" s="345"/>
      <c r="K470" s="345"/>
      <c r="L470" s="345"/>
      <c r="M470" s="345"/>
      <c r="N470" s="744" t="s">
        <v>1460</v>
      </c>
      <c r="O470" s="322"/>
      <c r="P470" s="185"/>
      <c r="Q470" s="430"/>
      <c r="R470" s="616" t="s">
        <v>1336</v>
      </c>
      <c r="S470" s="616" t="s">
        <v>1521</v>
      </c>
      <c r="AA470" s="1486"/>
    </row>
    <row r="471" spans="6:27" ht="10.5" customHeight="1">
      <c r="F471" s="368"/>
      <c r="G471" s="345"/>
      <c r="H471" s="345"/>
      <c r="I471" s="345"/>
      <c r="J471" s="345"/>
      <c r="K471" s="345"/>
      <c r="L471" s="345"/>
      <c r="M471" s="345"/>
      <c r="N471" s="744" t="s">
        <v>1636</v>
      </c>
      <c r="O471" s="322"/>
      <c r="P471" s="185"/>
      <c r="Q471" s="430"/>
      <c r="R471" s="616" t="s">
        <v>866</v>
      </c>
      <c r="S471" s="616" t="s">
        <v>2093</v>
      </c>
      <c r="AA471" s="1486"/>
    </row>
    <row r="472" spans="6:27" ht="10.5" customHeight="1">
      <c r="F472" s="368"/>
      <c r="G472" s="345"/>
      <c r="H472" s="345"/>
      <c r="I472" s="345"/>
      <c r="J472" s="345"/>
      <c r="K472" s="345"/>
      <c r="L472" s="345"/>
      <c r="M472" s="345"/>
      <c r="N472" s="744" t="s">
        <v>1637</v>
      </c>
      <c r="O472" s="322"/>
      <c r="P472" s="185"/>
      <c r="Q472" s="430"/>
      <c r="R472" s="616" t="s">
        <v>867</v>
      </c>
      <c r="S472" s="616" t="s">
        <v>913</v>
      </c>
      <c r="AA472" s="1486"/>
    </row>
    <row r="473" spans="6:27" ht="10.5" customHeight="1">
      <c r="F473" s="368"/>
      <c r="G473" s="345"/>
      <c r="H473" s="345"/>
      <c r="I473" s="345"/>
      <c r="J473" s="345"/>
      <c r="K473" s="345"/>
      <c r="L473" s="345"/>
      <c r="M473" s="345"/>
      <c r="N473" s="744" t="s">
        <v>1638</v>
      </c>
      <c r="O473" s="322"/>
      <c r="P473" s="185"/>
      <c r="Q473" s="430"/>
      <c r="R473" s="616" t="s">
        <v>860</v>
      </c>
      <c r="S473" s="616" t="s">
        <v>658</v>
      </c>
      <c r="AA473" s="1486"/>
    </row>
    <row r="474" spans="6:27" ht="10.5" customHeight="1">
      <c r="F474" s="368"/>
      <c r="G474" s="345"/>
      <c r="H474" s="345"/>
      <c r="I474" s="345"/>
      <c r="J474" s="345"/>
      <c r="K474" s="345"/>
      <c r="L474" s="345"/>
      <c r="M474" s="345"/>
      <c r="N474" s="744" t="s">
        <v>1639</v>
      </c>
      <c r="O474" s="322"/>
      <c r="P474" s="185"/>
      <c r="Q474" s="430"/>
      <c r="R474" s="616" t="s">
        <v>863</v>
      </c>
      <c r="S474" s="616" t="s">
        <v>333</v>
      </c>
      <c r="AA474" s="1486"/>
    </row>
    <row r="475" spans="6:27" ht="10.5" customHeight="1">
      <c r="F475" s="368"/>
      <c r="G475" s="345"/>
      <c r="H475" s="345"/>
      <c r="I475" s="345"/>
      <c r="J475" s="345"/>
      <c r="K475" s="345"/>
      <c r="L475" s="345"/>
      <c r="M475" s="345"/>
      <c r="N475" s="744" t="s">
        <v>1641</v>
      </c>
      <c r="O475" s="322"/>
      <c r="P475" s="185"/>
      <c r="Q475" s="430"/>
      <c r="R475" s="616" t="s">
        <v>122</v>
      </c>
      <c r="S475" s="616" t="s">
        <v>2094</v>
      </c>
      <c r="AA475" s="1486"/>
    </row>
    <row r="476" spans="6:27" ht="10.5" customHeight="1">
      <c r="F476" s="368"/>
      <c r="G476" s="345"/>
      <c r="H476" s="345"/>
      <c r="I476" s="345"/>
      <c r="J476" s="345"/>
      <c r="K476" s="345"/>
      <c r="L476" s="345"/>
      <c r="M476" s="345"/>
      <c r="N476" s="744" t="s">
        <v>1643</v>
      </c>
      <c r="O476" s="322"/>
      <c r="P476" s="185"/>
      <c r="Q476" s="430"/>
      <c r="R476" s="616" t="s">
        <v>262</v>
      </c>
      <c r="S476" s="616" t="s">
        <v>1962</v>
      </c>
      <c r="AA476" s="1486"/>
    </row>
    <row r="477" spans="6:27" ht="10.5" customHeight="1">
      <c r="F477" s="368"/>
      <c r="G477" s="345"/>
      <c r="H477" s="345"/>
      <c r="I477" s="345"/>
      <c r="J477" s="345"/>
      <c r="K477" s="345"/>
      <c r="L477" s="345"/>
      <c r="M477" s="345"/>
      <c r="N477" s="744" t="s">
        <v>1644</v>
      </c>
      <c r="O477" s="322"/>
      <c r="P477" s="185"/>
      <c r="Q477" s="430"/>
      <c r="R477" s="746" t="s">
        <v>1572</v>
      </c>
      <c r="S477" s="746" t="s">
        <v>2093</v>
      </c>
      <c r="AA477" s="1486"/>
    </row>
    <row r="478" spans="6:27" ht="10.5" customHeight="1">
      <c r="F478" s="368"/>
      <c r="G478" s="345"/>
      <c r="H478" s="345"/>
      <c r="I478" s="345"/>
      <c r="J478" s="345"/>
      <c r="K478" s="345"/>
      <c r="L478" s="345"/>
      <c r="M478" s="345"/>
      <c r="N478" s="744" t="s">
        <v>1646</v>
      </c>
      <c r="O478" s="322"/>
      <c r="P478" s="185"/>
      <c r="Q478" s="430"/>
      <c r="R478" s="616" t="s">
        <v>1575</v>
      </c>
      <c r="S478" s="616" t="s">
        <v>342</v>
      </c>
      <c r="AA478" s="1487"/>
    </row>
    <row r="479" spans="6:27" ht="10.5" customHeight="1">
      <c r="F479" s="368"/>
      <c r="G479" s="345"/>
      <c r="H479" s="345"/>
      <c r="I479" s="345"/>
      <c r="J479" s="345"/>
      <c r="K479" s="345"/>
      <c r="L479" s="345"/>
      <c r="M479" s="345"/>
      <c r="N479" s="744" t="s">
        <v>393</v>
      </c>
      <c r="O479" s="322"/>
      <c r="P479" s="185"/>
      <c r="Q479" s="430"/>
      <c r="R479" s="616" t="s">
        <v>1577</v>
      </c>
      <c r="S479" s="616" t="s">
        <v>2581</v>
      </c>
      <c r="AA479" s="1486"/>
    </row>
    <row r="480" spans="6:27" ht="10.5" customHeight="1">
      <c r="F480" s="368"/>
      <c r="G480" s="345"/>
      <c r="H480" s="345"/>
      <c r="I480" s="345"/>
      <c r="J480" s="345"/>
      <c r="K480" s="345"/>
      <c r="L480" s="345"/>
      <c r="M480" s="345"/>
      <c r="N480" s="744" t="s">
        <v>258</v>
      </c>
      <c r="O480" s="322"/>
      <c r="P480" s="185"/>
      <c r="Q480" s="430"/>
      <c r="R480" s="616" t="s">
        <v>505</v>
      </c>
      <c r="S480" s="616" t="s">
        <v>1523</v>
      </c>
      <c r="AA480" s="1486"/>
    </row>
    <row r="481" spans="6:27" ht="10.5" customHeight="1">
      <c r="F481" s="368"/>
      <c r="G481" s="345"/>
      <c r="H481" s="345"/>
      <c r="I481" s="345"/>
      <c r="J481" s="345"/>
      <c r="K481" s="345"/>
      <c r="L481" s="345"/>
      <c r="M481" s="345"/>
      <c r="N481" s="744" t="s">
        <v>260</v>
      </c>
      <c r="O481" s="322"/>
      <c r="P481" s="185"/>
      <c r="Q481" s="430"/>
      <c r="R481" s="616" t="s">
        <v>1452</v>
      </c>
      <c r="S481" s="616" t="s">
        <v>325</v>
      </c>
      <c r="AA481" s="1486"/>
    </row>
    <row r="482" spans="6:27" ht="10.5" customHeight="1">
      <c r="F482" s="368"/>
      <c r="G482" s="345"/>
      <c r="H482" s="345"/>
      <c r="I482" s="345"/>
      <c r="J482" s="345"/>
      <c r="K482" s="345"/>
      <c r="L482" s="345"/>
      <c r="M482" s="345"/>
      <c r="N482" s="744" t="s">
        <v>15</v>
      </c>
      <c r="O482" s="322"/>
      <c r="P482" s="185"/>
      <c r="Q482" s="430"/>
      <c r="R482" s="616" t="s">
        <v>1454</v>
      </c>
      <c r="S482" s="616" t="s">
        <v>911</v>
      </c>
      <c r="AA482" s="1486"/>
    </row>
    <row r="483" spans="6:27" ht="10.5" customHeight="1">
      <c r="F483" s="368"/>
      <c r="G483" s="345"/>
      <c r="H483" s="345"/>
      <c r="I483" s="345"/>
      <c r="J483" s="345"/>
      <c r="K483" s="345"/>
      <c r="L483" s="345"/>
      <c r="M483" s="345"/>
      <c r="N483" s="744" t="s">
        <v>1130</v>
      </c>
      <c r="O483" s="322"/>
      <c r="P483" s="185"/>
      <c r="Q483" s="430"/>
      <c r="R483" s="616" t="s">
        <v>182</v>
      </c>
      <c r="S483" s="616" t="s">
        <v>2264</v>
      </c>
      <c r="AA483" s="1486"/>
    </row>
    <row r="484" spans="6:27" ht="10.5" customHeight="1">
      <c r="F484" s="368"/>
      <c r="G484" s="345"/>
      <c r="H484" s="345"/>
      <c r="I484" s="345"/>
      <c r="J484" s="345"/>
      <c r="K484" s="345"/>
      <c r="L484" s="345"/>
      <c r="M484" s="345"/>
      <c r="N484" s="744" t="s">
        <v>1132</v>
      </c>
      <c r="O484" s="322"/>
      <c r="P484" s="185"/>
      <c r="Q484" s="430"/>
      <c r="R484" s="616" t="s">
        <v>1457</v>
      </c>
      <c r="S484" s="616" t="s">
        <v>1962</v>
      </c>
      <c r="AA484" s="1486"/>
    </row>
    <row r="485" spans="6:27" ht="10.5" customHeight="1">
      <c r="F485" s="368"/>
      <c r="G485" s="345"/>
      <c r="H485" s="345"/>
      <c r="I485" s="345"/>
      <c r="J485" s="345"/>
      <c r="K485" s="345"/>
      <c r="L485" s="345"/>
      <c r="M485" s="345"/>
      <c r="N485" s="744" t="s">
        <v>1134</v>
      </c>
      <c r="O485" s="322"/>
      <c r="P485" s="185"/>
      <c r="Q485" s="430"/>
      <c r="R485" s="616" t="s">
        <v>1459</v>
      </c>
      <c r="S485" s="616" t="s">
        <v>168</v>
      </c>
      <c r="AA485" s="1486"/>
    </row>
    <row r="486" spans="6:27" ht="10.5" customHeight="1">
      <c r="F486" s="368"/>
      <c r="G486" s="345"/>
      <c r="H486" s="345"/>
      <c r="I486" s="345"/>
      <c r="J486" s="345"/>
      <c r="K486" s="345"/>
      <c r="L486" s="345"/>
      <c r="M486" s="345"/>
      <c r="N486" s="744" t="s">
        <v>270</v>
      </c>
      <c r="O486" s="322"/>
      <c r="P486" s="185"/>
      <c r="Q486" s="430"/>
      <c r="R486" s="616" t="s">
        <v>2590</v>
      </c>
      <c r="S486" s="616" t="s">
        <v>1993</v>
      </c>
      <c r="AA486" s="1486"/>
    </row>
    <row r="487" spans="6:27" ht="10.5" customHeight="1">
      <c r="F487" s="368"/>
      <c r="G487" s="345"/>
      <c r="H487" s="345"/>
      <c r="I487" s="345"/>
      <c r="J487" s="345"/>
      <c r="K487" s="345"/>
      <c r="L487" s="345"/>
      <c r="M487" s="345"/>
      <c r="N487" s="744" t="s">
        <v>272</v>
      </c>
      <c r="O487" s="322"/>
      <c r="P487" s="185"/>
      <c r="Q487" s="430"/>
      <c r="R487" s="616" t="s">
        <v>1102</v>
      </c>
      <c r="S487" s="616" t="s">
        <v>2584</v>
      </c>
      <c r="AA487" s="1486"/>
    </row>
    <row r="488" spans="6:27" ht="10.5" customHeight="1">
      <c r="F488" s="368"/>
      <c r="G488" s="345"/>
      <c r="H488" s="345"/>
      <c r="I488" s="345"/>
      <c r="J488" s="345"/>
      <c r="K488" s="345"/>
      <c r="L488" s="345"/>
      <c r="M488" s="345"/>
      <c r="N488" s="744" t="s">
        <v>1696</v>
      </c>
      <c r="O488" s="322"/>
      <c r="P488" s="185"/>
      <c r="Q488" s="430"/>
      <c r="R488" s="616" t="s">
        <v>1376</v>
      </c>
      <c r="S488" s="616" t="s">
        <v>1375</v>
      </c>
      <c r="AA488" s="1486"/>
    </row>
    <row r="489" spans="6:27" ht="10.5" customHeight="1">
      <c r="F489" s="368"/>
      <c r="G489" s="345"/>
      <c r="H489" s="345"/>
      <c r="I489" s="345"/>
      <c r="J489" s="345"/>
      <c r="K489" s="345"/>
      <c r="L489" s="345"/>
      <c r="M489" s="345"/>
      <c r="N489" s="744" t="s">
        <v>2415</v>
      </c>
      <c r="O489" s="322"/>
      <c r="P489" s="185"/>
      <c r="Q489" s="430"/>
      <c r="R489" s="616" t="s">
        <v>185</v>
      </c>
      <c r="S489" s="616" t="s">
        <v>2684</v>
      </c>
      <c r="AA489" s="1486"/>
    </row>
    <row r="490" spans="6:27" ht="10.5" customHeight="1">
      <c r="F490" s="368"/>
      <c r="G490" s="345"/>
      <c r="H490" s="345"/>
      <c r="I490" s="345"/>
      <c r="J490" s="345"/>
      <c r="K490" s="345"/>
      <c r="L490" s="345"/>
      <c r="M490" s="345"/>
      <c r="N490" s="744" t="s">
        <v>503</v>
      </c>
      <c r="O490" s="322"/>
      <c r="P490" s="185"/>
      <c r="Q490" s="430"/>
      <c r="R490" s="616" t="s">
        <v>1640</v>
      </c>
      <c r="S490" s="616" t="s">
        <v>2272</v>
      </c>
      <c r="AA490" s="1486"/>
    </row>
    <row r="491" spans="6:27" ht="10.5" customHeight="1">
      <c r="F491" s="368"/>
      <c r="G491" s="345"/>
      <c r="H491" s="345"/>
      <c r="I491" s="345"/>
      <c r="J491" s="345"/>
      <c r="K491" s="345"/>
      <c r="L491" s="345"/>
      <c r="M491" s="345"/>
      <c r="N491" s="744" t="s">
        <v>1357</v>
      </c>
      <c r="O491" s="322"/>
      <c r="P491" s="185"/>
      <c r="Q491" s="430"/>
      <c r="R491" s="616" t="s">
        <v>1642</v>
      </c>
      <c r="S491" s="616" t="s">
        <v>1962</v>
      </c>
      <c r="AA491" s="1486"/>
    </row>
    <row r="492" spans="6:27" ht="10.5" customHeight="1">
      <c r="F492" s="368"/>
      <c r="G492" s="345"/>
      <c r="H492" s="345"/>
      <c r="I492" s="345"/>
      <c r="J492" s="345"/>
      <c r="K492" s="345"/>
      <c r="L492" s="345"/>
      <c r="M492" s="345"/>
      <c r="N492" s="744" t="s">
        <v>679</v>
      </c>
      <c r="O492" s="322"/>
      <c r="P492" s="185"/>
      <c r="Q492" s="430"/>
      <c r="R492" s="616" t="s">
        <v>1645</v>
      </c>
      <c r="S492" s="616" t="s">
        <v>2689</v>
      </c>
      <c r="AA492" s="1486"/>
    </row>
    <row r="493" spans="6:27" ht="10.5" customHeight="1">
      <c r="F493" s="368"/>
      <c r="G493" s="345"/>
      <c r="H493" s="345"/>
      <c r="I493" s="345"/>
      <c r="J493" s="345"/>
      <c r="K493" s="345"/>
      <c r="L493" s="345"/>
      <c r="M493" s="345"/>
      <c r="N493" s="744" t="s">
        <v>720</v>
      </c>
      <c r="O493" s="322"/>
      <c r="P493" s="185"/>
      <c r="Q493" s="430"/>
      <c r="R493" s="616" t="s">
        <v>392</v>
      </c>
      <c r="S493" s="616" t="s">
        <v>2584</v>
      </c>
      <c r="AA493" s="1486"/>
    </row>
    <row r="494" spans="6:27" ht="10.5" customHeight="1">
      <c r="F494" s="368"/>
      <c r="G494" s="345"/>
      <c r="H494" s="345"/>
      <c r="I494" s="345"/>
      <c r="J494" s="345"/>
      <c r="K494" s="345"/>
      <c r="L494" s="345"/>
      <c r="M494" s="345"/>
      <c r="N494" s="744" t="s">
        <v>721</v>
      </c>
      <c r="O494" s="322"/>
      <c r="P494" s="185"/>
      <c r="Q494" s="430"/>
      <c r="R494" s="748" t="s">
        <v>394</v>
      </c>
      <c r="S494" s="616" t="s">
        <v>1376</v>
      </c>
      <c r="AA494" s="1486"/>
    </row>
    <row r="495" spans="6:27" ht="10.5" customHeight="1">
      <c r="F495" s="368"/>
      <c r="G495" s="345"/>
      <c r="H495" s="345"/>
      <c r="I495" s="345"/>
      <c r="J495" s="345"/>
      <c r="K495" s="345"/>
      <c r="L495" s="345"/>
      <c r="M495" s="345"/>
      <c r="N495" s="744" t="s">
        <v>547</v>
      </c>
      <c r="O495" s="322"/>
      <c r="P495" s="185"/>
      <c r="Q495" s="430"/>
      <c r="R495" s="748" t="s">
        <v>259</v>
      </c>
      <c r="S495" s="616" t="s">
        <v>2262</v>
      </c>
      <c r="AA495" s="1488"/>
    </row>
    <row r="496" spans="6:27" ht="10.5" customHeight="1">
      <c r="F496" s="368"/>
      <c r="G496" s="345"/>
      <c r="H496" s="345"/>
      <c r="I496" s="345"/>
      <c r="J496" s="345"/>
      <c r="K496" s="345"/>
      <c r="L496" s="345"/>
      <c r="M496" s="345"/>
      <c r="N496" s="744" t="s">
        <v>549</v>
      </c>
      <c r="O496" s="322"/>
      <c r="P496" s="185"/>
      <c r="Q496" s="430"/>
      <c r="R496" s="616" t="s">
        <v>1675</v>
      </c>
      <c r="S496" s="616" t="s">
        <v>2628</v>
      </c>
      <c r="AA496" s="1488"/>
    </row>
    <row r="497" spans="6:27" ht="10.5" customHeight="1">
      <c r="F497" s="368"/>
      <c r="G497" s="345"/>
      <c r="H497" s="345"/>
      <c r="I497" s="345"/>
      <c r="J497" s="345"/>
      <c r="K497" s="345"/>
      <c r="L497" s="345"/>
      <c r="M497" s="345"/>
      <c r="N497" s="744" t="s">
        <v>551</v>
      </c>
      <c r="O497" s="322"/>
      <c r="P497" s="185"/>
      <c r="Q497" s="430"/>
      <c r="R497" s="616" t="s">
        <v>3143</v>
      </c>
      <c r="S497" s="616" t="s">
        <v>342</v>
      </c>
      <c r="AA497" s="1486"/>
    </row>
    <row r="498" spans="6:27" ht="10.5" customHeight="1">
      <c r="F498" s="368"/>
      <c r="G498" s="345"/>
      <c r="H498" s="345"/>
      <c r="I498" s="345"/>
      <c r="J498" s="345"/>
      <c r="K498" s="345"/>
      <c r="L498" s="345"/>
      <c r="M498" s="345"/>
      <c r="N498" s="744" t="s">
        <v>553</v>
      </c>
      <c r="O498" s="322"/>
      <c r="P498" s="185"/>
      <c r="Q498" s="430"/>
      <c r="R498" s="616" t="s">
        <v>1131</v>
      </c>
      <c r="S498" s="616" t="s">
        <v>2691</v>
      </c>
      <c r="AA498" s="1486"/>
    </row>
    <row r="499" spans="6:27" ht="10.5" customHeight="1">
      <c r="F499" s="368"/>
      <c r="G499" s="345"/>
      <c r="H499" s="345"/>
      <c r="I499" s="345"/>
      <c r="J499" s="345"/>
      <c r="K499" s="345"/>
      <c r="L499" s="345"/>
      <c r="M499" s="345"/>
      <c r="N499" s="744" t="s">
        <v>566</v>
      </c>
      <c r="O499" s="322"/>
      <c r="P499" s="185"/>
      <c r="Q499" s="430"/>
      <c r="R499" s="616" t="s">
        <v>1133</v>
      </c>
      <c r="S499" s="616" t="s">
        <v>1366</v>
      </c>
      <c r="AA499" s="1486"/>
    </row>
    <row r="500" spans="6:27" ht="10.5" customHeight="1">
      <c r="F500" s="368"/>
      <c r="G500" s="345"/>
      <c r="H500" s="345"/>
      <c r="I500" s="345"/>
      <c r="J500" s="345"/>
      <c r="K500" s="345"/>
      <c r="L500" s="345"/>
      <c r="M500" s="345"/>
      <c r="N500" s="744" t="s">
        <v>568</v>
      </c>
      <c r="O500" s="322"/>
      <c r="P500" s="185"/>
      <c r="Q500" s="430"/>
      <c r="R500" s="746" t="s">
        <v>1135</v>
      </c>
      <c r="S500" s="746" t="s">
        <v>688</v>
      </c>
      <c r="AA500" s="1486"/>
    </row>
    <row r="501" spans="6:27" ht="10.5" customHeight="1">
      <c r="F501" s="368"/>
      <c r="G501" s="345"/>
      <c r="H501" s="345"/>
      <c r="I501" s="345"/>
      <c r="J501" s="345"/>
      <c r="K501" s="345"/>
      <c r="L501" s="345"/>
      <c r="M501" s="345"/>
      <c r="N501" s="744" t="s">
        <v>750</v>
      </c>
      <c r="O501" s="322"/>
      <c r="P501" s="185"/>
      <c r="Q501" s="430"/>
      <c r="R501" s="616" t="s">
        <v>271</v>
      </c>
      <c r="S501" s="616" t="s">
        <v>333</v>
      </c>
      <c r="AA501" s="1487"/>
    </row>
    <row r="502" spans="6:27" ht="10.5" customHeight="1">
      <c r="F502" s="368"/>
      <c r="G502" s="345"/>
      <c r="H502" s="345"/>
      <c r="I502" s="345"/>
      <c r="J502" s="345"/>
      <c r="K502" s="345"/>
      <c r="L502" s="345"/>
      <c r="M502" s="345"/>
      <c r="N502" s="744" t="s">
        <v>614</v>
      </c>
      <c r="O502" s="322"/>
      <c r="P502" s="185"/>
      <c r="Q502" s="430"/>
      <c r="R502" s="616" t="s">
        <v>273</v>
      </c>
      <c r="S502" s="616" t="s">
        <v>2495</v>
      </c>
      <c r="AA502" s="1486"/>
    </row>
    <row r="503" spans="6:27" ht="10.5" customHeight="1">
      <c r="F503" s="368"/>
      <c r="G503" s="345"/>
      <c r="H503" s="345"/>
      <c r="I503" s="345"/>
      <c r="J503" s="345"/>
      <c r="K503" s="345"/>
      <c r="L503" s="345"/>
      <c r="M503" s="345"/>
      <c r="N503" s="744" t="s">
        <v>615</v>
      </c>
      <c r="O503" s="322"/>
      <c r="P503" s="185"/>
      <c r="Q503" s="430"/>
      <c r="R503" s="746" t="s">
        <v>1697</v>
      </c>
      <c r="S503" s="746" t="s">
        <v>911</v>
      </c>
      <c r="AA503" s="1486"/>
    </row>
    <row r="504" spans="6:27" ht="10.5" customHeight="1">
      <c r="F504" s="368"/>
      <c r="G504" s="345"/>
      <c r="H504" s="345"/>
      <c r="I504" s="345"/>
      <c r="J504" s="345"/>
      <c r="K504" s="345"/>
      <c r="L504" s="345"/>
      <c r="M504" s="345"/>
      <c r="N504" s="744" t="s">
        <v>2165</v>
      </c>
      <c r="O504" s="322"/>
      <c r="P504" s="185"/>
      <c r="Q504" s="430"/>
      <c r="R504" s="616" t="s">
        <v>2416</v>
      </c>
      <c r="S504" s="616" t="s">
        <v>1141</v>
      </c>
      <c r="AA504" s="1487"/>
    </row>
    <row r="505" spans="6:27" ht="10.5" customHeight="1">
      <c r="F505" s="368"/>
      <c r="G505" s="345"/>
      <c r="H505" s="345"/>
      <c r="I505" s="345"/>
      <c r="J505" s="345"/>
      <c r="K505" s="345"/>
      <c r="L505" s="345"/>
      <c r="M505" s="345"/>
      <c r="N505" s="744" t="s">
        <v>484</v>
      </c>
      <c r="O505" s="322"/>
      <c r="P505" s="185"/>
      <c r="Q505" s="430"/>
      <c r="R505" s="616" t="s">
        <v>504</v>
      </c>
      <c r="S505" s="616" t="s">
        <v>1735</v>
      </c>
      <c r="AA505" s="1486"/>
    </row>
    <row r="506" spans="6:27" ht="10.5" customHeight="1">
      <c r="F506" s="368"/>
      <c r="G506" s="345"/>
      <c r="H506" s="345"/>
      <c r="I506" s="345"/>
      <c r="J506" s="345"/>
      <c r="K506" s="345"/>
      <c r="L506" s="345"/>
      <c r="M506" s="345"/>
      <c r="N506" s="744" t="s">
        <v>485</v>
      </c>
      <c r="O506" s="322"/>
      <c r="P506" s="185"/>
      <c r="Q506" s="430"/>
      <c r="R506" s="616" t="s">
        <v>3144</v>
      </c>
      <c r="S506" s="616" t="s">
        <v>2272</v>
      </c>
      <c r="AA506" s="1486"/>
    </row>
    <row r="507" spans="6:27" ht="10.5" customHeight="1">
      <c r="F507" s="368"/>
      <c r="G507" s="345"/>
      <c r="H507" s="345"/>
      <c r="I507" s="345"/>
      <c r="J507" s="345"/>
      <c r="K507" s="345"/>
      <c r="L507" s="345"/>
      <c r="M507" s="345"/>
      <c r="N507" s="744" t="s">
        <v>1318</v>
      </c>
      <c r="O507" s="322"/>
      <c r="P507" s="185"/>
      <c r="Q507" s="430"/>
      <c r="R507" s="616" t="s">
        <v>719</v>
      </c>
      <c r="S507" s="616" t="s">
        <v>168</v>
      </c>
      <c r="AA507" s="1486"/>
    </row>
    <row r="508" spans="6:27" ht="10.5" customHeight="1">
      <c r="F508" s="368"/>
      <c r="G508" s="345"/>
      <c r="H508" s="345"/>
      <c r="I508" s="345"/>
      <c r="J508" s="345"/>
      <c r="K508" s="345"/>
      <c r="L508" s="345"/>
      <c r="M508" s="345"/>
      <c r="N508" s="744" t="s">
        <v>1037</v>
      </c>
      <c r="O508" s="322"/>
      <c r="P508" s="185"/>
      <c r="Q508" s="430"/>
      <c r="R508" s="616" t="s">
        <v>546</v>
      </c>
      <c r="S508" s="616" t="s">
        <v>768</v>
      </c>
      <c r="AA508" s="1486"/>
    </row>
    <row r="509" spans="6:27" ht="10.5" customHeight="1">
      <c r="F509" s="368"/>
      <c r="G509" s="345"/>
      <c r="H509" s="345"/>
      <c r="I509" s="345"/>
      <c r="J509" s="345"/>
      <c r="K509" s="345"/>
      <c r="L509" s="345"/>
      <c r="M509" s="345"/>
      <c r="N509" s="744" t="s">
        <v>1039</v>
      </c>
      <c r="O509" s="322"/>
      <c r="P509" s="185"/>
      <c r="Q509" s="430"/>
      <c r="R509" s="616" t="s">
        <v>548</v>
      </c>
      <c r="S509" s="616" t="s">
        <v>1385</v>
      </c>
      <c r="AA509" s="1486"/>
    </row>
    <row r="510" spans="6:27" ht="10.5" customHeight="1">
      <c r="F510" s="368"/>
      <c r="G510" s="345"/>
      <c r="H510" s="345"/>
      <c r="I510" s="345"/>
      <c r="J510" s="345"/>
      <c r="K510" s="345"/>
      <c r="L510" s="345"/>
      <c r="M510" s="345"/>
      <c r="N510" s="744" t="s">
        <v>1040</v>
      </c>
      <c r="O510" s="322"/>
      <c r="P510" s="185"/>
      <c r="Q510" s="430"/>
      <c r="R510" s="616" t="s">
        <v>550</v>
      </c>
      <c r="S510" s="616" t="s">
        <v>1520</v>
      </c>
      <c r="AA510" s="1486"/>
    </row>
    <row r="511" spans="6:27" ht="10.5" customHeight="1">
      <c r="F511" s="368"/>
      <c r="G511" s="345"/>
      <c r="H511" s="345"/>
      <c r="I511" s="345"/>
      <c r="J511" s="345"/>
      <c r="K511" s="345"/>
      <c r="L511" s="345"/>
      <c r="M511" s="345"/>
      <c r="N511" s="744" t="s">
        <v>141</v>
      </c>
      <c r="O511" s="322"/>
      <c r="P511" s="185"/>
      <c r="Q511" s="430"/>
      <c r="R511" s="616" t="s">
        <v>552</v>
      </c>
      <c r="S511" s="616" t="s">
        <v>911</v>
      </c>
      <c r="AA511" s="1486"/>
    </row>
    <row r="512" spans="6:27" ht="10.5" customHeight="1">
      <c r="F512" s="368"/>
      <c r="G512" s="345"/>
      <c r="H512" s="345"/>
      <c r="I512" s="345"/>
      <c r="J512" s="345"/>
      <c r="K512" s="345"/>
      <c r="L512" s="345"/>
      <c r="M512" s="345"/>
      <c r="N512" s="744" t="s">
        <v>142</v>
      </c>
      <c r="O512" s="322"/>
      <c r="P512" s="185"/>
      <c r="Q512" s="430"/>
      <c r="R512" s="616" t="s">
        <v>554</v>
      </c>
      <c r="S512" s="616" t="s">
        <v>1859</v>
      </c>
      <c r="AA512" s="1486"/>
    </row>
    <row r="513" spans="6:27" ht="10.5" customHeight="1">
      <c r="F513" s="368"/>
      <c r="G513" s="345"/>
      <c r="H513" s="345"/>
      <c r="I513" s="345"/>
      <c r="J513" s="345"/>
      <c r="K513" s="345"/>
      <c r="L513" s="345"/>
      <c r="M513" s="345"/>
      <c r="N513" s="744" t="s">
        <v>144</v>
      </c>
      <c r="O513" s="322"/>
      <c r="P513" s="185"/>
      <c r="Q513" s="430"/>
      <c r="R513" s="616" t="s">
        <v>567</v>
      </c>
      <c r="S513" s="616" t="s">
        <v>344</v>
      </c>
      <c r="AA513" s="1486"/>
    </row>
    <row r="514" spans="6:27" ht="10.5" customHeight="1">
      <c r="F514" s="368"/>
      <c r="G514" s="345"/>
      <c r="H514" s="345"/>
      <c r="I514" s="345"/>
      <c r="J514" s="345"/>
      <c r="K514" s="345"/>
      <c r="L514" s="345"/>
      <c r="M514" s="345"/>
      <c r="N514" s="744" t="s">
        <v>2694</v>
      </c>
      <c r="O514" s="322"/>
      <c r="P514" s="185"/>
      <c r="Q514" s="430"/>
      <c r="R514" s="616" t="s">
        <v>569</v>
      </c>
      <c r="S514" s="616" t="s">
        <v>446</v>
      </c>
      <c r="AA514" s="1486"/>
    </row>
    <row r="515" spans="6:27" ht="10.5" customHeight="1">
      <c r="F515" s="368"/>
      <c r="G515" s="345"/>
      <c r="H515" s="345"/>
      <c r="I515" s="345"/>
      <c r="J515" s="345"/>
      <c r="K515" s="345"/>
      <c r="L515" s="345"/>
      <c r="M515" s="345"/>
      <c r="N515" s="744" t="s">
        <v>2182</v>
      </c>
      <c r="O515" s="322"/>
      <c r="P515" s="185"/>
      <c r="Q515" s="430"/>
      <c r="R515" s="746" t="s">
        <v>726</v>
      </c>
      <c r="S515" s="746" t="s">
        <v>1259</v>
      </c>
      <c r="AA515" s="1486"/>
    </row>
    <row r="516" spans="6:27" ht="10.5" customHeight="1">
      <c r="F516" s="368"/>
      <c r="G516" s="345"/>
      <c r="H516" s="345"/>
      <c r="I516" s="345"/>
      <c r="J516" s="345"/>
      <c r="K516" s="345"/>
      <c r="L516" s="345"/>
      <c r="M516" s="345"/>
      <c r="N516" s="744" t="s">
        <v>2184</v>
      </c>
      <c r="O516" s="322"/>
      <c r="P516" s="185"/>
      <c r="Q516" s="430"/>
      <c r="R516" s="616" t="s">
        <v>868</v>
      </c>
      <c r="S516" s="616" t="s">
        <v>688</v>
      </c>
      <c r="AA516" s="1487"/>
    </row>
    <row r="517" spans="6:27" ht="10.5" customHeight="1">
      <c r="F517" s="368"/>
      <c r="G517" s="345"/>
      <c r="H517" s="345"/>
      <c r="I517" s="345"/>
      <c r="J517" s="345"/>
      <c r="K517" s="345"/>
      <c r="L517" s="345"/>
      <c r="M517" s="345"/>
      <c r="N517" s="744" t="s">
        <v>616</v>
      </c>
      <c r="O517" s="322"/>
      <c r="P517" s="185"/>
      <c r="Q517" s="430"/>
      <c r="R517" s="616" t="s">
        <v>1702</v>
      </c>
      <c r="S517" s="616" t="s">
        <v>697</v>
      </c>
      <c r="AA517" s="1486"/>
    </row>
    <row r="518" spans="6:27" ht="10.5" customHeight="1">
      <c r="F518" s="368"/>
      <c r="G518" s="345"/>
      <c r="H518" s="345"/>
      <c r="I518" s="345"/>
      <c r="J518" s="345"/>
      <c r="K518" s="345"/>
      <c r="L518" s="345"/>
      <c r="M518" s="345"/>
      <c r="N518" s="744" t="s">
        <v>2434</v>
      </c>
      <c r="O518" s="322"/>
      <c r="P518" s="185"/>
      <c r="Q518" s="430"/>
      <c r="R518" s="616" t="s">
        <v>2166</v>
      </c>
      <c r="S518" s="616" t="s">
        <v>1141</v>
      </c>
      <c r="AA518" s="1486"/>
    </row>
    <row r="519" spans="6:27" ht="10.5" customHeight="1">
      <c r="F519" s="368"/>
      <c r="G519" s="345"/>
      <c r="H519" s="345"/>
      <c r="I519" s="345"/>
      <c r="J519" s="345"/>
      <c r="K519" s="345"/>
      <c r="L519" s="345"/>
      <c r="M519" s="345"/>
      <c r="N519" s="744" t="s">
        <v>738</v>
      </c>
      <c r="O519" s="322"/>
      <c r="P519" s="185"/>
      <c r="Q519" s="430"/>
      <c r="R519" s="616" t="s">
        <v>1704</v>
      </c>
      <c r="S519" s="616" t="s">
        <v>2094</v>
      </c>
      <c r="AA519" s="1486"/>
    </row>
    <row r="520" spans="6:27" ht="10.5" customHeight="1">
      <c r="F520" s="368"/>
      <c r="G520" s="345"/>
      <c r="H520" s="345"/>
      <c r="I520" s="345"/>
      <c r="J520" s="345"/>
      <c r="K520" s="345"/>
      <c r="L520" s="345"/>
      <c r="M520" s="345"/>
      <c r="N520" s="744" t="s">
        <v>740</v>
      </c>
      <c r="O520" s="322"/>
      <c r="P520" s="185"/>
      <c r="Q520" s="430"/>
      <c r="R520" s="616" t="s">
        <v>486</v>
      </c>
      <c r="S520" s="616" t="s">
        <v>1376</v>
      </c>
      <c r="AA520" s="1486"/>
    </row>
    <row r="521" spans="6:27" ht="10.5" customHeight="1">
      <c r="F521" s="368"/>
      <c r="G521" s="345"/>
      <c r="H521" s="345"/>
      <c r="I521" s="345"/>
      <c r="J521" s="345"/>
      <c r="K521" s="345"/>
      <c r="L521" s="345"/>
      <c r="M521" s="345"/>
      <c r="N521" s="744" t="s">
        <v>2375</v>
      </c>
      <c r="O521" s="322"/>
      <c r="P521" s="185"/>
      <c r="Q521" s="430"/>
      <c r="R521" s="616" t="s">
        <v>190</v>
      </c>
      <c r="S521" s="616" t="s">
        <v>165</v>
      </c>
      <c r="AA521" s="1486"/>
    </row>
    <row r="522" spans="6:27" ht="10.5" customHeight="1">
      <c r="F522" s="368"/>
      <c r="G522" s="345"/>
      <c r="H522" s="345"/>
      <c r="I522" s="345"/>
      <c r="J522" s="345"/>
      <c r="K522" s="345"/>
      <c r="L522" s="345"/>
      <c r="M522" s="345"/>
      <c r="N522" s="744" t="s">
        <v>44</v>
      </c>
      <c r="O522" s="322"/>
      <c r="P522" s="185"/>
      <c r="Q522" s="430"/>
      <c r="R522" s="616" t="s">
        <v>1319</v>
      </c>
      <c r="S522" s="616" t="s">
        <v>339</v>
      </c>
      <c r="AA522" s="1486"/>
    </row>
    <row r="523" spans="6:27" ht="10.5" customHeight="1">
      <c r="F523" s="368"/>
      <c r="G523" s="345"/>
      <c r="H523" s="345"/>
      <c r="I523" s="345"/>
      <c r="J523" s="345"/>
      <c r="K523" s="345"/>
      <c r="L523" s="345"/>
      <c r="M523" s="345"/>
      <c r="N523" s="744" t="s">
        <v>45</v>
      </c>
      <c r="O523" s="322"/>
      <c r="P523" s="185"/>
      <c r="Q523" s="430"/>
      <c r="R523" s="616" t="s">
        <v>1038</v>
      </c>
      <c r="S523" s="616" t="s">
        <v>1517</v>
      </c>
      <c r="AA523" s="1486"/>
    </row>
    <row r="524" spans="6:27" ht="10.5" customHeight="1">
      <c r="F524" s="368"/>
      <c r="G524" s="345"/>
      <c r="H524" s="345"/>
      <c r="I524" s="345"/>
      <c r="J524" s="345"/>
      <c r="K524" s="345"/>
      <c r="L524" s="345"/>
      <c r="M524" s="345"/>
      <c r="N524" s="744" t="s">
        <v>2338</v>
      </c>
      <c r="O524" s="322"/>
      <c r="P524" s="185"/>
      <c r="Q524" s="430"/>
      <c r="R524" s="616" t="s">
        <v>1104</v>
      </c>
      <c r="S524" s="616" t="s">
        <v>181</v>
      </c>
      <c r="AA524" s="1486"/>
    </row>
    <row r="525" spans="6:27" ht="10.5" customHeight="1">
      <c r="F525" s="368"/>
      <c r="G525" s="345"/>
      <c r="H525" s="345"/>
      <c r="I525" s="345"/>
      <c r="J525" s="345"/>
      <c r="K525" s="345"/>
      <c r="L525" s="345"/>
      <c r="M525" s="345"/>
      <c r="N525" s="744" t="s">
        <v>2366</v>
      </c>
      <c r="O525" s="322"/>
      <c r="P525" s="185"/>
      <c r="Q525" s="430"/>
      <c r="R525" s="616" t="s">
        <v>140</v>
      </c>
      <c r="S525" s="616" t="s">
        <v>2631</v>
      </c>
      <c r="AA525" s="1486"/>
    </row>
    <row r="526" spans="6:27" ht="10.5" customHeight="1">
      <c r="F526" s="368"/>
      <c r="G526" s="345"/>
      <c r="H526" s="345"/>
      <c r="I526" s="345"/>
      <c r="J526" s="345"/>
      <c r="K526" s="345"/>
      <c r="L526" s="345"/>
      <c r="M526" s="345"/>
      <c r="N526" s="744" t="s">
        <v>408</v>
      </c>
      <c r="O526" s="322"/>
      <c r="P526" s="185"/>
      <c r="Q526" s="430"/>
      <c r="R526" s="616" t="s">
        <v>2684</v>
      </c>
      <c r="S526" s="616" t="s">
        <v>1388</v>
      </c>
      <c r="AA526" s="1486"/>
    </row>
    <row r="527" spans="6:27" ht="10.5" customHeight="1">
      <c r="F527" s="368"/>
      <c r="G527" s="345"/>
      <c r="H527" s="345"/>
      <c r="I527" s="345"/>
      <c r="J527" s="345"/>
      <c r="K527" s="345"/>
      <c r="L527" s="345"/>
      <c r="M527" s="345"/>
      <c r="N527" s="744" t="s">
        <v>410</v>
      </c>
      <c r="O527" s="322"/>
      <c r="P527" s="185"/>
      <c r="Q527" s="430"/>
      <c r="R527" s="616" t="s">
        <v>143</v>
      </c>
      <c r="S527" s="616" t="s">
        <v>688</v>
      </c>
      <c r="AA527" s="1486"/>
    </row>
    <row r="528" spans="6:27" ht="10.5" customHeight="1">
      <c r="F528" s="368"/>
      <c r="G528" s="345"/>
      <c r="H528" s="345"/>
      <c r="I528" s="345"/>
      <c r="J528" s="345"/>
      <c r="K528" s="345"/>
      <c r="L528" s="345"/>
      <c r="M528" s="345"/>
      <c r="N528" s="744" t="s">
        <v>412</v>
      </c>
      <c r="O528" s="322"/>
      <c r="P528" s="185"/>
      <c r="Q528" s="430"/>
      <c r="R528" s="746" t="s">
        <v>145</v>
      </c>
      <c r="S528" s="746" t="s">
        <v>2581</v>
      </c>
      <c r="AA528" s="1486"/>
    </row>
    <row r="529" spans="6:27" ht="10.5" customHeight="1">
      <c r="F529" s="368"/>
      <c r="G529" s="345"/>
      <c r="H529" s="345"/>
      <c r="I529" s="345"/>
      <c r="J529" s="345"/>
      <c r="K529" s="345"/>
      <c r="L529" s="345"/>
      <c r="M529" s="345"/>
      <c r="N529" s="744" t="s">
        <v>414</v>
      </c>
      <c r="O529" s="322"/>
      <c r="P529" s="185"/>
      <c r="Q529" s="430"/>
      <c r="R529" s="746" t="s">
        <v>2695</v>
      </c>
      <c r="S529" s="746" t="s">
        <v>1380</v>
      </c>
      <c r="AA529" s="1487"/>
    </row>
    <row r="530" spans="6:27" ht="10.5" customHeight="1">
      <c r="F530" s="368"/>
      <c r="G530" s="345"/>
      <c r="H530" s="345"/>
      <c r="I530" s="345"/>
      <c r="J530" s="345"/>
      <c r="K530" s="345"/>
      <c r="L530" s="345"/>
      <c r="M530" s="345"/>
      <c r="N530" s="744" t="s">
        <v>1650</v>
      </c>
      <c r="O530" s="322"/>
      <c r="P530" s="185"/>
      <c r="Q530" s="430"/>
      <c r="R530" s="746" t="s">
        <v>2183</v>
      </c>
      <c r="S530" s="746" t="s">
        <v>2587</v>
      </c>
      <c r="AA530" s="1487"/>
    </row>
    <row r="531" spans="6:27" ht="10.5" customHeight="1">
      <c r="F531" s="368"/>
      <c r="G531" s="345"/>
      <c r="H531" s="345"/>
      <c r="I531" s="345"/>
      <c r="J531" s="345"/>
      <c r="K531" s="345"/>
      <c r="L531" s="345"/>
      <c r="M531" s="345"/>
      <c r="N531" s="744" t="s">
        <v>1652</v>
      </c>
      <c r="O531" s="322"/>
      <c r="P531" s="185"/>
      <c r="Q531" s="430"/>
      <c r="R531" s="616" t="s">
        <v>791</v>
      </c>
      <c r="S531" s="616" t="s">
        <v>124</v>
      </c>
      <c r="AA531" s="1487"/>
    </row>
    <row r="532" spans="6:27" ht="10.5" customHeight="1">
      <c r="F532" s="368"/>
      <c r="G532" s="345"/>
      <c r="H532" s="345"/>
      <c r="I532" s="345"/>
      <c r="J532" s="345"/>
      <c r="K532" s="345"/>
      <c r="L532" s="345"/>
      <c r="M532" s="345"/>
      <c r="N532" s="744" t="s">
        <v>1654</v>
      </c>
      <c r="O532" s="322"/>
      <c r="P532" s="185"/>
      <c r="Q532" s="430"/>
      <c r="R532" s="616" t="s">
        <v>792</v>
      </c>
      <c r="S532" s="616" t="s">
        <v>190</v>
      </c>
      <c r="AA532" s="1486"/>
    </row>
    <row r="533" spans="6:27" ht="10.5" customHeight="1">
      <c r="F533" s="368"/>
      <c r="G533" s="345"/>
      <c r="H533" s="345"/>
      <c r="I533" s="345"/>
      <c r="J533" s="345"/>
      <c r="K533" s="345"/>
      <c r="L533" s="345"/>
      <c r="M533" s="345"/>
      <c r="N533" s="744" t="s">
        <v>2693</v>
      </c>
      <c r="O533" s="322"/>
      <c r="P533" s="185"/>
      <c r="Q533" s="430"/>
      <c r="R533" s="616" t="s">
        <v>739</v>
      </c>
      <c r="S533" s="616" t="s">
        <v>770</v>
      </c>
      <c r="AA533" s="1486"/>
    </row>
    <row r="534" spans="6:27" ht="10.5" customHeight="1">
      <c r="F534" s="368"/>
      <c r="G534" s="345"/>
      <c r="H534" s="345"/>
      <c r="I534" s="345"/>
      <c r="J534" s="345"/>
      <c r="K534" s="345"/>
      <c r="L534" s="345"/>
      <c r="M534" s="345"/>
      <c r="N534" s="744" t="s">
        <v>2551</v>
      </c>
      <c r="O534" s="322"/>
      <c r="P534" s="185"/>
      <c r="Q534" s="430"/>
      <c r="R534" s="616" t="s">
        <v>741</v>
      </c>
      <c r="S534" s="616" t="s">
        <v>1150</v>
      </c>
      <c r="AA534" s="1486"/>
    </row>
    <row r="535" spans="6:27" ht="10.5" customHeight="1">
      <c r="F535" s="368"/>
      <c r="G535" s="345"/>
      <c r="H535" s="345"/>
      <c r="I535" s="345"/>
      <c r="J535" s="345"/>
      <c r="K535" s="345"/>
      <c r="L535" s="345"/>
      <c r="M535" s="345"/>
      <c r="N535" s="744" t="s">
        <v>1906</v>
      </c>
      <c r="O535" s="322"/>
      <c r="P535" s="185"/>
      <c r="Q535" s="430"/>
      <c r="R535" s="616" t="s">
        <v>2376</v>
      </c>
      <c r="S535" s="616" t="s">
        <v>1259</v>
      </c>
      <c r="AA535" s="1486"/>
    </row>
    <row r="536" spans="6:27" ht="10.5" customHeight="1">
      <c r="F536" s="368"/>
      <c r="G536" s="345"/>
      <c r="H536" s="345"/>
      <c r="I536" s="345"/>
      <c r="J536" s="345"/>
      <c r="K536" s="345"/>
      <c r="L536" s="345"/>
      <c r="M536" s="345"/>
      <c r="N536" s="744" t="s">
        <v>1908</v>
      </c>
      <c r="O536" s="322"/>
      <c r="P536" s="185"/>
      <c r="Q536" s="430"/>
      <c r="R536" s="616" t="s">
        <v>2376</v>
      </c>
      <c r="S536" s="616" t="s">
        <v>1259</v>
      </c>
      <c r="AA536" s="1486"/>
    </row>
    <row r="537" spans="6:27" ht="10.5" customHeight="1">
      <c r="F537" s="368"/>
      <c r="G537" s="345"/>
      <c r="H537" s="345"/>
      <c r="I537" s="345"/>
      <c r="J537" s="345"/>
      <c r="K537" s="345"/>
      <c r="L537" s="345"/>
      <c r="M537" s="345"/>
      <c r="N537" s="744" t="s">
        <v>1910</v>
      </c>
      <c r="O537" s="322"/>
      <c r="P537" s="185"/>
      <c r="Q537" s="430"/>
      <c r="R537" s="616" t="s">
        <v>46</v>
      </c>
      <c r="S537" s="616" t="s">
        <v>1379</v>
      </c>
      <c r="AA537" s="1486"/>
    </row>
    <row r="538" spans="6:27" ht="10.5" customHeight="1">
      <c r="F538" s="368"/>
      <c r="G538" s="345"/>
      <c r="H538" s="345"/>
      <c r="I538" s="345"/>
      <c r="J538" s="345"/>
      <c r="K538" s="345"/>
      <c r="L538" s="345"/>
      <c r="M538" s="345"/>
      <c r="N538" s="744" t="s">
        <v>1911</v>
      </c>
      <c r="O538" s="322"/>
      <c r="P538" s="185"/>
      <c r="Q538" s="430"/>
      <c r="R538" s="616" t="s">
        <v>2339</v>
      </c>
      <c r="S538" s="616" t="s">
        <v>1373</v>
      </c>
      <c r="AA538" s="1486"/>
    </row>
    <row r="539" spans="6:27" ht="10.5" customHeight="1">
      <c r="F539" s="368"/>
      <c r="G539" s="345"/>
      <c r="H539" s="345"/>
      <c r="I539" s="345"/>
      <c r="J539" s="345"/>
      <c r="K539" s="345"/>
      <c r="L539" s="345"/>
      <c r="M539" s="345"/>
      <c r="N539" s="744" t="s">
        <v>1913</v>
      </c>
      <c r="O539" s="322"/>
      <c r="P539" s="185"/>
      <c r="Q539" s="430"/>
      <c r="R539" s="616" t="s">
        <v>869</v>
      </c>
      <c r="S539" s="616" t="s">
        <v>181</v>
      </c>
      <c r="AA539" s="1486"/>
    </row>
    <row r="540" spans="6:27" ht="10.5" customHeight="1">
      <c r="F540" s="368"/>
      <c r="G540" s="345"/>
      <c r="H540" s="345"/>
      <c r="I540" s="345"/>
      <c r="J540" s="345"/>
      <c r="K540" s="345"/>
      <c r="L540" s="345"/>
      <c r="M540" s="345"/>
      <c r="N540" s="744" t="s">
        <v>1915</v>
      </c>
      <c r="O540" s="322"/>
      <c r="P540" s="185"/>
      <c r="Q540" s="430"/>
      <c r="R540" s="616" t="s">
        <v>1074</v>
      </c>
      <c r="S540" s="616" t="s">
        <v>1138</v>
      </c>
      <c r="AA540" s="1486"/>
    </row>
    <row r="541" spans="6:27" ht="10.5" customHeight="1">
      <c r="F541" s="368"/>
      <c r="G541" s="345"/>
      <c r="H541" s="345"/>
      <c r="I541" s="345"/>
      <c r="J541" s="345"/>
      <c r="K541" s="345"/>
      <c r="L541" s="345"/>
      <c r="M541" s="345"/>
      <c r="N541" s="744" t="s">
        <v>1917</v>
      </c>
      <c r="O541" s="322"/>
      <c r="P541" s="185"/>
      <c r="Q541" s="430"/>
      <c r="R541" s="616" t="s">
        <v>409</v>
      </c>
      <c r="S541" s="616" t="s">
        <v>2689</v>
      </c>
      <c r="AA541" s="1486"/>
    </row>
    <row r="542" spans="6:27" ht="10.5" customHeight="1">
      <c r="F542" s="368"/>
      <c r="G542" s="345"/>
      <c r="H542" s="345"/>
      <c r="I542" s="345"/>
      <c r="J542" s="345"/>
      <c r="K542" s="345"/>
      <c r="L542" s="345"/>
      <c r="M542" s="345"/>
      <c r="N542" s="744" t="s">
        <v>1919</v>
      </c>
      <c r="O542" s="322"/>
      <c r="P542" s="185"/>
      <c r="Q542" s="430"/>
      <c r="R542" s="616" t="s">
        <v>411</v>
      </c>
      <c r="S542" s="616" t="s">
        <v>2257</v>
      </c>
      <c r="AA542" s="1486"/>
    </row>
    <row r="543" spans="6:27" ht="10.5" customHeight="1">
      <c r="F543" s="368"/>
      <c r="G543" s="345"/>
      <c r="H543" s="345"/>
      <c r="I543" s="345"/>
      <c r="J543" s="345"/>
      <c r="K543" s="345"/>
      <c r="L543" s="345"/>
      <c r="M543" s="345"/>
      <c r="N543" s="744" t="s">
        <v>1920</v>
      </c>
      <c r="O543" s="322"/>
      <c r="P543" s="185"/>
      <c r="Q543" s="430"/>
      <c r="R543" s="616" t="s">
        <v>413</v>
      </c>
      <c r="S543" s="616" t="s">
        <v>2631</v>
      </c>
      <c r="AA543" s="1486"/>
    </row>
    <row r="544" spans="6:27" ht="10.5" customHeight="1">
      <c r="F544" s="368"/>
      <c r="G544" s="345"/>
      <c r="H544" s="345"/>
      <c r="I544" s="345"/>
      <c r="J544" s="345"/>
      <c r="K544" s="345"/>
      <c r="L544" s="345"/>
      <c r="M544" s="345"/>
      <c r="N544" s="744" t="s">
        <v>1887</v>
      </c>
      <c r="O544" s="322"/>
      <c r="P544" s="185"/>
      <c r="Q544" s="430"/>
      <c r="R544" s="616" t="s">
        <v>2689</v>
      </c>
      <c r="S544" s="616" t="s">
        <v>1857</v>
      </c>
      <c r="AA544" s="1486"/>
    </row>
    <row r="545" spans="6:27" ht="10.5" customHeight="1">
      <c r="F545" s="368"/>
      <c r="G545" s="345"/>
      <c r="H545" s="345"/>
      <c r="I545" s="345"/>
      <c r="J545" s="345"/>
      <c r="K545" s="345"/>
      <c r="L545" s="345"/>
      <c r="M545" s="345"/>
      <c r="N545" s="744" t="s">
        <v>1710</v>
      </c>
      <c r="O545" s="322"/>
      <c r="P545" s="185"/>
      <c r="Q545" s="430"/>
      <c r="R545" s="616" t="s">
        <v>1651</v>
      </c>
      <c r="S545" s="616" t="s">
        <v>2585</v>
      </c>
      <c r="AA545" s="1486"/>
    </row>
    <row r="546" spans="6:27" ht="10.5" customHeight="1">
      <c r="F546" s="368"/>
      <c r="G546" s="345"/>
      <c r="H546" s="345"/>
      <c r="I546" s="345"/>
      <c r="J546" s="345"/>
      <c r="K546" s="345"/>
      <c r="L546" s="345"/>
      <c r="M546" s="345"/>
      <c r="N546" s="744" t="s">
        <v>1711</v>
      </c>
      <c r="O546" s="322"/>
      <c r="P546" s="185"/>
      <c r="Q546" s="430"/>
      <c r="R546" s="616" t="s">
        <v>1653</v>
      </c>
      <c r="S546" s="616" t="s">
        <v>337</v>
      </c>
      <c r="AA546" s="1486"/>
    </row>
    <row r="547" spans="6:27" ht="10.5" customHeight="1">
      <c r="F547" s="368"/>
      <c r="G547" s="345"/>
      <c r="H547" s="345"/>
      <c r="I547" s="345"/>
      <c r="J547" s="345"/>
      <c r="K547" s="345"/>
      <c r="L547" s="345"/>
      <c r="M547" s="345"/>
      <c r="N547" s="744" t="s">
        <v>1713</v>
      </c>
      <c r="O547" s="322"/>
      <c r="P547" s="185"/>
      <c r="Q547" s="430"/>
      <c r="R547" s="616" t="s">
        <v>1501</v>
      </c>
      <c r="S547" s="616" t="s">
        <v>123</v>
      </c>
      <c r="AA547" s="1486"/>
    </row>
    <row r="548" spans="6:27" ht="10.5" customHeight="1">
      <c r="F548" s="368"/>
      <c r="G548" s="345"/>
      <c r="H548" s="345"/>
      <c r="I548" s="345"/>
      <c r="J548" s="345"/>
      <c r="K548" s="345"/>
      <c r="L548" s="345"/>
      <c r="M548" s="345"/>
      <c r="N548" s="744" t="s">
        <v>2364</v>
      </c>
      <c r="O548" s="322"/>
      <c r="P548" s="185"/>
      <c r="Q548" s="430"/>
      <c r="R548" s="746" t="s">
        <v>2550</v>
      </c>
      <c r="S548" s="746" t="s">
        <v>2587</v>
      </c>
      <c r="AA548" s="1486"/>
    </row>
    <row r="549" spans="6:27" ht="10.5" customHeight="1">
      <c r="F549" s="368"/>
      <c r="G549" s="345"/>
      <c r="H549" s="345"/>
      <c r="I549" s="345"/>
      <c r="J549" s="345"/>
      <c r="K549" s="345"/>
      <c r="L549" s="345"/>
      <c r="M549" s="345"/>
      <c r="N549" s="744" t="s">
        <v>584</v>
      </c>
      <c r="O549" s="322"/>
      <c r="P549" s="185"/>
      <c r="Q549" s="430"/>
      <c r="R549" s="616" t="s">
        <v>1105</v>
      </c>
      <c r="S549" s="616" t="s">
        <v>658</v>
      </c>
      <c r="AA549" s="1487"/>
    </row>
    <row r="550" spans="6:27" ht="10.5" customHeight="1">
      <c r="F550" s="368"/>
      <c r="G550" s="345"/>
      <c r="H550" s="345"/>
      <c r="I550" s="345"/>
      <c r="J550" s="345"/>
      <c r="K550" s="345"/>
      <c r="L550" s="345"/>
      <c r="M550" s="345"/>
      <c r="N550" s="744" t="s">
        <v>586</v>
      </c>
      <c r="O550" s="322"/>
      <c r="P550" s="185"/>
      <c r="Q550" s="430"/>
      <c r="R550" s="616" t="s">
        <v>1106</v>
      </c>
      <c r="S550" s="616" t="s">
        <v>658</v>
      </c>
      <c r="AA550" s="1486"/>
    </row>
    <row r="551" spans="6:27" ht="10.5" customHeight="1">
      <c r="F551" s="368"/>
      <c r="G551" s="345"/>
      <c r="H551" s="345"/>
      <c r="I551" s="345"/>
      <c r="J551" s="345"/>
      <c r="K551" s="345"/>
      <c r="L551" s="345"/>
      <c r="M551" s="345"/>
      <c r="N551" s="744" t="s">
        <v>588</v>
      </c>
      <c r="O551" s="322"/>
      <c r="P551" s="185"/>
      <c r="Q551" s="430"/>
      <c r="R551" s="616" t="s">
        <v>1107</v>
      </c>
      <c r="S551" s="616" t="s">
        <v>658</v>
      </c>
      <c r="AA551" s="1486"/>
    </row>
    <row r="552" spans="6:27" ht="10.5" customHeight="1">
      <c r="F552" s="368"/>
      <c r="G552" s="345"/>
      <c r="H552" s="345"/>
      <c r="I552" s="345"/>
      <c r="J552" s="345"/>
      <c r="K552" s="345"/>
      <c r="L552" s="345"/>
      <c r="M552" s="345"/>
      <c r="N552" s="744" t="s">
        <v>2141</v>
      </c>
      <c r="O552" s="322"/>
      <c r="P552" s="185"/>
      <c r="Q552" s="430"/>
      <c r="R552" s="616" t="s">
        <v>1897</v>
      </c>
      <c r="S552" s="616" t="s">
        <v>2690</v>
      </c>
      <c r="AA552" s="1486"/>
    </row>
    <row r="553" spans="6:27" ht="10.5" customHeight="1">
      <c r="F553" s="368"/>
      <c r="G553" s="345"/>
      <c r="H553" s="345"/>
      <c r="I553" s="345"/>
      <c r="J553" s="345"/>
      <c r="K553" s="345"/>
      <c r="L553" s="345"/>
      <c r="M553" s="345"/>
      <c r="N553" s="744" t="s">
        <v>1511</v>
      </c>
      <c r="O553" s="322"/>
      <c r="P553" s="185"/>
      <c r="Q553" s="430"/>
      <c r="R553" s="616" t="s">
        <v>1907</v>
      </c>
      <c r="S553" s="616" t="s">
        <v>106</v>
      </c>
      <c r="AA553" s="1486"/>
    </row>
    <row r="554" spans="6:27" ht="10.5" customHeight="1">
      <c r="F554" s="368"/>
      <c r="G554" s="345"/>
      <c r="H554" s="345"/>
      <c r="I554" s="345"/>
      <c r="J554" s="345"/>
      <c r="K554" s="345"/>
      <c r="L554" s="345"/>
      <c r="M554" s="345"/>
      <c r="N554" s="744" t="s">
        <v>1513</v>
      </c>
      <c r="O554" s="322"/>
      <c r="P554" s="185"/>
      <c r="Q554" s="430"/>
      <c r="R554" s="616" t="s">
        <v>1909</v>
      </c>
      <c r="S554" s="616" t="s">
        <v>2333</v>
      </c>
      <c r="AA554" s="1486"/>
    </row>
    <row r="555" spans="6:27" ht="10.5" customHeight="1">
      <c r="F555" s="368"/>
      <c r="G555" s="345"/>
      <c r="H555" s="345"/>
      <c r="I555" s="345"/>
      <c r="J555" s="345"/>
      <c r="K555" s="345"/>
      <c r="L555" s="345"/>
      <c r="M555" s="345"/>
      <c r="N555" s="744" t="s">
        <v>1514</v>
      </c>
      <c r="O555" s="322"/>
      <c r="P555" s="185"/>
      <c r="Q555" s="430"/>
      <c r="R555" s="616" t="s">
        <v>1912</v>
      </c>
      <c r="S555" s="616" t="s">
        <v>2333</v>
      </c>
      <c r="AA555" s="1486"/>
    </row>
    <row r="556" spans="6:27" ht="10.5" customHeight="1">
      <c r="F556" s="368"/>
      <c r="G556" s="345"/>
      <c r="H556" s="345"/>
      <c r="I556" s="345"/>
      <c r="J556" s="345"/>
      <c r="K556" s="345"/>
      <c r="L556" s="345"/>
      <c r="M556" s="345"/>
      <c r="N556" s="744" t="s">
        <v>1648</v>
      </c>
      <c r="O556" s="322"/>
      <c r="P556" s="185"/>
      <c r="Q556" s="430"/>
      <c r="R556" s="616" t="s">
        <v>1914</v>
      </c>
      <c r="S556" s="616" t="s">
        <v>325</v>
      </c>
      <c r="AA556" s="1486"/>
    </row>
    <row r="557" spans="6:27" ht="10.5" customHeight="1">
      <c r="F557" s="368"/>
      <c r="G557" s="345"/>
      <c r="H557" s="345"/>
      <c r="I557" s="345"/>
      <c r="J557" s="345"/>
      <c r="K557" s="345"/>
      <c r="L557" s="345"/>
      <c r="M557" s="345"/>
      <c r="N557" s="744" t="s">
        <v>2207</v>
      </c>
      <c r="O557" s="322"/>
      <c r="P557" s="185"/>
      <c r="Q557" s="430"/>
      <c r="R557" s="616" t="s">
        <v>1916</v>
      </c>
      <c r="S557" s="616" t="s">
        <v>1735</v>
      </c>
      <c r="AA557" s="1486"/>
    </row>
    <row r="558" spans="6:27" ht="10.5" customHeight="1">
      <c r="F558" s="368"/>
      <c r="G558" s="345"/>
      <c r="H558" s="345"/>
      <c r="I558" s="345"/>
      <c r="J558" s="345"/>
      <c r="K558" s="345"/>
      <c r="L558" s="345"/>
      <c r="M558" s="345"/>
      <c r="N558" s="744" t="s">
        <v>2209</v>
      </c>
      <c r="O558" s="322"/>
      <c r="P558" s="185"/>
      <c r="Q558" s="430"/>
      <c r="R558" s="616" t="s">
        <v>1918</v>
      </c>
      <c r="S558" s="616" t="s">
        <v>335</v>
      </c>
      <c r="AA558" s="1486"/>
    </row>
    <row r="559" spans="6:27" ht="10.5" customHeight="1">
      <c r="F559" s="368"/>
      <c r="G559" s="345"/>
      <c r="H559" s="345"/>
      <c r="I559" s="345"/>
      <c r="J559" s="345"/>
      <c r="K559" s="345"/>
      <c r="L559" s="345"/>
      <c r="M559" s="345"/>
      <c r="N559" s="744" t="s">
        <v>2211</v>
      </c>
      <c r="O559" s="322"/>
      <c r="P559" s="185"/>
      <c r="Q559" s="430"/>
      <c r="R559" s="746" t="s">
        <v>2690</v>
      </c>
      <c r="S559" s="746" t="s">
        <v>108</v>
      </c>
      <c r="AA559" s="1486"/>
    </row>
    <row r="560" spans="6:27" ht="10.5" customHeight="1">
      <c r="F560" s="368"/>
      <c r="G560" s="345"/>
      <c r="H560" s="345"/>
      <c r="I560" s="345"/>
      <c r="J560" s="345"/>
      <c r="K560" s="345"/>
      <c r="L560" s="345"/>
      <c r="M560" s="345"/>
      <c r="N560" s="744" t="s">
        <v>1503</v>
      </c>
      <c r="O560" s="322"/>
      <c r="P560" s="185"/>
      <c r="Q560" s="430"/>
      <c r="R560" s="616" t="s">
        <v>2030</v>
      </c>
      <c r="S560" s="616" t="s">
        <v>110</v>
      </c>
      <c r="AA560" s="1487"/>
    </row>
    <row r="561" spans="6:27" ht="10.5" customHeight="1">
      <c r="F561" s="368"/>
      <c r="G561" s="345"/>
      <c r="H561" s="345"/>
      <c r="I561" s="345"/>
      <c r="J561" s="345"/>
      <c r="K561" s="345"/>
      <c r="L561" s="345"/>
      <c r="M561" s="345"/>
      <c r="N561" s="744" t="s">
        <v>1505</v>
      </c>
      <c r="O561" s="322"/>
      <c r="P561" s="185"/>
      <c r="Q561" s="430"/>
      <c r="R561" s="616" t="s">
        <v>1888</v>
      </c>
      <c r="S561" s="616" t="s">
        <v>1139</v>
      </c>
      <c r="AA561" s="1486"/>
    </row>
    <row r="562" spans="6:27" ht="10.5" customHeight="1">
      <c r="F562" s="368"/>
      <c r="G562" s="345"/>
      <c r="H562" s="345"/>
      <c r="I562" s="345"/>
      <c r="J562" s="345"/>
      <c r="K562" s="345"/>
      <c r="L562" s="345"/>
      <c r="M562" s="345"/>
      <c r="N562" s="744" t="s">
        <v>1622</v>
      </c>
      <c r="O562" s="322"/>
      <c r="P562" s="185"/>
      <c r="Q562" s="430"/>
      <c r="R562" s="616" t="s">
        <v>2691</v>
      </c>
      <c r="S562" s="616" t="s">
        <v>1376</v>
      </c>
      <c r="AA562" s="1486"/>
    </row>
    <row r="563" spans="6:27" ht="10.5" customHeight="1">
      <c r="F563" s="368"/>
      <c r="G563" s="345"/>
      <c r="H563" s="345"/>
      <c r="I563" s="345"/>
      <c r="J563" s="345"/>
      <c r="K563" s="345"/>
      <c r="L563" s="345"/>
      <c r="M563" s="345"/>
      <c r="N563" s="744" t="s">
        <v>1624</v>
      </c>
      <c r="O563" s="322"/>
      <c r="P563" s="185"/>
      <c r="Q563" s="430"/>
      <c r="R563" s="616" t="s">
        <v>1712</v>
      </c>
      <c r="S563" s="616" t="s">
        <v>2257</v>
      </c>
      <c r="AA563" s="1486"/>
    </row>
    <row r="564" spans="6:27" ht="10.5" customHeight="1">
      <c r="F564" s="368"/>
      <c r="G564" s="345"/>
      <c r="H564" s="345"/>
      <c r="I564" s="345"/>
      <c r="J564" s="345"/>
      <c r="K564" s="345"/>
      <c r="L564" s="345"/>
      <c r="M564" s="345"/>
      <c r="N564" s="744" t="s">
        <v>2139</v>
      </c>
      <c r="O564" s="322"/>
      <c r="P564" s="185"/>
      <c r="Q564" s="430"/>
      <c r="R564" s="616" t="s">
        <v>870</v>
      </c>
      <c r="S564" s="616" t="s">
        <v>2264</v>
      </c>
      <c r="AA564" s="1486"/>
    </row>
    <row r="565" spans="6:27" ht="10.5" customHeight="1">
      <c r="F565" s="368"/>
      <c r="G565" s="345"/>
      <c r="H565" s="345"/>
      <c r="I565" s="345"/>
      <c r="J565" s="345"/>
      <c r="K565" s="345"/>
      <c r="L565" s="345"/>
      <c r="M565" s="345"/>
      <c r="N565" s="744" t="s">
        <v>1953</v>
      </c>
      <c r="O565" s="322"/>
      <c r="P565" s="185"/>
      <c r="Q565" s="430"/>
      <c r="R565" s="616" t="s">
        <v>2363</v>
      </c>
      <c r="S565" s="616" t="s">
        <v>1737</v>
      </c>
      <c r="AA565" s="1486"/>
    </row>
    <row r="566" spans="6:27" ht="10.5" customHeight="1">
      <c r="F566" s="368"/>
      <c r="G566" s="345"/>
      <c r="H566" s="345"/>
      <c r="I566" s="345"/>
      <c r="J566" s="345"/>
      <c r="K566" s="345"/>
      <c r="L566" s="345"/>
      <c r="M566" s="345"/>
      <c r="N566" s="744" t="s">
        <v>290</v>
      </c>
      <c r="O566" s="322"/>
      <c r="P566" s="185"/>
      <c r="Q566" s="430"/>
      <c r="R566" s="616" t="s">
        <v>2365</v>
      </c>
      <c r="S566" s="616" t="s">
        <v>2261</v>
      </c>
      <c r="AA566" s="1486"/>
    </row>
    <row r="567" spans="6:27" ht="10.5" customHeight="1">
      <c r="F567" s="368"/>
      <c r="G567" s="345"/>
      <c r="H567" s="345"/>
      <c r="I567" s="345"/>
      <c r="J567" s="345"/>
      <c r="K567" s="345"/>
      <c r="L567" s="345"/>
      <c r="M567" s="345"/>
      <c r="N567" s="744" t="s">
        <v>1758</v>
      </c>
      <c r="O567" s="322"/>
      <c r="P567" s="185"/>
      <c r="Q567" s="430"/>
      <c r="R567" s="616" t="s">
        <v>585</v>
      </c>
      <c r="S567" s="616" t="s">
        <v>2689</v>
      </c>
      <c r="AA567" s="1486"/>
    </row>
    <row r="568" spans="6:27" ht="10.5" customHeight="1">
      <c r="F568" s="368"/>
      <c r="G568" s="345"/>
      <c r="H568" s="345"/>
      <c r="I568" s="345"/>
      <c r="J568" s="345"/>
      <c r="K568" s="345"/>
      <c r="L568" s="345"/>
      <c r="M568" s="345"/>
      <c r="N568" s="744" t="s">
        <v>274</v>
      </c>
      <c r="O568" s="322"/>
      <c r="P568" s="185"/>
      <c r="Q568" s="430"/>
      <c r="R568" s="616" t="s">
        <v>587</v>
      </c>
      <c r="S568" s="616" t="s">
        <v>1259</v>
      </c>
      <c r="AA568" s="1486"/>
    </row>
    <row r="569" spans="6:27" ht="10.5" customHeight="1">
      <c r="F569" s="368"/>
      <c r="G569" s="345"/>
      <c r="H569" s="345"/>
      <c r="I569" s="345"/>
      <c r="J569" s="345"/>
      <c r="K569" s="345"/>
      <c r="L569" s="345"/>
      <c r="M569" s="345"/>
      <c r="N569" s="744" t="s">
        <v>288</v>
      </c>
      <c r="O569" s="322"/>
      <c r="P569" s="185"/>
      <c r="Q569" s="430"/>
      <c r="R569" s="616" t="s">
        <v>1108</v>
      </c>
      <c r="S569" s="616" t="s">
        <v>658</v>
      </c>
      <c r="AA569" s="1486"/>
    </row>
    <row r="570" spans="6:27" ht="10.5" customHeight="1">
      <c r="F570" s="368"/>
      <c r="G570" s="345"/>
      <c r="H570" s="345"/>
      <c r="I570" s="345"/>
      <c r="J570" s="345"/>
      <c r="K570" s="345"/>
      <c r="L570" s="345"/>
      <c r="M570" s="345"/>
      <c r="N570" s="744" t="s">
        <v>1234</v>
      </c>
      <c r="O570" s="322"/>
      <c r="P570" s="185"/>
      <c r="Q570" s="430"/>
      <c r="R570" s="616" t="s">
        <v>589</v>
      </c>
      <c r="S570" s="616" t="s">
        <v>1734</v>
      </c>
      <c r="AA570" s="1486"/>
    </row>
    <row r="571" spans="6:27" ht="10.5" customHeight="1">
      <c r="F571" s="368"/>
      <c r="G571" s="345"/>
      <c r="H571" s="345"/>
      <c r="I571" s="345"/>
      <c r="J571" s="345"/>
      <c r="K571" s="345"/>
      <c r="L571" s="345"/>
      <c r="M571" s="345"/>
      <c r="N571" s="744" t="s">
        <v>780</v>
      </c>
      <c r="O571" s="322"/>
      <c r="P571" s="185"/>
      <c r="Q571" s="430"/>
      <c r="R571" s="616" t="s">
        <v>1228</v>
      </c>
      <c r="S571" s="616" t="s">
        <v>1139</v>
      </c>
      <c r="AA571" s="1486"/>
    </row>
    <row r="572" spans="6:27" ht="10.5" customHeight="1">
      <c r="F572" s="368"/>
      <c r="G572" s="345"/>
      <c r="H572" s="345"/>
      <c r="I572" s="345"/>
      <c r="J572" s="345"/>
      <c r="K572" s="345"/>
      <c r="L572" s="345"/>
      <c r="M572" s="345"/>
      <c r="N572" s="744" t="s">
        <v>782</v>
      </c>
      <c r="O572" s="322"/>
      <c r="P572" s="185"/>
      <c r="Q572" s="430"/>
      <c r="R572" s="616" t="s">
        <v>1512</v>
      </c>
      <c r="S572" s="616" t="s">
        <v>1735</v>
      </c>
      <c r="AA572" s="1486"/>
    </row>
    <row r="573" spans="6:27" ht="10.5" customHeight="1">
      <c r="F573" s="368"/>
      <c r="G573" s="345"/>
      <c r="H573" s="345"/>
      <c r="I573" s="345"/>
      <c r="J573" s="345"/>
      <c r="K573" s="345"/>
      <c r="L573" s="345"/>
      <c r="M573" s="345"/>
      <c r="N573" s="744" t="s">
        <v>1071</v>
      </c>
      <c r="O573" s="322"/>
      <c r="P573" s="185"/>
      <c r="Q573" s="430"/>
      <c r="R573" s="616" t="s">
        <v>3145</v>
      </c>
      <c r="S573" s="616" t="s">
        <v>1375</v>
      </c>
      <c r="AA573" s="1486"/>
    </row>
    <row r="574" spans="6:27" ht="10.5" customHeight="1">
      <c r="F574" s="368"/>
      <c r="G574" s="345"/>
      <c r="H574" s="345"/>
      <c r="I574" s="345"/>
      <c r="J574" s="345"/>
      <c r="K574" s="345"/>
      <c r="L574" s="345"/>
      <c r="M574" s="345"/>
      <c r="N574" s="744" t="s">
        <v>1073</v>
      </c>
      <c r="O574" s="322"/>
      <c r="P574" s="185"/>
      <c r="Q574" s="430"/>
      <c r="R574" s="616" t="s">
        <v>1515</v>
      </c>
      <c r="S574" s="616" t="s">
        <v>690</v>
      </c>
      <c r="AA574" s="1486"/>
    </row>
    <row r="575" spans="6:27" ht="10.5" customHeight="1">
      <c r="F575" s="368"/>
      <c r="G575" s="345"/>
      <c r="H575" s="345"/>
      <c r="I575" s="345"/>
      <c r="J575" s="345"/>
      <c r="K575" s="345"/>
      <c r="L575" s="345"/>
      <c r="M575" s="345"/>
      <c r="N575" s="744" t="s">
        <v>1892</v>
      </c>
      <c r="O575" s="322"/>
      <c r="P575" s="185"/>
      <c r="Q575" s="430"/>
      <c r="R575" s="746" t="s">
        <v>3146</v>
      </c>
      <c r="S575" s="746" t="s">
        <v>123</v>
      </c>
      <c r="AA575" s="1486"/>
    </row>
    <row r="576" spans="6:27" ht="10.5" customHeight="1">
      <c r="F576" s="368"/>
      <c r="G576" s="345"/>
      <c r="H576" s="345"/>
      <c r="I576" s="345"/>
      <c r="J576" s="345"/>
      <c r="K576" s="345"/>
      <c r="L576" s="345"/>
      <c r="M576" s="345"/>
      <c r="N576" s="744" t="s">
        <v>1894</v>
      </c>
      <c r="O576" s="322"/>
      <c r="P576" s="185"/>
      <c r="Q576" s="430"/>
      <c r="R576" s="616" t="s">
        <v>1649</v>
      </c>
      <c r="S576" s="616" t="s">
        <v>1853</v>
      </c>
      <c r="AA576" s="1487"/>
    </row>
    <row r="577" spans="6:27" ht="10.5" customHeight="1">
      <c r="F577" s="368"/>
      <c r="G577" s="345"/>
      <c r="H577" s="345"/>
      <c r="I577" s="345"/>
      <c r="J577" s="345"/>
      <c r="K577" s="345"/>
      <c r="L577" s="345"/>
      <c r="M577" s="345"/>
      <c r="N577" s="744" t="s">
        <v>1895</v>
      </c>
      <c r="O577" s="322"/>
      <c r="P577" s="185"/>
      <c r="Q577" s="430"/>
      <c r="R577" s="616" t="s">
        <v>2208</v>
      </c>
      <c r="S577" s="616" t="s">
        <v>1702</v>
      </c>
      <c r="AA577" s="1486"/>
    </row>
    <row r="578" spans="6:27" ht="10.5" customHeight="1">
      <c r="F578" s="368"/>
      <c r="G578" s="345"/>
      <c r="H578" s="345"/>
      <c r="I578" s="345"/>
      <c r="J578" s="345"/>
      <c r="K578" s="345"/>
      <c r="L578" s="345"/>
      <c r="M578" s="345"/>
      <c r="N578" s="744" t="s">
        <v>1183</v>
      </c>
      <c r="O578" s="322"/>
      <c r="P578" s="185"/>
      <c r="Q578" s="430"/>
      <c r="R578" s="746" t="s">
        <v>2210</v>
      </c>
      <c r="S578" s="746" t="s">
        <v>1381</v>
      </c>
      <c r="AA578" s="1486"/>
    </row>
    <row r="579" spans="6:27" ht="10.5" customHeight="1">
      <c r="F579" s="368"/>
      <c r="G579" s="345"/>
      <c r="H579" s="345"/>
      <c r="I579" s="345"/>
      <c r="J579" s="345"/>
      <c r="K579" s="345"/>
      <c r="L579" s="345"/>
      <c r="M579" s="345"/>
      <c r="N579" s="744" t="s">
        <v>416</v>
      </c>
      <c r="O579" s="322"/>
      <c r="P579" s="185"/>
      <c r="Q579" s="430"/>
      <c r="R579" s="616" t="s">
        <v>1502</v>
      </c>
      <c r="S579" s="616" t="s">
        <v>337</v>
      </c>
      <c r="AA579" s="1487"/>
    </row>
    <row r="580" spans="6:27" ht="10.5" customHeight="1">
      <c r="F580" s="368"/>
      <c r="G580" s="345"/>
      <c r="H580" s="345"/>
      <c r="I580" s="345"/>
      <c r="J580" s="345"/>
      <c r="K580" s="345"/>
      <c r="L580" s="345"/>
      <c r="M580" s="345"/>
      <c r="N580" s="744" t="s">
        <v>4</v>
      </c>
      <c r="O580" s="322"/>
      <c r="P580" s="185"/>
      <c r="Q580" s="430"/>
      <c r="R580" s="616" t="s">
        <v>3147</v>
      </c>
      <c r="S580" s="616" t="s">
        <v>344</v>
      </c>
      <c r="AA580" s="1486"/>
    </row>
    <row r="581" spans="6:27" ht="10.5" customHeight="1">
      <c r="F581" s="368"/>
      <c r="G581" s="345"/>
      <c r="H581" s="345"/>
      <c r="I581" s="345"/>
      <c r="J581" s="345"/>
      <c r="K581" s="345"/>
      <c r="L581" s="345"/>
      <c r="M581" s="345"/>
      <c r="N581" s="744" t="s">
        <v>6</v>
      </c>
      <c r="O581" s="322"/>
      <c r="P581" s="185"/>
      <c r="Q581" s="430"/>
      <c r="R581" s="616" t="s">
        <v>1504</v>
      </c>
      <c r="S581" s="616" t="s">
        <v>334</v>
      </c>
      <c r="AA581" s="1486"/>
    </row>
    <row r="582" spans="6:27" ht="10.5" customHeight="1">
      <c r="F582" s="368"/>
      <c r="G582" s="345"/>
      <c r="H582" s="345"/>
      <c r="I582" s="345"/>
      <c r="J582" s="345"/>
      <c r="K582" s="345"/>
      <c r="L582" s="345"/>
      <c r="M582" s="345"/>
      <c r="N582" s="744" t="s">
        <v>8</v>
      </c>
      <c r="O582" s="322"/>
      <c r="P582" s="185"/>
      <c r="Q582" s="430"/>
      <c r="R582" s="746" t="s">
        <v>1109</v>
      </c>
      <c r="S582" s="746" t="s">
        <v>1737</v>
      </c>
      <c r="AA582" s="1486"/>
    </row>
    <row r="583" spans="6:27" ht="10.5" customHeight="1">
      <c r="F583" s="368"/>
      <c r="G583" s="345"/>
      <c r="H583" s="345"/>
      <c r="I583" s="345"/>
      <c r="J583" s="345"/>
      <c r="K583" s="345"/>
      <c r="L583" s="345"/>
      <c r="M583" s="345"/>
      <c r="N583" s="744" t="s">
        <v>10</v>
      </c>
      <c r="O583" s="322"/>
      <c r="P583" s="185"/>
      <c r="Q583" s="430"/>
      <c r="R583" s="746" t="s">
        <v>1506</v>
      </c>
      <c r="S583" s="746" t="s">
        <v>658</v>
      </c>
      <c r="AA583" s="1487"/>
    </row>
    <row r="584" spans="6:27" ht="10.5" customHeight="1">
      <c r="F584" s="368"/>
      <c r="G584" s="345"/>
      <c r="H584" s="345"/>
      <c r="I584" s="345"/>
      <c r="J584" s="345"/>
      <c r="K584" s="345"/>
      <c r="L584" s="345"/>
      <c r="M584" s="345"/>
      <c r="N584" s="744" t="s">
        <v>2231</v>
      </c>
      <c r="O584" s="322"/>
      <c r="P584" s="185"/>
      <c r="Q584" s="430"/>
      <c r="R584" s="616" t="s">
        <v>1623</v>
      </c>
      <c r="S584" s="616" t="s">
        <v>329</v>
      </c>
      <c r="AA584" s="1487"/>
    </row>
    <row r="585" spans="6:27" ht="10.5" customHeight="1">
      <c r="F585" s="368"/>
      <c r="G585" s="345"/>
      <c r="H585" s="345"/>
      <c r="I585" s="345"/>
      <c r="J585" s="345"/>
      <c r="K585" s="345"/>
      <c r="L585" s="345"/>
      <c r="M585" s="345"/>
      <c r="N585" s="744" t="s">
        <v>2233</v>
      </c>
      <c r="O585" s="322"/>
      <c r="P585" s="185"/>
      <c r="Q585" s="430"/>
      <c r="R585" s="616" t="s">
        <v>2140</v>
      </c>
      <c r="S585" s="616" t="s">
        <v>994</v>
      </c>
      <c r="AA585" s="1486"/>
    </row>
    <row r="586" spans="6:27" ht="10.5" customHeight="1">
      <c r="F586" s="368"/>
      <c r="G586" s="345"/>
      <c r="H586" s="345"/>
      <c r="I586" s="345"/>
      <c r="J586" s="345"/>
      <c r="K586" s="345"/>
      <c r="L586" s="345"/>
      <c r="M586" s="345"/>
      <c r="N586" s="744" t="s">
        <v>2235</v>
      </c>
      <c r="O586" s="322"/>
      <c r="P586" s="185"/>
      <c r="Q586" s="430"/>
      <c r="R586" s="616" t="s">
        <v>1954</v>
      </c>
      <c r="S586" s="616" t="s">
        <v>2035</v>
      </c>
      <c r="AA586" s="1486"/>
    </row>
    <row r="587" spans="6:27" ht="10.5" customHeight="1">
      <c r="F587" s="368"/>
      <c r="G587" s="345"/>
      <c r="H587" s="345"/>
      <c r="I587" s="345"/>
      <c r="J587" s="345"/>
      <c r="K587" s="345"/>
      <c r="L587" s="345"/>
      <c r="M587" s="345"/>
      <c r="N587" s="744" t="s">
        <v>2237</v>
      </c>
      <c r="O587" s="322"/>
      <c r="P587" s="185"/>
      <c r="Q587" s="430"/>
      <c r="R587" s="616" t="s">
        <v>291</v>
      </c>
      <c r="S587" s="616" t="s">
        <v>2035</v>
      </c>
      <c r="AA587" s="1486"/>
    </row>
    <row r="588" spans="6:27" ht="10.5" customHeight="1">
      <c r="F588" s="368"/>
      <c r="G588" s="345"/>
      <c r="H588" s="345"/>
      <c r="I588" s="345"/>
      <c r="J588" s="345"/>
      <c r="K588" s="345"/>
      <c r="L588" s="345"/>
      <c r="M588" s="345"/>
      <c r="N588" s="744" t="s">
        <v>2239</v>
      </c>
      <c r="O588" s="322"/>
      <c r="P588" s="185"/>
      <c r="Q588" s="430"/>
      <c r="R588" s="616" t="s">
        <v>1759</v>
      </c>
      <c r="S588" s="616" t="s">
        <v>2266</v>
      </c>
      <c r="AA588" s="1486"/>
    </row>
    <row r="589" spans="6:27" ht="10.5" customHeight="1">
      <c r="F589" s="368"/>
      <c r="G589" s="345"/>
      <c r="H589" s="345"/>
      <c r="I589" s="345"/>
      <c r="J589" s="345"/>
      <c r="K589" s="345"/>
      <c r="L589" s="345"/>
      <c r="M589" s="345"/>
      <c r="N589" s="744" t="s">
        <v>90</v>
      </c>
      <c r="O589" s="322"/>
      <c r="P589" s="185"/>
      <c r="Q589" s="430"/>
      <c r="R589" s="616" t="s">
        <v>275</v>
      </c>
      <c r="S589" s="616" t="s">
        <v>700</v>
      </c>
      <c r="AA589" s="1486"/>
    </row>
    <row r="590" spans="6:27" ht="10.5" customHeight="1">
      <c r="F590" s="368"/>
      <c r="G590" s="345"/>
      <c r="H590" s="345"/>
      <c r="I590" s="345"/>
      <c r="J590" s="345"/>
      <c r="K590" s="345"/>
      <c r="L590" s="345"/>
      <c r="M590" s="345"/>
      <c r="N590" s="744" t="s">
        <v>2103</v>
      </c>
      <c r="O590" s="322"/>
      <c r="P590" s="185"/>
      <c r="Q590" s="430"/>
      <c r="R590" s="616" t="s">
        <v>1233</v>
      </c>
      <c r="S590" s="616" t="s">
        <v>165</v>
      </c>
      <c r="AA590" s="1486"/>
    </row>
    <row r="591" spans="6:27" ht="10.5" customHeight="1">
      <c r="F591" s="368"/>
      <c r="G591" s="345"/>
      <c r="H591" s="345"/>
      <c r="I591" s="345"/>
      <c r="J591" s="345"/>
      <c r="K591" s="345"/>
      <c r="L591" s="345"/>
      <c r="M591" s="345"/>
      <c r="N591" s="744" t="s">
        <v>1580</v>
      </c>
      <c r="O591" s="322"/>
      <c r="P591" s="185"/>
      <c r="Q591" s="430"/>
      <c r="R591" s="616" t="s">
        <v>1235</v>
      </c>
      <c r="S591" s="616" t="s">
        <v>165</v>
      </c>
      <c r="AA591" s="1486"/>
    </row>
    <row r="592" spans="6:27" ht="10.5" customHeight="1">
      <c r="F592" s="368"/>
      <c r="G592" s="345"/>
      <c r="H592" s="345"/>
      <c r="I592" s="345"/>
      <c r="J592" s="345"/>
      <c r="K592" s="345"/>
      <c r="L592" s="345"/>
      <c r="M592" s="345"/>
      <c r="N592" s="744" t="s">
        <v>1582</v>
      </c>
      <c r="O592" s="322"/>
      <c r="P592" s="185"/>
      <c r="Q592" s="430"/>
      <c r="R592" s="616" t="s">
        <v>781</v>
      </c>
      <c r="S592" s="616" t="s">
        <v>1383</v>
      </c>
      <c r="AA592" s="1486"/>
    </row>
    <row r="593" spans="6:27" ht="10.5" customHeight="1">
      <c r="F593" s="368"/>
      <c r="G593" s="345"/>
      <c r="H593" s="345"/>
      <c r="I593" s="345"/>
      <c r="J593" s="345"/>
      <c r="K593" s="345"/>
      <c r="L593" s="345"/>
      <c r="M593" s="345"/>
      <c r="N593" s="744" t="s">
        <v>1584</v>
      </c>
      <c r="O593" s="322"/>
      <c r="P593" s="185"/>
      <c r="Q593" s="430"/>
      <c r="R593" s="616" t="s">
        <v>257</v>
      </c>
      <c r="S593" s="616" t="s">
        <v>2689</v>
      </c>
      <c r="AA593" s="1486"/>
    </row>
    <row r="594" spans="6:27" ht="10.5" customHeight="1">
      <c r="F594" s="368"/>
      <c r="G594" s="345"/>
      <c r="H594" s="345"/>
      <c r="I594" s="345"/>
      <c r="J594" s="345"/>
      <c r="K594" s="345"/>
      <c r="L594" s="345"/>
      <c r="M594" s="345"/>
      <c r="N594" s="744" t="s">
        <v>64</v>
      </c>
      <c r="O594" s="322"/>
      <c r="P594" s="185"/>
      <c r="Q594" s="430"/>
      <c r="R594" s="616" t="s">
        <v>1072</v>
      </c>
      <c r="S594" s="616" t="s">
        <v>2497</v>
      </c>
      <c r="AA594" s="1486"/>
    </row>
    <row r="595" spans="6:27" ht="10.5" customHeight="1">
      <c r="F595" s="368"/>
      <c r="G595" s="345"/>
      <c r="H595" s="345"/>
      <c r="I595" s="345"/>
      <c r="J595" s="345"/>
      <c r="K595" s="345"/>
      <c r="L595" s="345"/>
      <c r="M595" s="345"/>
      <c r="N595" s="744" t="s">
        <v>66</v>
      </c>
      <c r="O595" s="322"/>
      <c r="P595" s="185"/>
      <c r="Q595" s="430"/>
      <c r="R595" s="616" t="s">
        <v>1826</v>
      </c>
      <c r="S595" s="616" t="s">
        <v>2584</v>
      </c>
      <c r="AA595" s="1486"/>
    </row>
    <row r="596" spans="6:27" ht="10.5" customHeight="1">
      <c r="F596" s="368"/>
      <c r="G596" s="345"/>
      <c r="H596" s="345"/>
      <c r="I596" s="345"/>
      <c r="J596" s="345"/>
      <c r="K596" s="345"/>
      <c r="L596" s="345"/>
      <c r="M596" s="345"/>
      <c r="N596" s="744" t="s">
        <v>68</v>
      </c>
      <c r="O596" s="322"/>
      <c r="P596" s="185"/>
      <c r="Q596" s="430"/>
      <c r="R596" s="616" t="s">
        <v>1893</v>
      </c>
      <c r="S596" s="616" t="s">
        <v>112</v>
      </c>
      <c r="AA596" s="1486"/>
    </row>
    <row r="597" spans="6:27" ht="10.5" customHeight="1">
      <c r="F597" s="368"/>
      <c r="G597" s="345"/>
      <c r="H597" s="345"/>
      <c r="I597" s="345"/>
      <c r="J597" s="345"/>
      <c r="K597" s="345"/>
      <c r="L597" s="345"/>
      <c r="M597" s="345"/>
      <c r="N597" s="744" t="s">
        <v>70</v>
      </c>
      <c r="O597" s="322"/>
      <c r="P597" s="185"/>
      <c r="Q597" s="430"/>
      <c r="R597" s="616" t="s">
        <v>1144</v>
      </c>
      <c r="S597" s="616" t="s">
        <v>768</v>
      </c>
      <c r="AA597" s="1486"/>
    </row>
    <row r="598" spans="6:27" ht="10.5" customHeight="1">
      <c r="F598" s="368"/>
      <c r="G598" s="345"/>
      <c r="H598" s="345"/>
      <c r="I598" s="345"/>
      <c r="J598" s="345"/>
      <c r="K598" s="345"/>
      <c r="L598" s="345"/>
      <c r="M598" s="345"/>
      <c r="N598" s="744" t="s">
        <v>72</v>
      </c>
      <c r="O598" s="322"/>
      <c r="P598" s="185"/>
      <c r="Q598" s="430"/>
      <c r="R598" s="616" t="s">
        <v>1110</v>
      </c>
      <c r="S598" s="616" t="s">
        <v>996</v>
      </c>
      <c r="AA598" s="1486"/>
    </row>
    <row r="599" spans="6:27" ht="10.5" customHeight="1">
      <c r="F599" s="368"/>
      <c r="G599" s="345"/>
      <c r="H599" s="345"/>
      <c r="I599" s="345"/>
      <c r="J599" s="345"/>
      <c r="K599" s="345"/>
      <c r="L599" s="345"/>
      <c r="M599" s="345"/>
      <c r="N599" s="744" t="s">
        <v>814</v>
      </c>
      <c r="O599" s="322"/>
      <c r="P599" s="185"/>
      <c r="Q599" s="430"/>
      <c r="R599" s="616" t="s">
        <v>1148</v>
      </c>
      <c r="S599" s="616" t="s">
        <v>1380</v>
      </c>
      <c r="AA599" s="1486"/>
    </row>
    <row r="600" spans="6:27" ht="10.5" customHeight="1">
      <c r="F600" s="368"/>
      <c r="G600" s="345"/>
      <c r="H600" s="345"/>
      <c r="I600" s="345"/>
      <c r="J600" s="345"/>
      <c r="K600" s="345"/>
      <c r="L600" s="345"/>
      <c r="M600" s="345"/>
      <c r="N600" s="744" t="s">
        <v>764</v>
      </c>
      <c r="O600" s="322"/>
      <c r="P600" s="185"/>
      <c r="Q600" s="430"/>
      <c r="R600" s="616" t="s">
        <v>417</v>
      </c>
      <c r="S600" s="616" t="s">
        <v>700</v>
      </c>
      <c r="AA600" s="1486"/>
    </row>
    <row r="601" spans="6:27" ht="10.5" customHeight="1">
      <c r="F601" s="368"/>
      <c r="G601" s="345"/>
      <c r="H601" s="345"/>
      <c r="I601" s="345"/>
      <c r="J601" s="345"/>
      <c r="K601" s="345"/>
      <c r="L601" s="345"/>
      <c r="M601" s="345"/>
      <c r="N601" s="744" t="s">
        <v>766</v>
      </c>
      <c r="O601" s="322"/>
      <c r="P601" s="185"/>
      <c r="Q601" s="430"/>
      <c r="R601" s="746" t="s">
        <v>1111</v>
      </c>
      <c r="S601" s="746" t="s">
        <v>124</v>
      </c>
      <c r="AA601" s="1486"/>
    </row>
    <row r="602" spans="6:27" ht="10.5" customHeight="1">
      <c r="F602" s="368"/>
      <c r="G602" s="345"/>
      <c r="H602" s="345"/>
      <c r="I602" s="345"/>
      <c r="J602" s="345"/>
      <c r="K602" s="345"/>
      <c r="L602" s="345"/>
      <c r="M602" s="345"/>
      <c r="N602" s="744" t="s">
        <v>1229</v>
      </c>
      <c r="O602" s="322"/>
      <c r="P602" s="185"/>
      <c r="Q602" s="430"/>
      <c r="R602" s="616" t="s">
        <v>5</v>
      </c>
      <c r="S602" s="616" t="s">
        <v>1373</v>
      </c>
      <c r="AA602" s="1487"/>
    </row>
    <row r="603" spans="6:27" ht="10.5" customHeight="1">
      <c r="F603" s="368"/>
      <c r="G603" s="345"/>
      <c r="H603" s="345"/>
      <c r="I603" s="345"/>
      <c r="J603" s="345"/>
      <c r="K603" s="345"/>
      <c r="L603" s="345"/>
      <c r="M603" s="345"/>
      <c r="N603" s="744" t="s">
        <v>1085</v>
      </c>
      <c r="O603" s="322"/>
      <c r="P603" s="185"/>
      <c r="Q603" s="430"/>
      <c r="R603" s="616" t="s">
        <v>7</v>
      </c>
      <c r="S603" s="616" t="s">
        <v>2493</v>
      </c>
      <c r="AA603" s="1486"/>
    </row>
    <row r="604" spans="6:27" ht="10.5" customHeight="1">
      <c r="F604" s="368"/>
      <c r="G604" s="345"/>
      <c r="H604" s="345"/>
      <c r="I604" s="345"/>
      <c r="J604" s="345"/>
      <c r="K604" s="345"/>
      <c r="L604" s="345"/>
      <c r="M604" s="345"/>
      <c r="N604" s="744" t="s">
        <v>1086</v>
      </c>
      <c r="O604" s="322"/>
      <c r="P604" s="185"/>
      <c r="Q604" s="430"/>
      <c r="R604" s="616" t="s">
        <v>9</v>
      </c>
      <c r="S604" s="616" t="s">
        <v>2001</v>
      </c>
      <c r="AA604" s="1486"/>
    </row>
    <row r="605" spans="6:27" ht="10.5" customHeight="1">
      <c r="F605" s="368"/>
      <c r="G605" s="345"/>
      <c r="H605" s="345"/>
      <c r="I605" s="345"/>
      <c r="J605" s="345"/>
      <c r="K605" s="345"/>
      <c r="L605" s="345"/>
      <c r="M605" s="345"/>
      <c r="N605" s="744" t="s">
        <v>1088</v>
      </c>
      <c r="O605" s="322"/>
      <c r="P605" s="185"/>
      <c r="Q605" s="430"/>
      <c r="R605" s="616" t="s">
        <v>1112</v>
      </c>
      <c r="S605" s="616" t="s">
        <v>658</v>
      </c>
      <c r="AA605" s="1486"/>
    </row>
    <row r="606" spans="6:27" ht="10.5" customHeight="1">
      <c r="F606" s="368"/>
      <c r="G606" s="345"/>
      <c r="H606" s="345"/>
      <c r="I606" s="345"/>
      <c r="J606" s="345"/>
      <c r="K606" s="345"/>
      <c r="L606" s="345"/>
      <c r="M606" s="345"/>
      <c r="N606" s="744" t="s">
        <v>2356</v>
      </c>
      <c r="O606" s="322"/>
      <c r="P606" s="185"/>
      <c r="Q606" s="430"/>
      <c r="R606" s="616" t="s">
        <v>1113</v>
      </c>
      <c r="S606" s="616" t="s">
        <v>330</v>
      </c>
      <c r="AA606" s="1486"/>
    </row>
    <row r="607" spans="6:27" ht="10.5" customHeight="1">
      <c r="F607" s="368"/>
      <c r="G607" s="345"/>
      <c r="H607" s="345"/>
      <c r="I607" s="345"/>
      <c r="J607" s="345"/>
      <c r="K607" s="345"/>
      <c r="L607" s="345"/>
      <c r="M607" s="345"/>
      <c r="N607" s="744" t="s">
        <v>2358</v>
      </c>
      <c r="O607" s="322"/>
      <c r="P607" s="185"/>
      <c r="Q607" s="430"/>
      <c r="R607" s="616" t="s">
        <v>2230</v>
      </c>
      <c r="S607" s="616" t="s">
        <v>1383</v>
      </c>
      <c r="AA607" s="1486"/>
    </row>
    <row r="608" spans="6:27" ht="10.5" customHeight="1">
      <c r="F608" s="368"/>
      <c r="G608" s="345"/>
      <c r="H608" s="345"/>
      <c r="I608" s="345"/>
      <c r="J608" s="345"/>
      <c r="K608" s="345"/>
      <c r="L608" s="345"/>
      <c r="M608" s="345"/>
      <c r="N608" s="744" t="s">
        <v>1845</v>
      </c>
      <c r="O608" s="322"/>
      <c r="P608" s="185"/>
      <c r="Q608" s="430"/>
      <c r="R608" s="616" t="s">
        <v>2232</v>
      </c>
      <c r="S608" s="616" t="s">
        <v>2272</v>
      </c>
      <c r="AA608" s="1486"/>
    </row>
    <row r="609" spans="6:27" ht="10.5" customHeight="1">
      <c r="F609" s="368"/>
      <c r="G609" s="345"/>
      <c r="H609" s="345"/>
      <c r="I609" s="345"/>
      <c r="J609" s="345"/>
      <c r="K609" s="345"/>
      <c r="L609" s="345"/>
      <c r="M609" s="345"/>
      <c r="N609" s="744" t="s">
        <v>2619</v>
      </c>
      <c r="O609" s="322"/>
      <c r="P609" s="185"/>
      <c r="Q609" s="430"/>
      <c r="R609" s="616" t="s">
        <v>2234</v>
      </c>
      <c r="S609" s="616" t="s">
        <v>181</v>
      </c>
      <c r="AA609" s="1486"/>
    </row>
    <row r="610" spans="6:27" ht="10.5" customHeight="1">
      <c r="F610" s="368"/>
      <c r="G610" s="345"/>
      <c r="H610" s="345"/>
      <c r="I610" s="345"/>
      <c r="J610" s="345"/>
      <c r="K610" s="345"/>
      <c r="L610" s="345"/>
      <c r="M610" s="345"/>
      <c r="N610" s="744" t="s">
        <v>2251</v>
      </c>
      <c r="O610" s="322"/>
      <c r="P610" s="185"/>
      <c r="Q610" s="430"/>
      <c r="R610" s="616" t="s">
        <v>2236</v>
      </c>
      <c r="S610" s="616" t="s">
        <v>1517</v>
      </c>
      <c r="AA610" s="1486"/>
    </row>
    <row r="611" spans="6:27" ht="10.5" customHeight="1">
      <c r="F611" s="368"/>
      <c r="G611" s="345"/>
      <c r="H611" s="345"/>
      <c r="I611" s="345"/>
      <c r="J611" s="345"/>
      <c r="K611" s="345"/>
      <c r="L611" s="345"/>
      <c r="M611" s="345"/>
      <c r="N611" s="744" t="s">
        <v>1680</v>
      </c>
      <c r="O611" s="322"/>
      <c r="P611" s="185"/>
      <c r="Q611" s="430"/>
      <c r="R611" s="746" t="s">
        <v>2238</v>
      </c>
      <c r="S611" s="746" t="s">
        <v>700</v>
      </c>
      <c r="AA611" s="1486"/>
    </row>
    <row r="612" spans="6:27" ht="10.5" customHeight="1">
      <c r="F612" s="368"/>
      <c r="G612" s="345"/>
      <c r="H612" s="345"/>
      <c r="I612" s="345"/>
      <c r="J612" s="345"/>
      <c r="K612" s="345"/>
      <c r="L612" s="345"/>
      <c r="M612" s="345"/>
      <c r="N612" s="744" t="s">
        <v>1681</v>
      </c>
      <c r="O612" s="322"/>
      <c r="P612" s="185"/>
      <c r="Q612" s="430"/>
      <c r="R612" s="616" t="s">
        <v>91</v>
      </c>
      <c r="S612" s="616" t="s">
        <v>123</v>
      </c>
      <c r="AA612" s="1487"/>
    </row>
    <row r="613" spans="6:27" ht="10.5" customHeight="1">
      <c r="F613" s="368"/>
      <c r="G613" s="345"/>
      <c r="H613" s="345"/>
      <c r="I613" s="345"/>
      <c r="J613" s="345"/>
      <c r="K613" s="345"/>
      <c r="L613" s="345"/>
      <c r="M613" s="345"/>
      <c r="N613" s="744" t="s">
        <v>1683</v>
      </c>
      <c r="O613" s="322"/>
      <c r="P613" s="185"/>
      <c r="Q613" s="430"/>
      <c r="R613" s="616" t="s">
        <v>1579</v>
      </c>
      <c r="S613" s="616" t="s">
        <v>2274</v>
      </c>
      <c r="AA613" s="1486"/>
    </row>
    <row r="614" spans="6:27" ht="10.5" customHeight="1">
      <c r="F614" s="368"/>
      <c r="G614" s="345"/>
      <c r="H614" s="345"/>
      <c r="I614" s="345"/>
      <c r="J614" s="345"/>
      <c r="K614" s="345"/>
      <c r="L614" s="345"/>
      <c r="M614" s="345"/>
      <c r="N614" s="744" t="s">
        <v>1684</v>
      </c>
      <c r="O614" s="322"/>
      <c r="P614" s="185"/>
      <c r="Q614" s="430"/>
      <c r="R614" s="746" t="s">
        <v>1581</v>
      </c>
      <c r="S614" s="746" t="s">
        <v>206</v>
      </c>
      <c r="AA614" s="1486"/>
    </row>
    <row r="615" spans="6:27" ht="10.5" customHeight="1">
      <c r="F615" s="368"/>
      <c r="G615" s="345"/>
      <c r="H615" s="345"/>
      <c r="I615" s="345"/>
      <c r="J615" s="345"/>
      <c r="K615" s="345"/>
      <c r="L615" s="345"/>
      <c r="M615" s="345"/>
      <c r="N615" s="744" t="s">
        <v>1686</v>
      </c>
      <c r="O615" s="322"/>
      <c r="P615" s="185"/>
      <c r="Q615" s="430"/>
      <c r="R615" s="616" t="s">
        <v>1583</v>
      </c>
      <c r="S615" s="616" t="s">
        <v>1520</v>
      </c>
      <c r="AA615" s="1487"/>
    </row>
    <row r="616" spans="6:27" ht="10.5" customHeight="1">
      <c r="F616" s="368"/>
      <c r="G616" s="345"/>
      <c r="H616" s="345"/>
      <c r="I616" s="345"/>
      <c r="J616" s="345"/>
      <c r="K616" s="345"/>
      <c r="L616" s="345"/>
      <c r="M616" s="345"/>
      <c r="N616" s="744" t="s">
        <v>1687</v>
      </c>
      <c r="O616" s="322"/>
      <c r="P616" s="185"/>
      <c r="Q616" s="430"/>
      <c r="R616" s="616" t="s">
        <v>1585</v>
      </c>
      <c r="S616" s="616" t="s">
        <v>2264</v>
      </c>
      <c r="AA616" s="1486"/>
    </row>
    <row r="617" spans="6:27" ht="10.5" customHeight="1">
      <c r="F617" s="368"/>
      <c r="G617" s="345"/>
      <c r="H617" s="345"/>
      <c r="I617" s="345"/>
      <c r="J617" s="345"/>
      <c r="K617" s="345"/>
      <c r="L617" s="345"/>
      <c r="M617" s="345"/>
      <c r="N617" s="744" t="s">
        <v>1689</v>
      </c>
      <c r="O617" s="322"/>
      <c r="P617" s="185"/>
      <c r="Q617" s="430"/>
      <c r="R617" s="616" t="s">
        <v>65</v>
      </c>
      <c r="S617" s="616" t="s">
        <v>1381</v>
      </c>
      <c r="AA617" s="1486"/>
    </row>
    <row r="618" spans="6:27" ht="10.5" customHeight="1">
      <c r="F618" s="368"/>
      <c r="G618" s="345"/>
      <c r="H618" s="345"/>
      <c r="I618" s="345"/>
      <c r="J618" s="345"/>
      <c r="K618" s="345"/>
      <c r="L618" s="345"/>
      <c r="M618" s="345"/>
      <c r="N618" s="744" t="s">
        <v>2513</v>
      </c>
      <c r="O618" s="322"/>
      <c r="P618" s="185"/>
      <c r="Q618" s="430"/>
      <c r="R618" s="616" t="s">
        <v>67</v>
      </c>
      <c r="S618" s="616" t="s">
        <v>108</v>
      </c>
      <c r="AA618" s="1486"/>
    </row>
    <row r="619" spans="6:27" ht="10.5" customHeight="1">
      <c r="F619" s="368"/>
      <c r="G619" s="345"/>
      <c r="H619" s="345"/>
      <c r="I619" s="345"/>
      <c r="J619" s="345"/>
      <c r="K619" s="345"/>
      <c r="L619" s="345"/>
      <c r="M619" s="345"/>
      <c r="N619" s="744" t="s">
        <v>173</v>
      </c>
      <c r="O619" s="322"/>
      <c r="P619" s="185"/>
      <c r="Q619" s="430"/>
      <c r="R619" s="616" t="s">
        <v>69</v>
      </c>
      <c r="S619" s="616" t="s">
        <v>917</v>
      </c>
      <c r="AA619" s="1486"/>
    </row>
    <row r="620" spans="6:27" ht="10.5" customHeight="1">
      <c r="F620" s="368"/>
      <c r="G620" s="345"/>
      <c r="H620" s="345"/>
      <c r="I620" s="345"/>
      <c r="J620" s="345"/>
      <c r="K620" s="345"/>
      <c r="L620" s="345"/>
      <c r="M620" s="345"/>
      <c r="N620" s="744" t="s">
        <v>1031</v>
      </c>
      <c r="O620" s="322"/>
      <c r="P620" s="185"/>
      <c r="Q620" s="430"/>
      <c r="R620" s="616" t="s">
        <v>71</v>
      </c>
      <c r="S620" s="616" t="s">
        <v>1586</v>
      </c>
      <c r="AA620" s="1486"/>
    </row>
    <row r="621" spans="6:27" ht="10.5" customHeight="1">
      <c r="F621" s="368"/>
      <c r="G621" s="345"/>
      <c r="H621" s="345"/>
      <c r="I621" s="345"/>
      <c r="J621" s="345"/>
      <c r="K621" s="345"/>
      <c r="L621" s="345"/>
      <c r="M621" s="345"/>
      <c r="N621" s="744" t="s">
        <v>1032</v>
      </c>
      <c r="O621" s="322"/>
      <c r="P621" s="185"/>
      <c r="Q621" s="430"/>
      <c r="R621" s="616" t="s">
        <v>815</v>
      </c>
      <c r="S621" s="616" t="s">
        <v>2581</v>
      </c>
      <c r="AA621" s="1486"/>
    </row>
    <row r="622" spans="6:27" ht="10.5" customHeight="1">
      <c r="F622" s="368"/>
      <c r="G622" s="345"/>
      <c r="H622" s="345"/>
      <c r="I622" s="345"/>
      <c r="J622" s="345"/>
      <c r="K622" s="345"/>
      <c r="L622" s="345"/>
      <c r="M622" s="345"/>
      <c r="N622" s="744" t="s">
        <v>1034</v>
      </c>
      <c r="O622" s="322"/>
      <c r="P622" s="185"/>
      <c r="Q622" s="430"/>
      <c r="R622" s="746" t="s">
        <v>765</v>
      </c>
      <c r="S622" s="746" t="s">
        <v>2587</v>
      </c>
      <c r="AA622" s="1486"/>
    </row>
    <row r="623" spans="6:27" ht="10.5" customHeight="1">
      <c r="F623" s="368"/>
      <c r="G623" s="345"/>
      <c r="H623" s="345"/>
      <c r="I623" s="345"/>
      <c r="J623" s="345"/>
      <c r="K623" s="345"/>
      <c r="L623" s="345"/>
      <c r="M623" s="345"/>
      <c r="N623" s="744" t="s">
        <v>2476</v>
      </c>
      <c r="O623" s="322"/>
      <c r="P623" s="185"/>
      <c r="Q623" s="430"/>
      <c r="R623" s="616" t="s">
        <v>981</v>
      </c>
      <c r="S623" s="616" t="s">
        <v>2632</v>
      </c>
      <c r="AA623" s="1487"/>
    </row>
    <row r="624" spans="6:27" ht="10.5" customHeight="1">
      <c r="F624" s="368"/>
      <c r="G624" s="345"/>
      <c r="H624" s="345"/>
      <c r="I624" s="345"/>
      <c r="J624" s="345"/>
      <c r="K624" s="345"/>
      <c r="L624" s="345"/>
      <c r="M624" s="345"/>
      <c r="N624" s="744" t="s">
        <v>2625</v>
      </c>
      <c r="O624" s="322"/>
      <c r="P624" s="185"/>
      <c r="Q624" s="430"/>
      <c r="R624" s="616" t="s">
        <v>1114</v>
      </c>
      <c r="S624" s="616" t="s">
        <v>334</v>
      </c>
      <c r="AA624" s="1486"/>
    </row>
    <row r="625" spans="6:27" ht="10.5" customHeight="1">
      <c r="F625" s="368"/>
      <c r="G625" s="345"/>
      <c r="H625" s="345"/>
      <c r="I625" s="345"/>
      <c r="J625" s="345"/>
      <c r="K625" s="345"/>
      <c r="L625" s="345"/>
      <c r="M625" s="345"/>
      <c r="N625" s="744" t="s">
        <v>2087</v>
      </c>
      <c r="O625" s="322"/>
      <c r="P625" s="185"/>
      <c r="Q625" s="430"/>
      <c r="R625" s="616" t="s">
        <v>1230</v>
      </c>
      <c r="S625" s="616" t="s">
        <v>2035</v>
      </c>
      <c r="AA625" s="1486"/>
    </row>
    <row r="626" spans="6:27" ht="10.5" customHeight="1">
      <c r="F626" s="368"/>
      <c r="G626" s="345"/>
      <c r="H626" s="345"/>
      <c r="I626" s="345"/>
      <c r="J626" s="345"/>
      <c r="K626" s="345"/>
      <c r="L626" s="345"/>
      <c r="M626" s="345"/>
      <c r="N626" s="744" t="s">
        <v>984</v>
      </c>
      <c r="O626" s="322"/>
      <c r="P626" s="185"/>
      <c r="Q626" s="430"/>
      <c r="R626" s="616" t="s">
        <v>3148</v>
      </c>
      <c r="S626" s="616" t="s">
        <v>1855</v>
      </c>
      <c r="AA626" s="1486"/>
    </row>
    <row r="627" spans="6:27" ht="10.5" customHeight="1">
      <c r="F627" s="368"/>
      <c r="G627" s="345"/>
      <c r="H627" s="345"/>
      <c r="I627" s="345"/>
      <c r="J627" s="345"/>
      <c r="K627" s="345"/>
      <c r="L627" s="345"/>
      <c r="M627" s="345"/>
      <c r="N627" s="744" t="s">
        <v>809</v>
      </c>
      <c r="O627" s="322"/>
      <c r="P627" s="185"/>
      <c r="Q627" s="430"/>
      <c r="R627" s="746" t="s">
        <v>1087</v>
      </c>
      <c r="S627" s="746" t="s">
        <v>1142</v>
      </c>
      <c r="AA627" s="1486"/>
    </row>
    <row r="628" spans="6:27" ht="10.5" customHeight="1">
      <c r="F628" s="368"/>
      <c r="G628" s="345"/>
      <c r="H628" s="345"/>
      <c r="I628" s="345"/>
      <c r="J628" s="345"/>
      <c r="K628" s="345"/>
      <c r="L628" s="345"/>
      <c r="M628" s="345"/>
      <c r="N628" s="744" t="s">
        <v>1533</v>
      </c>
      <c r="O628" s="322"/>
      <c r="P628" s="185"/>
      <c r="Q628" s="430"/>
      <c r="R628" s="616" t="s">
        <v>2357</v>
      </c>
      <c r="S628" s="616" t="s">
        <v>2257</v>
      </c>
      <c r="AA628" s="1487"/>
    </row>
    <row r="629" spans="6:27" ht="10.5" customHeight="1">
      <c r="F629" s="368"/>
      <c r="G629" s="345"/>
      <c r="H629" s="345"/>
      <c r="I629" s="345"/>
      <c r="J629" s="345"/>
      <c r="K629" s="345"/>
      <c r="L629" s="345"/>
      <c r="M629" s="345"/>
      <c r="N629" s="744" t="s">
        <v>1535</v>
      </c>
      <c r="O629" s="322"/>
      <c r="P629" s="185"/>
      <c r="Q629" s="430"/>
      <c r="R629" s="616" t="s">
        <v>2359</v>
      </c>
      <c r="S629" s="616" t="s">
        <v>691</v>
      </c>
      <c r="AA629" s="1486"/>
    </row>
    <row r="630" spans="6:27" ht="10.5" customHeight="1">
      <c r="F630" s="368"/>
      <c r="G630" s="345"/>
      <c r="H630" s="345"/>
      <c r="I630" s="345"/>
      <c r="J630" s="345"/>
      <c r="K630" s="345"/>
      <c r="L630" s="345"/>
      <c r="M630" s="345"/>
      <c r="N630" s="744" t="s">
        <v>1537</v>
      </c>
      <c r="O630" s="322"/>
      <c r="P630" s="185"/>
      <c r="Q630" s="430"/>
      <c r="R630" s="616" t="s">
        <v>1846</v>
      </c>
      <c r="S630" s="616" t="s">
        <v>770</v>
      </c>
      <c r="AA630" s="1486"/>
    </row>
    <row r="631" spans="6:27" ht="10.5" customHeight="1">
      <c r="F631" s="368"/>
      <c r="G631" s="345"/>
      <c r="H631" s="345"/>
      <c r="I631" s="345"/>
      <c r="J631" s="345"/>
      <c r="K631" s="345"/>
      <c r="L631" s="345"/>
      <c r="M631" s="345"/>
      <c r="N631" s="744" t="s">
        <v>1361</v>
      </c>
      <c r="O631" s="322"/>
      <c r="P631" s="185"/>
      <c r="Q631" s="430"/>
      <c r="R631" s="616" t="s">
        <v>2620</v>
      </c>
      <c r="S631" s="616" t="s">
        <v>2093</v>
      </c>
      <c r="AA631" s="1486"/>
    </row>
    <row r="632" spans="6:27" ht="10.5" customHeight="1">
      <c r="F632" s="368"/>
      <c r="G632" s="345"/>
      <c r="H632" s="345"/>
      <c r="I632" s="345"/>
      <c r="J632" s="345"/>
      <c r="K632" s="345"/>
      <c r="L632" s="345"/>
      <c r="M632" s="345"/>
      <c r="N632" s="744" t="s">
        <v>1363</v>
      </c>
      <c r="O632" s="322"/>
      <c r="P632" s="185"/>
      <c r="Q632" s="430"/>
      <c r="R632" s="616" t="s">
        <v>2252</v>
      </c>
      <c r="S632" s="616" t="s">
        <v>1259</v>
      </c>
      <c r="AA632" s="1486"/>
    </row>
    <row r="633" spans="6:27" ht="10.5" customHeight="1">
      <c r="F633" s="368"/>
      <c r="G633" s="345"/>
      <c r="H633" s="345"/>
      <c r="I633" s="345"/>
      <c r="J633" s="345"/>
      <c r="K633" s="345"/>
      <c r="L633" s="345"/>
      <c r="M633" s="345"/>
      <c r="N633" s="744" t="s">
        <v>2077</v>
      </c>
      <c r="O633" s="322"/>
      <c r="P633" s="185"/>
      <c r="Q633" s="430"/>
      <c r="R633" s="746" t="s">
        <v>1682</v>
      </c>
      <c r="S633" s="746" t="s">
        <v>693</v>
      </c>
      <c r="AA633" s="1486"/>
    </row>
    <row r="634" spans="6:27" ht="10.5" customHeight="1">
      <c r="F634" s="368"/>
      <c r="G634" s="345"/>
      <c r="H634" s="345"/>
      <c r="I634" s="345"/>
      <c r="J634" s="345"/>
      <c r="K634" s="345"/>
      <c r="L634" s="345"/>
      <c r="M634" s="345"/>
      <c r="N634" s="744" t="s">
        <v>771</v>
      </c>
      <c r="O634" s="322"/>
      <c r="P634" s="185"/>
      <c r="Q634" s="430"/>
      <c r="R634" s="616" t="s">
        <v>871</v>
      </c>
      <c r="S634" s="616" t="s">
        <v>1369</v>
      </c>
      <c r="AA634" s="1487"/>
    </row>
    <row r="635" spans="6:27" ht="10.5" customHeight="1">
      <c r="F635" s="368"/>
      <c r="G635" s="345"/>
      <c r="H635" s="345"/>
      <c r="I635" s="345"/>
      <c r="J635" s="345"/>
      <c r="K635" s="345"/>
      <c r="L635" s="345"/>
      <c r="M635" s="345"/>
      <c r="N635" s="744" t="s">
        <v>1320</v>
      </c>
      <c r="O635" s="322"/>
      <c r="P635" s="185"/>
      <c r="Q635" s="430"/>
      <c r="R635" s="616" t="s">
        <v>1685</v>
      </c>
      <c r="S635" s="616" t="s">
        <v>2684</v>
      </c>
      <c r="AA635" s="1486"/>
    </row>
    <row r="636" spans="6:27" ht="10.5" customHeight="1">
      <c r="F636" s="368"/>
      <c r="G636" s="345"/>
      <c r="H636" s="345"/>
      <c r="I636" s="345"/>
      <c r="J636" s="345"/>
      <c r="K636" s="345"/>
      <c r="L636" s="345"/>
      <c r="M636" s="345"/>
      <c r="N636" s="744" t="s">
        <v>1966</v>
      </c>
      <c r="O636" s="322"/>
      <c r="P636" s="185"/>
      <c r="Q636" s="430"/>
      <c r="R636" s="616" t="s">
        <v>1688</v>
      </c>
      <c r="S636" s="616" t="s">
        <v>1702</v>
      </c>
      <c r="AA636" s="1486"/>
    </row>
    <row r="637" spans="6:27" ht="10.5" customHeight="1">
      <c r="F637" s="368"/>
      <c r="G637" s="345"/>
      <c r="H637" s="345"/>
      <c r="I637" s="345"/>
      <c r="J637" s="345"/>
      <c r="K637" s="345"/>
      <c r="L637" s="345"/>
      <c r="M637" s="345"/>
      <c r="N637" s="744" t="s">
        <v>1967</v>
      </c>
      <c r="O637" s="322"/>
      <c r="P637" s="185"/>
      <c r="Q637" s="430"/>
      <c r="R637" s="616" t="s">
        <v>1116</v>
      </c>
      <c r="S637" s="616" t="s">
        <v>1586</v>
      </c>
      <c r="AA637" s="1486"/>
    </row>
    <row r="638" spans="6:27" ht="10.5" customHeight="1">
      <c r="F638" s="368"/>
      <c r="G638" s="345"/>
      <c r="H638" s="345"/>
      <c r="I638" s="345"/>
      <c r="J638" s="345"/>
      <c r="K638" s="345"/>
      <c r="L638" s="345"/>
      <c r="M638" s="345"/>
      <c r="N638" s="744" t="s">
        <v>1969</v>
      </c>
      <c r="O638" s="322"/>
      <c r="P638" s="185"/>
      <c r="Q638" s="430"/>
      <c r="R638" s="616" t="s">
        <v>2512</v>
      </c>
      <c r="S638" s="616" t="s">
        <v>108</v>
      </c>
      <c r="AA638" s="1486"/>
    </row>
    <row r="639" spans="6:27" ht="10.5" customHeight="1">
      <c r="F639" s="368"/>
      <c r="G639" s="345"/>
      <c r="H639" s="345"/>
      <c r="I639" s="345"/>
      <c r="J639" s="345"/>
      <c r="K639" s="345"/>
      <c r="L639" s="345"/>
      <c r="M639" s="345"/>
      <c r="N639" s="744" t="s">
        <v>1971</v>
      </c>
      <c r="O639" s="322"/>
      <c r="P639" s="185"/>
      <c r="Q639" s="430"/>
      <c r="R639" s="616" t="s">
        <v>854</v>
      </c>
      <c r="S639" s="616" t="s">
        <v>1259</v>
      </c>
      <c r="AA639" s="1486"/>
    </row>
    <row r="640" spans="6:27" ht="10.5" customHeight="1">
      <c r="F640" s="368"/>
      <c r="G640" s="345"/>
      <c r="H640" s="345"/>
      <c r="I640" s="345"/>
      <c r="J640" s="345"/>
      <c r="K640" s="345"/>
      <c r="L640" s="345"/>
      <c r="M640" s="345"/>
      <c r="N640" s="744" t="s">
        <v>1973</v>
      </c>
      <c r="O640" s="322"/>
      <c r="P640" s="185"/>
      <c r="Q640" s="430"/>
      <c r="R640" s="616" t="s">
        <v>1359</v>
      </c>
      <c r="S640" s="616" t="s">
        <v>1993</v>
      </c>
      <c r="AA640" s="1486"/>
    </row>
    <row r="641" spans="6:27" ht="10.5" customHeight="1">
      <c r="F641" s="368"/>
      <c r="G641" s="345"/>
      <c r="H641" s="345"/>
      <c r="I641" s="345"/>
      <c r="J641" s="345"/>
      <c r="K641" s="345"/>
      <c r="L641" s="345"/>
      <c r="M641" s="345"/>
      <c r="N641" s="744" t="s">
        <v>525</v>
      </c>
      <c r="O641" s="322"/>
      <c r="P641" s="185"/>
      <c r="Q641" s="430"/>
      <c r="R641" s="616" t="s">
        <v>174</v>
      </c>
      <c r="S641" s="616" t="s">
        <v>1385</v>
      </c>
      <c r="AA641" s="1486"/>
    </row>
    <row r="642" spans="6:27" ht="10.5" customHeight="1">
      <c r="F642" s="368"/>
      <c r="G642" s="345"/>
      <c r="H642" s="345"/>
      <c r="I642" s="345"/>
      <c r="J642" s="345"/>
      <c r="K642" s="345"/>
      <c r="L642" s="345"/>
      <c r="M642" s="345"/>
      <c r="N642" s="744" t="s">
        <v>2635</v>
      </c>
      <c r="O642" s="322"/>
      <c r="P642" s="185"/>
      <c r="Q642" s="430"/>
      <c r="R642" s="616" t="s">
        <v>1033</v>
      </c>
      <c r="S642" s="616" t="s">
        <v>1734</v>
      </c>
      <c r="AA642" s="1486"/>
    </row>
    <row r="643" spans="6:27" ht="10.5" customHeight="1">
      <c r="F643" s="368"/>
      <c r="G643" s="345"/>
      <c r="H643" s="345"/>
      <c r="I643" s="345"/>
      <c r="J643" s="345"/>
      <c r="K643" s="345"/>
      <c r="L643" s="345"/>
      <c r="M643" s="345"/>
      <c r="N643" s="744" t="s">
        <v>2637</v>
      </c>
      <c r="O643" s="322"/>
      <c r="P643" s="185"/>
      <c r="Q643" s="430"/>
      <c r="R643" s="616" t="s">
        <v>3149</v>
      </c>
      <c r="S643" s="616" t="s">
        <v>340</v>
      </c>
      <c r="AA643" s="1486"/>
    </row>
    <row r="644" spans="6:27" ht="10.5" customHeight="1">
      <c r="F644" s="368"/>
      <c r="G644" s="345"/>
      <c r="H644" s="345"/>
      <c r="I644" s="345"/>
      <c r="J644" s="345"/>
      <c r="K644" s="345"/>
      <c r="L644" s="345"/>
      <c r="M644" s="345"/>
      <c r="N644" s="744" t="s">
        <v>1203</v>
      </c>
      <c r="O644" s="322"/>
      <c r="P644" s="185"/>
      <c r="Q644" s="430"/>
      <c r="R644" s="746" t="s">
        <v>3150</v>
      </c>
      <c r="S644" s="746" t="s">
        <v>116</v>
      </c>
      <c r="AA644" s="1486"/>
    </row>
    <row r="645" spans="6:27" ht="10.5" customHeight="1">
      <c r="F645" s="368"/>
      <c r="G645" s="345"/>
      <c r="H645" s="345"/>
      <c r="I645" s="345"/>
      <c r="J645" s="345"/>
      <c r="K645" s="345"/>
      <c r="L645" s="345"/>
      <c r="M645" s="345"/>
      <c r="N645" s="744" t="s">
        <v>2615</v>
      </c>
      <c r="O645" s="322"/>
      <c r="P645" s="185"/>
      <c r="Q645" s="430"/>
      <c r="R645" s="616" t="s">
        <v>1382</v>
      </c>
      <c r="S645" s="616" t="s">
        <v>165</v>
      </c>
      <c r="AA645" s="1487"/>
    </row>
    <row r="646" spans="6:27" ht="10.5" customHeight="1">
      <c r="F646" s="368"/>
      <c r="G646" s="345"/>
      <c r="H646" s="345"/>
      <c r="I646" s="345"/>
      <c r="J646" s="345"/>
      <c r="K646" s="345"/>
      <c r="L646" s="345"/>
      <c r="M646" s="345"/>
      <c r="N646" s="744" t="s">
        <v>2617</v>
      </c>
      <c r="O646" s="322"/>
      <c r="P646" s="185"/>
      <c r="Q646" s="430"/>
      <c r="R646" s="616" t="s">
        <v>2626</v>
      </c>
      <c r="S646" s="616" t="s">
        <v>911</v>
      </c>
      <c r="AA646" s="1486"/>
    </row>
    <row r="647" spans="6:27" ht="10.5" customHeight="1">
      <c r="F647" s="368"/>
      <c r="G647" s="345"/>
      <c r="H647" s="345"/>
      <c r="I647" s="345"/>
      <c r="J647" s="345"/>
      <c r="K647" s="345"/>
      <c r="L647" s="345"/>
      <c r="M647" s="345"/>
      <c r="N647" s="744" t="s">
        <v>1597</v>
      </c>
      <c r="O647" s="322"/>
      <c r="P647" s="185"/>
      <c r="Q647" s="430"/>
      <c r="R647" s="616" t="s">
        <v>1117</v>
      </c>
      <c r="S647" s="616" t="s">
        <v>658</v>
      </c>
      <c r="AA647" s="1486"/>
    </row>
    <row r="648" spans="6:27" ht="10.5" customHeight="1">
      <c r="F648" s="368"/>
      <c r="G648" s="345"/>
      <c r="H648" s="345"/>
      <c r="I648" s="345"/>
      <c r="J648" s="345"/>
      <c r="K648" s="345"/>
      <c r="L648" s="345"/>
      <c r="M648" s="345"/>
      <c r="N648" s="744" t="s">
        <v>1598</v>
      </c>
      <c r="O648" s="322"/>
      <c r="P648" s="185"/>
      <c r="Q648" s="430"/>
      <c r="R648" s="616" t="s">
        <v>2257</v>
      </c>
      <c r="S648" s="616" t="s">
        <v>110</v>
      </c>
      <c r="AA648" s="1486"/>
    </row>
    <row r="649" spans="6:27" ht="10.5" customHeight="1">
      <c r="F649" s="368"/>
      <c r="G649" s="345"/>
      <c r="H649" s="345"/>
      <c r="I649" s="345"/>
      <c r="J649" s="345"/>
      <c r="K649" s="345"/>
      <c r="L649" s="345"/>
      <c r="M649" s="345"/>
      <c r="N649" s="744" t="s">
        <v>2188</v>
      </c>
      <c r="O649" s="322"/>
      <c r="P649" s="185"/>
      <c r="Q649" s="430"/>
      <c r="R649" s="616" t="s">
        <v>2989</v>
      </c>
      <c r="S649" s="616" t="s">
        <v>1676</v>
      </c>
      <c r="AA649" s="1486"/>
    </row>
    <row r="650" spans="6:27" ht="10.5" customHeight="1">
      <c r="F650" s="368"/>
      <c r="G650" s="345"/>
      <c r="H650" s="345"/>
      <c r="I650" s="345"/>
      <c r="J650" s="345"/>
      <c r="K650" s="345"/>
      <c r="L650" s="345"/>
      <c r="M650" s="345"/>
      <c r="N650" s="744" t="s">
        <v>2189</v>
      </c>
      <c r="O650" s="322"/>
      <c r="P650" s="185"/>
      <c r="Q650" s="430"/>
      <c r="R650" s="616" t="s">
        <v>1534</v>
      </c>
      <c r="S650" s="616" t="s">
        <v>2631</v>
      </c>
      <c r="AA650" s="1486"/>
    </row>
    <row r="651" spans="6:27" ht="10.5" customHeight="1">
      <c r="F651" s="368"/>
      <c r="G651" s="345"/>
      <c r="H651" s="345"/>
      <c r="I651" s="345"/>
      <c r="J651" s="345"/>
      <c r="K651" s="345"/>
      <c r="L651" s="345"/>
      <c r="M651" s="345"/>
      <c r="N651" s="744" t="s">
        <v>1690</v>
      </c>
      <c r="O651" s="322"/>
      <c r="P651" s="185"/>
      <c r="Q651" s="430"/>
      <c r="R651" s="616" t="s">
        <v>3151</v>
      </c>
      <c r="S651" s="616" t="s">
        <v>2035</v>
      </c>
      <c r="AA651" s="1486"/>
    </row>
    <row r="652" spans="6:27" ht="10.5" customHeight="1">
      <c r="F652" s="368"/>
      <c r="G652" s="345"/>
      <c r="H652" s="345"/>
      <c r="I652" s="345"/>
      <c r="J652" s="345"/>
      <c r="K652" s="345"/>
      <c r="L652" s="345"/>
      <c r="M652" s="345"/>
      <c r="N652" s="744" t="s">
        <v>1692</v>
      </c>
      <c r="O652" s="322"/>
      <c r="P652" s="185"/>
      <c r="Q652" s="430"/>
      <c r="R652" s="616" t="s">
        <v>1536</v>
      </c>
      <c r="S652" s="616" t="s">
        <v>339</v>
      </c>
      <c r="AA652" s="1486"/>
    </row>
    <row r="653" spans="6:27" ht="10.5" customHeight="1">
      <c r="F653" s="368"/>
      <c r="G653" s="345"/>
      <c r="H653" s="345"/>
      <c r="I653" s="345"/>
      <c r="J653" s="345"/>
      <c r="K653" s="345"/>
      <c r="L653" s="345"/>
      <c r="M653" s="345"/>
      <c r="N653" s="744" t="s">
        <v>976</v>
      </c>
      <c r="O653" s="322"/>
      <c r="P653" s="185"/>
      <c r="Q653" s="430"/>
      <c r="R653" s="616" t="s">
        <v>1118</v>
      </c>
      <c r="S653" s="616" t="s">
        <v>691</v>
      </c>
      <c r="AA653" s="1486"/>
    </row>
    <row r="654" spans="6:27" ht="10.5" customHeight="1">
      <c r="F654" s="368"/>
      <c r="G654" s="345"/>
      <c r="H654" s="345"/>
      <c r="I654" s="345"/>
      <c r="J654" s="345"/>
      <c r="K654" s="345"/>
      <c r="L654" s="345"/>
      <c r="M654" s="345"/>
      <c r="N654" s="744" t="s">
        <v>978</v>
      </c>
      <c r="O654" s="322"/>
      <c r="P654" s="185"/>
      <c r="Q654" s="430"/>
      <c r="R654" s="616" t="s">
        <v>1362</v>
      </c>
      <c r="S654" s="616" t="s">
        <v>2270</v>
      </c>
      <c r="AA654" s="1486"/>
    </row>
    <row r="655" spans="6:27" ht="10.5" customHeight="1">
      <c r="F655" s="368"/>
      <c r="G655" s="345"/>
      <c r="H655" s="345"/>
      <c r="I655" s="345"/>
      <c r="J655" s="345"/>
      <c r="K655" s="345"/>
      <c r="L655" s="345"/>
      <c r="M655" s="345"/>
      <c r="N655" s="744" t="s">
        <v>980</v>
      </c>
      <c r="O655" s="322"/>
      <c r="P655" s="185"/>
      <c r="Q655" s="430"/>
      <c r="R655" s="616" t="s">
        <v>1364</v>
      </c>
      <c r="S655" s="616" t="s">
        <v>2631</v>
      </c>
      <c r="AA655" s="1486"/>
    </row>
    <row r="656" spans="6:27" ht="10.5" customHeight="1">
      <c r="F656" s="368"/>
      <c r="G656" s="345"/>
      <c r="H656" s="345"/>
      <c r="I656" s="345"/>
      <c r="J656" s="345"/>
      <c r="K656" s="345"/>
      <c r="L656" s="345"/>
      <c r="M656" s="345"/>
      <c r="N656" s="744" t="s">
        <v>2599</v>
      </c>
      <c r="O656" s="322"/>
      <c r="P656" s="185"/>
      <c r="Q656" s="430"/>
      <c r="R656" s="746" t="s">
        <v>2078</v>
      </c>
      <c r="S656" s="746" t="s">
        <v>1152</v>
      </c>
      <c r="AA656" s="1486"/>
    </row>
    <row r="657" spans="6:27" ht="10.5" customHeight="1">
      <c r="F657" s="368"/>
      <c r="G657" s="345"/>
      <c r="H657" s="345"/>
      <c r="I657" s="345"/>
      <c r="J657" s="345"/>
      <c r="K657" s="345"/>
      <c r="L657" s="345"/>
      <c r="M657" s="345"/>
      <c r="N657" s="744" t="s">
        <v>2601</v>
      </c>
      <c r="O657" s="322"/>
      <c r="P657" s="185"/>
      <c r="Q657" s="430"/>
      <c r="R657" s="746" t="s">
        <v>772</v>
      </c>
      <c r="S657" s="746" t="s">
        <v>329</v>
      </c>
      <c r="AA657" s="1487"/>
    </row>
    <row r="658" spans="6:27" ht="10.5" customHeight="1">
      <c r="F658" s="368"/>
      <c r="G658" s="345"/>
      <c r="H658" s="345"/>
      <c r="I658" s="345"/>
      <c r="J658" s="345"/>
      <c r="K658" s="345"/>
      <c r="L658" s="345"/>
      <c r="M658" s="345"/>
      <c r="N658" s="744" t="s">
        <v>2602</v>
      </c>
      <c r="O658" s="322"/>
      <c r="P658" s="185"/>
      <c r="Q658" s="430"/>
      <c r="R658" s="616" t="s">
        <v>1321</v>
      </c>
      <c r="S658" s="616" t="s">
        <v>704</v>
      </c>
      <c r="AA658" s="1487"/>
    </row>
    <row r="659" spans="6:27" ht="10.5" customHeight="1">
      <c r="F659" s="368"/>
      <c r="G659" s="345"/>
      <c r="H659" s="345"/>
      <c r="I659" s="345"/>
      <c r="J659" s="345"/>
      <c r="K659" s="345"/>
      <c r="L659" s="345"/>
      <c r="M659" s="345"/>
      <c r="N659" s="744" t="s">
        <v>1985</v>
      </c>
      <c r="O659" s="322"/>
      <c r="P659" s="185"/>
      <c r="Q659" s="430"/>
      <c r="R659" s="616" t="s">
        <v>1119</v>
      </c>
      <c r="S659" s="616" t="s">
        <v>165</v>
      </c>
      <c r="AA659" s="1486"/>
    </row>
    <row r="660" spans="6:27" ht="10.5" customHeight="1">
      <c r="F660" s="368"/>
      <c r="G660" s="345"/>
      <c r="H660" s="345"/>
      <c r="I660" s="345"/>
      <c r="J660" s="345"/>
      <c r="K660" s="345"/>
      <c r="L660" s="345"/>
      <c r="M660" s="345"/>
      <c r="N660" s="744" t="s">
        <v>1986</v>
      </c>
      <c r="O660" s="322"/>
      <c r="P660" s="185"/>
      <c r="Q660" s="430"/>
      <c r="R660" s="616" t="s">
        <v>1968</v>
      </c>
      <c r="S660" s="616" t="s">
        <v>1150</v>
      </c>
      <c r="AA660" s="1486"/>
    </row>
    <row r="661" spans="6:27" ht="10.5" customHeight="1">
      <c r="F661" s="368"/>
      <c r="G661" s="345"/>
      <c r="H661" s="345"/>
      <c r="I661" s="345"/>
      <c r="J661" s="345"/>
      <c r="K661" s="345"/>
      <c r="L661" s="345"/>
      <c r="M661" s="345"/>
      <c r="N661" s="744" t="s">
        <v>1988</v>
      </c>
      <c r="O661" s="322"/>
      <c r="P661" s="185"/>
      <c r="Q661" s="430"/>
      <c r="R661" s="616" t="s">
        <v>1970</v>
      </c>
      <c r="S661" s="616" t="s">
        <v>1519</v>
      </c>
      <c r="AA661" s="1486"/>
    </row>
    <row r="662" spans="6:27" ht="10.5" customHeight="1">
      <c r="F662" s="368"/>
      <c r="G662" s="345"/>
      <c r="H662" s="345"/>
      <c r="I662" s="345"/>
      <c r="J662" s="345"/>
      <c r="K662" s="345"/>
      <c r="L662" s="345"/>
      <c r="M662" s="345"/>
      <c r="N662" s="744" t="s">
        <v>674</v>
      </c>
      <c r="O662" s="322"/>
      <c r="P662" s="185"/>
      <c r="Q662" s="430"/>
      <c r="R662" s="616" t="s">
        <v>1972</v>
      </c>
      <c r="S662" s="616" t="s">
        <v>2584</v>
      </c>
      <c r="AA662" s="1486"/>
    </row>
    <row r="663" spans="6:27" ht="10.5" customHeight="1">
      <c r="F663" s="368"/>
      <c r="G663" s="345"/>
      <c r="H663" s="345"/>
      <c r="I663" s="345"/>
      <c r="J663" s="345"/>
      <c r="K663" s="345"/>
      <c r="L663" s="345"/>
      <c r="M663" s="345"/>
      <c r="N663" s="744" t="s">
        <v>676</v>
      </c>
      <c r="O663" s="322"/>
      <c r="P663" s="185"/>
      <c r="Q663" s="430"/>
      <c r="R663" s="616" t="s">
        <v>1974</v>
      </c>
      <c r="S663" s="616" t="s">
        <v>123</v>
      </c>
      <c r="AA663" s="1486"/>
    </row>
    <row r="664" spans="6:27" ht="10.5" customHeight="1">
      <c r="F664" s="368"/>
      <c r="G664" s="345"/>
      <c r="H664" s="345"/>
      <c r="I664" s="345"/>
      <c r="J664" s="345"/>
      <c r="K664" s="345"/>
      <c r="L664" s="345"/>
      <c r="M664" s="345"/>
      <c r="N664" s="744" t="s">
        <v>677</v>
      </c>
      <c r="O664" s="322"/>
      <c r="P664" s="185"/>
      <c r="Q664" s="430"/>
      <c r="R664" s="616" t="s">
        <v>526</v>
      </c>
      <c r="S664" s="616" t="s">
        <v>2094</v>
      </c>
      <c r="AA664" s="1486"/>
    </row>
    <row r="665" spans="6:27" ht="10.5" customHeight="1">
      <c r="F665" s="368"/>
      <c r="G665" s="345"/>
      <c r="H665" s="345"/>
      <c r="I665" s="345"/>
      <c r="J665" s="345"/>
      <c r="K665" s="345"/>
      <c r="L665" s="345"/>
      <c r="M665" s="345"/>
      <c r="N665" s="744" t="s">
        <v>2399</v>
      </c>
      <c r="O665" s="322"/>
      <c r="P665" s="185"/>
      <c r="Q665" s="430"/>
      <c r="R665" s="616" t="s">
        <v>2636</v>
      </c>
      <c r="S665" s="616" t="s">
        <v>1997</v>
      </c>
      <c r="AA665" s="1486"/>
    </row>
    <row r="666" spans="6:27" ht="10.5" customHeight="1">
      <c r="F666" s="368"/>
      <c r="G666" s="345"/>
      <c r="H666" s="345"/>
      <c r="I666" s="345"/>
      <c r="J666" s="345"/>
      <c r="K666" s="345"/>
      <c r="L666" s="345"/>
      <c r="M666" s="345"/>
      <c r="N666" s="744" t="s">
        <v>73</v>
      </c>
      <c r="O666" s="322"/>
      <c r="P666" s="185"/>
      <c r="Q666" s="430"/>
      <c r="R666" s="616" t="s">
        <v>2638</v>
      </c>
      <c r="S666" s="616" t="s">
        <v>2629</v>
      </c>
      <c r="AA666" s="1486"/>
    </row>
    <row r="667" spans="6:27" ht="10.5" customHeight="1">
      <c r="F667" s="368"/>
      <c r="G667" s="345"/>
      <c r="H667" s="345"/>
      <c r="I667" s="345"/>
      <c r="J667" s="345"/>
      <c r="K667" s="345"/>
      <c r="L667" s="345"/>
      <c r="M667" s="345"/>
      <c r="N667" s="744" t="s">
        <v>1475</v>
      </c>
      <c r="O667" s="322"/>
      <c r="P667" s="185"/>
      <c r="Q667" s="430"/>
      <c r="R667" s="616" t="s">
        <v>1204</v>
      </c>
      <c r="S667" s="616" t="s">
        <v>326</v>
      </c>
      <c r="AA667" s="1486"/>
    </row>
    <row r="668" spans="6:27" ht="10.5" customHeight="1">
      <c r="F668" s="368"/>
      <c r="G668" s="345"/>
      <c r="H668" s="345"/>
      <c r="I668" s="345"/>
      <c r="J668" s="345"/>
      <c r="K668" s="345"/>
      <c r="L668" s="345"/>
      <c r="M668" s="345"/>
      <c r="N668" s="744" t="s">
        <v>2348</v>
      </c>
      <c r="O668" s="322"/>
      <c r="P668" s="185"/>
      <c r="Q668" s="430"/>
      <c r="R668" s="616" t="s">
        <v>2616</v>
      </c>
      <c r="S668" s="616" t="s">
        <v>917</v>
      </c>
      <c r="AA668" s="1486"/>
    </row>
    <row r="669" spans="6:27" ht="10.5" customHeight="1">
      <c r="F669" s="368"/>
      <c r="G669" s="345"/>
      <c r="H669" s="345"/>
      <c r="I669" s="345"/>
      <c r="J669" s="345"/>
      <c r="K669" s="345"/>
      <c r="L669" s="345"/>
      <c r="M669" s="345"/>
      <c r="N669" s="744" t="s">
        <v>2350</v>
      </c>
      <c r="O669" s="322"/>
      <c r="P669" s="185"/>
      <c r="Q669" s="430"/>
      <c r="R669" s="616" t="s">
        <v>855</v>
      </c>
      <c r="S669" s="616" t="s">
        <v>1390</v>
      </c>
      <c r="AA669" s="1486"/>
    </row>
    <row r="670" spans="6:27" ht="10.5" customHeight="1">
      <c r="F670" s="368"/>
      <c r="G670" s="345"/>
      <c r="H670" s="345"/>
      <c r="I670" s="345"/>
      <c r="J670" s="345"/>
      <c r="K670" s="345"/>
      <c r="L670" s="345"/>
      <c r="M670" s="345"/>
      <c r="N670" s="744" t="s">
        <v>1881</v>
      </c>
      <c r="O670" s="322"/>
      <c r="P670" s="185"/>
      <c r="Q670" s="430"/>
      <c r="R670" s="616" t="s">
        <v>1115</v>
      </c>
      <c r="S670" s="616" t="s">
        <v>699</v>
      </c>
      <c r="AA670" s="1486"/>
    </row>
    <row r="671" spans="6:27" ht="10.5" customHeight="1">
      <c r="F671" s="368"/>
      <c r="G671" s="345"/>
      <c r="H671" s="345"/>
      <c r="I671" s="345"/>
      <c r="J671" s="345"/>
      <c r="K671" s="345"/>
      <c r="L671" s="345"/>
      <c r="M671" s="345"/>
      <c r="N671" s="744" t="s">
        <v>1162</v>
      </c>
      <c r="O671" s="322"/>
      <c r="P671" s="185"/>
      <c r="Q671" s="430"/>
      <c r="R671" s="616" t="s">
        <v>1599</v>
      </c>
      <c r="S671" s="616" t="s">
        <v>342</v>
      </c>
      <c r="AA671" s="1486"/>
    </row>
    <row r="672" spans="6:27" ht="10.5" customHeight="1">
      <c r="F672" s="368"/>
      <c r="G672" s="345"/>
      <c r="H672" s="345"/>
      <c r="I672" s="345"/>
      <c r="J672" s="345"/>
      <c r="K672" s="345"/>
      <c r="L672" s="345"/>
      <c r="M672" s="345"/>
      <c r="N672" s="744" t="s">
        <v>2135</v>
      </c>
      <c r="O672" s="322"/>
      <c r="P672" s="185"/>
      <c r="Q672" s="430"/>
      <c r="R672" s="616" t="s">
        <v>3152</v>
      </c>
      <c r="S672" s="616" t="s">
        <v>916</v>
      </c>
      <c r="AA672" s="1486"/>
    </row>
    <row r="673" spans="6:27" ht="10.5" customHeight="1">
      <c r="F673" s="368"/>
      <c r="G673" s="345"/>
      <c r="H673" s="345"/>
      <c r="I673" s="345"/>
      <c r="J673" s="345"/>
      <c r="K673" s="345"/>
      <c r="L673" s="345"/>
      <c r="M673" s="345"/>
      <c r="N673" s="744" t="s">
        <v>2053</v>
      </c>
      <c r="O673" s="322"/>
      <c r="P673" s="185"/>
      <c r="Q673" s="430"/>
      <c r="R673" s="616" t="s">
        <v>2190</v>
      </c>
      <c r="S673" s="616" t="s">
        <v>1383</v>
      </c>
      <c r="AA673" s="1486"/>
    </row>
    <row r="674" spans="6:27" ht="10.5" customHeight="1">
      <c r="F674" s="368"/>
      <c r="G674" s="345"/>
      <c r="H674" s="345"/>
      <c r="I674" s="345"/>
      <c r="J674" s="345"/>
      <c r="K674" s="345"/>
      <c r="L674" s="345"/>
      <c r="M674" s="345"/>
      <c r="N674" s="744" t="s">
        <v>2055</v>
      </c>
      <c r="O674" s="322"/>
      <c r="P674" s="185"/>
      <c r="Q674" s="430"/>
      <c r="R674" s="616" t="s">
        <v>1691</v>
      </c>
      <c r="S674" s="616" t="s">
        <v>1369</v>
      </c>
      <c r="AA674" s="1486"/>
    </row>
    <row r="675" spans="6:27" ht="10.5" customHeight="1">
      <c r="F675" s="368"/>
      <c r="G675" s="345"/>
      <c r="H675" s="345"/>
      <c r="I675" s="345"/>
      <c r="J675" s="345"/>
      <c r="K675" s="345"/>
      <c r="L675" s="345"/>
      <c r="M675" s="345"/>
      <c r="N675" s="744" t="s">
        <v>2057</v>
      </c>
      <c r="O675" s="322"/>
      <c r="P675" s="185"/>
      <c r="Q675" s="430"/>
      <c r="R675" s="616" t="s">
        <v>977</v>
      </c>
      <c r="S675" s="616" t="s">
        <v>2333</v>
      </c>
      <c r="AA675" s="1486"/>
    </row>
    <row r="676" spans="6:27" ht="10.5" customHeight="1">
      <c r="F676" s="368"/>
      <c r="G676" s="345"/>
      <c r="H676" s="345"/>
      <c r="I676" s="345"/>
      <c r="J676" s="345"/>
      <c r="K676" s="345"/>
      <c r="L676" s="345"/>
      <c r="M676" s="345"/>
      <c r="N676" s="744" t="s">
        <v>518</v>
      </c>
      <c r="O676" s="322"/>
      <c r="P676" s="185"/>
      <c r="Q676" s="430"/>
      <c r="R676" s="616" t="s">
        <v>979</v>
      </c>
      <c r="S676" s="616" t="s">
        <v>333</v>
      </c>
      <c r="AA676" s="1486"/>
    </row>
    <row r="677" spans="6:27" ht="10.5" customHeight="1">
      <c r="F677" s="368"/>
      <c r="G677" s="345"/>
      <c r="H677" s="345"/>
      <c r="I677" s="345"/>
      <c r="J677" s="345"/>
      <c r="K677" s="345"/>
      <c r="L677" s="345"/>
      <c r="M677" s="345"/>
      <c r="N677" s="744" t="s">
        <v>473</v>
      </c>
      <c r="O677" s="322"/>
      <c r="P677" s="185"/>
      <c r="Q677" s="430"/>
      <c r="R677" s="616" t="s">
        <v>2600</v>
      </c>
      <c r="S677" s="616" t="s">
        <v>658</v>
      </c>
      <c r="AA677" s="1486"/>
    </row>
    <row r="678" spans="6:27" ht="10.5" customHeight="1">
      <c r="F678" s="368"/>
      <c r="G678" s="345"/>
      <c r="H678" s="345"/>
      <c r="I678" s="345"/>
      <c r="J678" s="345"/>
      <c r="K678" s="345"/>
      <c r="L678" s="345"/>
      <c r="M678" s="345"/>
      <c r="N678" s="744" t="s">
        <v>2185</v>
      </c>
      <c r="O678" s="322"/>
      <c r="P678" s="185"/>
      <c r="Q678" s="430"/>
      <c r="R678" s="616" t="s">
        <v>1984</v>
      </c>
      <c r="S678" s="616" t="s">
        <v>123</v>
      </c>
      <c r="AA678" s="1486"/>
    </row>
    <row r="679" spans="6:27" ht="10.5" customHeight="1">
      <c r="F679" s="368"/>
      <c r="G679" s="345"/>
      <c r="H679" s="345"/>
      <c r="I679" s="345"/>
      <c r="J679" s="345"/>
      <c r="K679" s="345"/>
      <c r="L679" s="345"/>
      <c r="M679" s="345"/>
      <c r="N679" s="744" t="s">
        <v>2212</v>
      </c>
      <c r="O679" s="322"/>
      <c r="P679" s="185"/>
      <c r="Q679" s="430"/>
      <c r="R679" s="616" t="s">
        <v>1987</v>
      </c>
      <c r="S679" s="616" t="s">
        <v>2333</v>
      </c>
      <c r="AA679" s="1486"/>
    </row>
    <row r="680" spans="6:27" ht="10.5" customHeight="1">
      <c r="F680" s="368"/>
      <c r="G680" s="345"/>
      <c r="H680" s="345"/>
      <c r="I680" s="345"/>
      <c r="J680" s="345"/>
      <c r="K680" s="345"/>
      <c r="L680" s="345"/>
      <c r="M680" s="345"/>
      <c r="N680" s="2862"/>
      <c r="O680" s="2863"/>
      <c r="P680" s="2863"/>
      <c r="Q680" s="2864"/>
      <c r="R680" s="616" t="s">
        <v>1989</v>
      </c>
      <c r="S680" s="616" t="s">
        <v>168</v>
      </c>
      <c r="AA680" s="1486"/>
    </row>
    <row r="681" spans="6:27" ht="10.5" customHeight="1">
      <c r="F681" s="368"/>
      <c r="G681" s="345"/>
      <c r="H681" s="345"/>
      <c r="I681" s="345"/>
      <c r="J681" s="345"/>
      <c r="K681" s="345"/>
      <c r="L681" s="345"/>
      <c r="M681" s="345"/>
      <c r="N681" s="749"/>
      <c r="O681" s="750"/>
      <c r="P681" s="183"/>
      <c r="Q681" s="345"/>
      <c r="R681" s="616" t="s">
        <v>675</v>
      </c>
      <c r="S681" s="616" t="s">
        <v>2497</v>
      </c>
      <c r="AA681" s="1486"/>
    </row>
    <row r="682" spans="6:27" ht="10.5" customHeight="1">
      <c r="F682" s="368"/>
      <c r="G682" s="345"/>
      <c r="H682" s="345"/>
      <c r="I682" s="345"/>
      <c r="J682" s="345"/>
      <c r="K682" s="345"/>
      <c r="L682" s="345"/>
      <c r="M682" s="345"/>
      <c r="N682" s="345"/>
      <c r="O682" s="345"/>
      <c r="P682" s="345"/>
      <c r="Q682" s="345"/>
      <c r="R682" s="616" t="s">
        <v>856</v>
      </c>
      <c r="S682" s="616" t="s">
        <v>2261</v>
      </c>
      <c r="AA682" s="1486"/>
    </row>
    <row r="683" spans="6:27" ht="10.5" customHeight="1">
      <c r="F683" s="368"/>
      <c r="G683" s="345"/>
      <c r="H683" s="345"/>
      <c r="I683" s="345"/>
      <c r="J683" s="345"/>
      <c r="K683" s="750"/>
      <c r="L683" s="183"/>
      <c r="M683" s="345"/>
      <c r="N683" s="345"/>
      <c r="O683" s="345"/>
      <c r="P683" s="345"/>
      <c r="Q683" s="345"/>
      <c r="R683" s="616" t="s">
        <v>1120</v>
      </c>
      <c r="S683" s="616" t="s">
        <v>1995</v>
      </c>
      <c r="AA683" s="1486"/>
    </row>
    <row r="684" spans="6:27" ht="10.5" customHeight="1">
      <c r="F684" s="368"/>
      <c r="G684" s="345"/>
      <c r="H684" s="345"/>
      <c r="I684" s="345"/>
      <c r="J684" s="749"/>
      <c r="K684" s="750"/>
      <c r="L684" s="183"/>
      <c r="M684" s="345"/>
      <c r="N684" s="345"/>
      <c r="O684" s="345"/>
      <c r="P684" s="345"/>
      <c r="Q684" s="345"/>
      <c r="R684" s="616" t="s">
        <v>1121</v>
      </c>
      <c r="S684" s="616" t="s">
        <v>2091</v>
      </c>
      <c r="AA684" s="1486"/>
    </row>
    <row r="685" spans="6:27" ht="10.5" customHeight="1">
      <c r="F685" s="368"/>
      <c r="G685" s="345"/>
      <c r="H685" s="345"/>
      <c r="I685" s="345"/>
      <c r="J685" s="749"/>
      <c r="K685" s="750"/>
      <c r="L685" s="183"/>
      <c r="M685" s="345"/>
      <c r="N685" s="345"/>
      <c r="O685" s="345"/>
      <c r="P685" s="345"/>
      <c r="Q685" s="345"/>
      <c r="R685" s="746" t="s">
        <v>1528</v>
      </c>
      <c r="S685" s="746" t="s">
        <v>1263</v>
      </c>
      <c r="AA685" s="1486"/>
    </row>
    <row r="686" spans="6:27" ht="10.5" customHeight="1">
      <c r="F686" s="368"/>
      <c r="G686" s="345"/>
      <c r="H686" s="345"/>
      <c r="I686" s="345"/>
      <c r="J686" s="749"/>
      <c r="K686" s="750"/>
      <c r="L686" s="183"/>
      <c r="M686" s="345"/>
      <c r="N686" s="345"/>
      <c r="O686" s="345"/>
      <c r="P686" s="345"/>
      <c r="Q686" s="345"/>
      <c r="R686" s="616" t="s">
        <v>2400</v>
      </c>
      <c r="S686" s="616" t="s">
        <v>123</v>
      </c>
      <c r="AA686" s="1487"/>
    </row>
    <row r="687" spans="6:27" ht="10.5" customHeight="1">
      <c r="F687" s="368"/>
      <c r="G687" s="345"/>
      <c r="H687" s="345"/>
      <c r="I687" s="345"/>
      <c r="J687" s="749"/>
      <c r="K687" s="750"/>
      <c r="L687" s="183"/>
      <c r="M687" s="345"/>
      <c r="N687" s="345"/>
      <c r="O687" s="345"/>
      <c r="P687" s="345"/>
      <c r="Q687" s="345"/>
      <c r="R687" s="616" t="s">
        <v>1474</v>
      </c>
      <c r="S687" s="616" t="s">
        <v>2333</v>
      </c>
      <c r="AA687" s="1486"/>
    </row>
    <row r="688" spans="6:27" ht="10.5" customHeight="1">
      <c r="F688" s="368"/>
      <c r="G688" s="345"/>
      <c r="H688" s="345"/>
      <c r="I688" s="345"/>
      <c r="J688" s="749"/>
      <c r="K688" s="750"/>
      <c r="L688" s="183"/>
      <c r="M688" s="345"/>
      <c r="N688" s="345"/>
      <c r="O688" s="345"/>
      <c r="P688" s="345"/>
      <c r="Q688" s="345"/>
      <c r="R688" s="616" t="s">
        <v>2347</v>
      </c>
      <c r="S688" s="616" t="s">
        <v>2001</v>
      </c>
      <c r="AA688" s="1486"/>
    </row>
    <row r="689" spans="6:27" ht="10.5" customHeight="1">
      <c r="F689" s="368"/>
      <c r="G689" s="345"/>
      <c r="H689" s="345"/>
      <c r="I689" s="345"/>
      <c r="J689" s="749"/>
      <c r="K689" s="750"/>
      <c r="L689" s="183"/>
      <c r="M689" s="345"/>
      <c r="N689" s="345"/>
      <c r="O689" s="345"/>
      <c r="P689" s="345"/>
      <c r="Q689" s="345"/>
      <c r="R689" s="616" t="s">
        <v>2349</v>
      </c>
      <c r="S689" s="616" t="s">
        <v>2257</v>
      </c>
      <c r="AA689" s="1486"/>
    </row>
    <row r="690" spans="6:27" ht="10.5" customHeight="1">
      <c r="F690" s="368"/>
      <c r="G690" s="345"/>
      <c r="H690" s="345"/>
      <c r="I690" s="345"/>
      <c r="J690" s="749"/>
      <c r="K690" s="750"/>
      <c r="L690" s="183"/>
      <c r="M690" s="345"/>
      <c r="N690" s="345"/>
      <c r="O690" s="345"/>
      <c r="P690" s="345"/>
      <c r="Q690" s="345"/>
      <c r="R690" s="616" t="s">
        <v>2351</v>
      </c>
      <c r="S690" s="616" t="s">
        <v>2497</v>
      </c>
      <c r="AA690" s="1486"/>
    </row>
    <row r="691" spans="6:27" ht="10.5" customHeight="1">
      <c r="F691" s="368"/>
      <c r="G691" s="345"/>
      <c r="H691" s="345"/>
      <c r="I691" s="345"/>
      <c r="J691" s="749"/>
      <c r="K691" s="750"/>
      <c r="L691" s="183"/>
      <c r="M691" s="345"/>
      <c r="N691" s="345"/>
      <c r="O691" s="345"/>
      <c r="P691" s="345"/>
      <c r="Q691" s="345"/>
      <c r="R691" s="616" t="s">
        <v>3153</v>
      </c>
      <c r="S691" s="616" t="s">
        <v>165</v>
      </c>
      <c r="AA691" s="1486"/>
    </row>
    <row r="692" spans="6:27" ht="10.5" customHeight="1">
      <c r="F692" s="368"/>
      <c r="G692" s="345"/>
      <c r="H692" s="345"/>
      <c r="I692" s="345"/>
      <c r="J692" s="749"/>
      <c r="K692" s="750"/>
      <c r="L692" s="183"/>
      <c r="M692" s="345"/>
      <c r="N692" s="345"/>
      <c r="O692" s="345"/>
      <c r="P692" s="345"/>
      <c r="Q692" s="345"/>
      <c r="R692" s="616" t="s">
        <v>1161</v>
      </c>
      <c r="S692" s="616" t="s">
        <v>2268</v>
      </c>
      <c r="AA692" s="1486"/>
    </row>
    <row r="693" spans="6:27" ht="10.5" customHeight="1">
      <c r="F693" s="368"/>
      <c r="G693" s="345"/>
      <c r="H693" s="345"/>
      <c r="I693" s="345"/>
      <c r="J693" s="749"/>
      <c r="K693" s="750"/>
      <c r="L693" s="183"/>
      <c r="M693" s="345"/>
      <c r="N693" s="345"/>
      <c r="O693" s="345"/>
      <c r="P693" s="345"/>
      <c r="Q693" s="345"/>
      <c r="R693" s="616" t="s">
        <v>1163</v>
      </c>
      <c r="S693" s="616" t="s">
        <v>1138</v>
      </c>
      <c r="AA693" s="1486"/>
    </row>
    <row r="694" spans="6:27" ht="10.5" customHeight="1">
      <c r="F694" s="368"/>
      <c r="G694" s="345"/>
      <c r="H694" s="345"/>
      <c r="I694" s="345"/>
      <c r="J694" s="749"/>
      <c r="K694" s="750"/>
      <c r="L694" s="183"/>
      <c r="M694" s="345"/>
      <c r="N694" s="345"/>
      <c r="O694" s="345"/>
      <c r="P694" s="345"/>
      <c r="Q694" s="345"/>
      <c r="R694" s="616" t="s">
        <v>2136</v>
      </c>
      <c r="S694" s="616" t="s">
        <v>328</v>
      </c>
      <c r="AA694" s="1486"/>
    </row>
    <row r="695" spans="6:27" ht="10.5" customHeight="1">
      <c r="F695" s="368"/>
      <c r="G695" s="345"/>
      <c r="H695" s="345"/>
      <c r="I695" s="345"/>
      <c r="J695" s="749"/>
      <c r="K695" s="750"/>
      <c r="L695" s="183"/>
      <c r="M695" s="345"/>
      <c r="N695" s="345"/>
      <c r="O695" s="345"/>
      <c r="P695" s="345"/>
      <c r="Q695" s="345"/>
      <c r="R695" s="746" t="s">
        <v>2054</v>
      </c>
      <c r="S695" s="746" t="s">
        <v>124</v>
      </c>
      <c r="AA695" s="1486"/>
    </row>
    <row r="696" spans="6:27" ht="10.5" customHeight="1">
      <c r="F696" s="368"/>
      <c r="G696" s="345"/>
      <c r="H696" s="345"/>
      <c r="I696" s="345"/>
      <c r="J696" s="749"/>
      <c r="K696" s="750"/>
      <c r="L696" s="183"/>
      <c r="M696" s="345"/>
      <c r="N696" s="345"/>
      <c r="O696" s="345"/>
      <c r="P696" s="345"/>
      <c r="Q696" s="345"/>
      <c r="R696" s="616" t="s">
        <v>2056</v>
      </c>
      <c r="S696" s="616" t="s">
        <v>337</v>
      </c>
      <c r="AA696" s="1487"/>
    </row>
    <row r="697" spans="6:27" ht="10.5" customHeight="1">
      <c r="F697" s="368"/>
      <c r="G697" s="345"/>
      <c r="H697" s="345"/>
      <c r="I697" s="345"/>
      <c r="J697" s="749"/>
      <c r="K697" s="750"/>
      <c r="L697" s="183"/>
      <c r="M697" s="345"/>
      <c r="N697" s="345"/>
      <c r="O697" s="345"/>
      <c r="P697" s="345"/>
      <c r="Q697" s="345"/>
      <c r="R697" s="616" t="s">
        <v>2058</v>
      </c>
      <c r="S697" s="616" t="s">
        <v>190</v>
      </c>
      <c r="AA697" s="1486"/>
    </row>
    <row r="698" spans="6:27" ht="10.5" customHeight="1">
      <c r="F698" s="368"/>
      <c r="G698" s="345"/>
      <c r="H698" s="345"/>
      <c r="I698" s="345"/>
      <c r="J698" s="749"/>
      <c r="K698" s="750"/>
      <c r="L698" s="183"/>
      <c r="M698" s="345"/>
      <c r="N698" s="345"/>
      <c r="O698" s="345"/>
      <c r="P698" s="345"/>
      <c r="Q698" s="345"/>
      <c r="R698" s="616" t="s">
        <v>3154</v>
      </c>
      <c r="S698" s="616" t="s">
        <v>1995</v>
      </c>
      <c r="AA698" s="1486"/>
    </row>
    <row r="699" spans="6:27" ht="10.5" customHeight="1">
      <c r="F699" s="368"/>
      <c r="G699" s="345"/>
      <c r="H699" s="345"/>
      <c r="I699" s="345"/>
      <c r="J699" s="749"/>
      <c r="K699" s="750"/>
      <c r="L699" s="183"/>
      <c r="M699" s="345"/>
      <c r="N699" s="345"/>
      <c r="O699" s="345"/>
      <c r="P699" s="345"/>
      <c r="Q699" s="345"/>
      <c r="R699" s="616" t="s">
        <v>474</v>
      </c>
      <c r="S699" s="616" t="s">
        <v>1370</v>
      </c>
      <c r="AA699" s="1486"/>
    </row>
    <row r="700" spans="6:27" ht="10.5" customHeight="1">
      <c r="F700" s="368"/>
      <c r="G700" s="345"/>
      <c r="H700" s="345"/>
      <c r="I700" s="345"/>
      <c r="J700" s="749"/>
      <c r="K700" s="750"/>
      <c r="L700" s="183"/>
      <c r="M700" s="345"/>
      <c r="N700" s="345"/>
      <c r="O700" s="345"/>
      <c r="P700" s="345"/>
      <c r="Q700" s="345"/>
      <c r="R700" s="616" t="s">
        <v>2186</v>
      </c>
      <c r="S700" s="616" t="s">
        <v>770</v>
      </c>
      <c r="AA700" s="1486"/>
    </row>
    <row r="701" spans="6:27" ht="10.5" customHeight="1">
      <c r="F701" s="368"/>
      <c r="G701" s="345"/>
      <c r="H701" s="345"/>
      <c r="I701" s="345"/>
      <c r="J701" s="749"/>
      <c r="K701" s="750"/>
      <c r="L701" s="183"/>
      <c r="M701" s="345"/>
      <c r="N701" s="345"/>
      <c r="O701" s="345"/>
      <c r="P701" s="345"/>
      <c r="Q701" s="345"/>
      <c r="R701" s="616" t="s">
        <v>2213</v>
      </c>
      <c r="S701" s="616" t="s">
        <v>108</v>
      </c>
      <c r="AA701" s="1486"/>
    </row>
    <row r="702" spans="6:27" ht="10.5" customHeight="1">
      <c r="F702" s="368"/>
      <c r="G702" s="345"/>
      <c r="H702" s="345"/>
      <c r="I702" s="345"/>
      <c r="J702" s="749"/>
      <c r="K702" s="750"/>
      <c r="L702" s="183"/>
      <c r="M702" s="345"/>
      <c r="N702" s="345"/>
      <c r="O702" s="345"/>
      <c r="P702" s="345"/>
      <c r="Q702" s="345"/>
      <c r="R702" s="616" t="s">
        <v>872</v>
      </c>
      <c r="S702" s="616" t="s">
        <v>2091</v>
      </c>
      <c r="AA702" s="1486"/>
    </row>
    <row r="703" spans="6:27" ht="10.5" customHeight="1">
      <c r="F703" s="368"/>
      <c r="G703" s="345"/>
      <c r="H703" s="345"/>
      <c r="I703" s="345"/>
      <c r="J703" s="749"/>
      <c r="K703" s="750"/>
      <c r="L703" s="183"/>
      <c r="M703" s="345"/>
      <c r="N703" s="345"/>
      <c r="O703" s="345"/>
      <c r="P703" s="345"/>
      <c r="Q703" s="345"/>
      <c r="R703" s="616" t="s">
        <v>2214</v>
      </c>
      <c r="S703" s="616" t="s">
        <v>2091</v>
      </c>
      <c r="AA703" s="1486"/>
    </row>
    <row r="704" spans="6:27" ht="10.5" customHeight="1">
      <c r="F704" s="368"/>
      <c r="G704" s="345"/>
      <c r="H704" s="345"/>
      <c r="I704" s="345"/>
      <c r="J704" s="749"/>
      <c r="K704" s="750"/>
      <c r="L704" s="183"/>
      <c r="M704" s="345"/>
      <c r="N704" s="345"/>
      <c r="O704" s="345"/>
      <c r="P704" s="345"/>
      <c r="Q704" s="345"/>
      <c r="R704" s="746" t="s">
        <v>2215</v>
      </c>
      <c r="S704" s="746" t="s">
        <v>1735</v>
      </c>
      <c r="AA704" s="1486"/>
    </row>
    <row r="705" spans="6:27" ht="10.5" customHeight="1">
      <c r="F705" s="368"/>
      <c r="G705" s="345"/>
      <c r="H705" s="345"/>
      <c r="I705" s="345"/>
      <c r="J705" s="749"/>
      <c r="K705" s="750"/>
      <c r="L705" s="183"/>
      <c r="M705" s="345"/>
      <c r="N705" s="345"/>
      <c r="O705" s="345"/>
      <c r="P705" s="345"/>
      <c r="Q705" s="345"/>
      <c r="R705" s="616" t="s">
        <v>2424</v>
      </c>
      <c r="S705" s="616" t="s">
        <v>1960</v>
      </c>
      <c r="AA705" s="1487"/>
    </row>
    <row r="706" spans="6:27" ht="10.5" customHeight="1">
      <c r="F706" s="368"/>
      <c r="G706" s="345"/>
      <c r="H706" s="345"/>
      <c r="I706" s="345"/>
      <c r="J706" s="749"/>
      <c r="K706" s="750"/>
      <c r="L706" s="183"/>
      <c r="M706" s="345"/>
      <c r="N706" s="345"/>
      <c r="O706" s="345"/>
      <c r="P706" s="345"/>
      <c r="Q706" s="345"/>
      <c r="R706" s="616" t="s">
        <v>2425</v>
      </c>
      <c r="S706" s="616" t="s">
        <v>165</v>
      </c>
      <c r="AA706" s="1486"/>
    </row>
    <row r="707" spans="6:27" ht="10.5" customHeight="1">
      <c r="F707" s="368"/>
      <c r="G707" s="345"/>
      <c r="H707" s="345"/>
      <c r="I707" s="345"/>
      <c r="J707" s="749"/>
      <c r="K707" s="750"/>
      <c r="L707" s="183"/>
      <c r="M707" s="345"/>
      <c r="N707" s="345"/>
      <c r="O707" s="345"/>
      <c r="P707" s="345"/>
      <c r="Q707" s="345"/>
      <c r="R707" s="616" t="s">
        <v>2426</v>
      </c>
      <c r="S707" s="616" t="s">
        <v>1737</v>
      </c>
      <c r="AA707" s="1486"/>
    </row>
    <row r="708" spans="6:27" ht="10.5" customHeight="1">
      <c r="F708" s="368"/>
      <c r="G708" s="345"/>
      <c r="H708" s="345"/>
      <c r="I708" s="345"/>
      <c r="J708" s="749"/>
      <c r="K708" s="750"/>
      <c r="L708" s="183"/>
      <c r="M708" s="345"/>
      <c r="N708" s="345"/>
      <c r="O708" s="345"/>
      <c r="P708" s="345"/>
      <c r="Q708" s="345"/>
      <c r="R708" s="616" t="s">
        <v>2427</v>
      </c>
      <c r="S708" s="616" t="s">
        <v>1150</v>
      </c>
      <c r="AA708" s="1486"/>
    </row>
    <row r="709" spans="6:27" ht="10.5" customHeight="1">
      <c r="F709" s="368"/>
      <c r="G709" s="345"/>
      <c r="H709" s="345"/>
      <c r="I709" s="345"/>
      <c r="J709" s="749"/>
      <c r="K709" s="750"/>
      <c r="L709" s="183"/>
      <c r="M709" s="345"/>
      <c r="N709" s="345"/>
      <c r="O709" s="345"/>
      <c r="P709" s="345"/>
      <c r="Q709" s="345"/>
      <c r="R709" s="616" t="s">
        <v>2428</v>
      </c>
      <c r="S709" s="616" t="s">
        <v>2493</v>
      </c>
      <c r="AA709" s="1486"/>
    </row>
    <row r="710" spans="6:27" ht="10.5" customHeight="1">
      <c r="F710" s="368"/>
      <c r="G710" s="345"/>
      <c r="H710" s="345"/>
      <c r="I710" s="345"/>
      <c r="J710" s="749"/>
      <c r="K710" s="750"/>
      <c r="L710" s="183"/>
      <c r="M710" s="345"/>
      <c r="N710" s="345"/>
      <c r="O710" s="345"/>
      <c r="P710" s="345"/>
      <c r="Q710" s="345"/>
      <c r="R710" s="616" t="s">
        <v>2352</v>
      </c>
      <c r="S710" s="616" t="s">
        <v>2262</v>
      </c>
      <c r="AA710" s="1486"/>
    </row>
    <row r="711" spans="6:27" ht="10.5" customHeight="1">
      <c r="F711" s="368"/>
      <c r="G711" s="345"/>
      <c r="H711" s="345"/>
      <c r="I711" s="345"/>
      <c r="J711" s="749"/>
      <c r="K711" s="750"/>
      <c r="L711" s="183"/>
      <c r="M711" s="345"/>
      <c r="N711" s="345"/>
      <c r="O711" s="345"/>
      <c r="P711" s="345"/>
      <c r="Q711" s="345"/>
      <c r="R711" s="616" t="s">
        <v>1694</v>
      </c>
      <c r="S711" s="616" t="s">
        <v>2495</v>
      </c>
      <c r="AA711" s="1486"/>
    </row>
    <row r="712" spans="6:27" ht="10.5" customHeight="1">
      <c r="F712" s="368"/>
      <c r="G712" s="345"/>
      <c r="H712" s="345"/>
      <c r="I712" s="345"/>
      <c r="J712" s="749"/>
      <c r="K712" s="750"/>
      <c r="L712" s="183"/>
      <c r="M712" s="345"/>
      <c r="N712" s="345"/>
      <c r="O712" s="345"/>
      <c r="P712" s="345"/>
      <c r="Q712" s="345"/>
      <c r="R712" s="616" t="s">
        <v>1695</v>
      </c>
      <c r="S712" s="616" t="s">
        <v>201</v>
      </c>
      <c r="AA712" s="1486"/>
    </row>
    <row r="713" spans="6:27" ht="10.5" customHeight="1">
      <c r="F713" s="368"/>
      <c r="G713" s="345"/>
      <c r="H713" s="345"/>
      <c r="I713" s="345"/>
      <c r="J713" s="749"/>
      <c r="K713" s="750"/>
      <c r="L713" s="183"/>
      <c r="M713" s="345"/>
      <c r="N713" s="345"/>
      <c r="O713" s="345"/>
      <c r="P713" s="345"/>
      <c r="Q713" s="345"/>
      <c r="R713" s="616" t="s">
        <v>1760</v>
      </c>
      <c r="S713" s="616" t="s">
        <v>168</v>
      </c>
      <c r="AA713" s="1486"/>
    </row>
    <row r="714" spans="6:27" ht="10.5" customHeight="1">
      <c r="F714" s="368"/>
      <c r="G714" s="345"/>
      <c r="H714" s="345"/>
      <c r="I714" s="345"/>
      <c r="J714" s="749"/>
      <c r="K714" s="750"/>
      <c r="L714" s="183"/>
      <c r="M714" s="345"/>
      <c r="N714" s="345"/>
      <c r="O714" s="345"/>
      <c r="P714" s="345"/>
      <c r="Q714" s="345"/>
      <c r="R714" s="616" t="s">
        <v>1122</v>
      </c>
      <c r="S714" s="616" t="s">
        <v>658</v>
      </c>
      <c r="AA714" s="1486"/>
    </row>
    <row r="715" spans="6:27" ht="10.5" customHeight="1">
      <c r="F715" s="368"/>
      <c r="G715" s="345"/>
      <c r="H715" s="345"/>
      <c r="I715" s="345"/>
      <c r="J715" s="749"/>
      <c r="K715" s="750"/>
      <c r="L715" s="183"/>
      <c r="M715" s="345"/>
      <c r="N715" s="345"/>
      <c r="O715" s="345"/>
      <c r="P715" s="345"/>
      <c r="Q715" s="345"/>
      <c r="R715" s="616" t="s">
        <v>857</v>
      </c>
      <c r="S715" s="616" t="s">
        <v>2034</v>
      </c>
      <c r="AA715" s="1486"/>
    </row>
    <row r="716" spans="6:27" ht="10.5" customHeight="1">
      <c r="F716" s="368"/>
      <c r="G716" s="345"/>
      <c r="H716" s="345"/>
      <c r="I716" s="345"/>
      <c r="J716" s="749"/>
      <c r="K716" s="750"/>
      <c r="L716" s="183"/>
      <c r="M716" s="345"/>
      <c r="N716" s="345"/>
      <c r="O716" s="345"/>
      <c r="P716" s="345"/>
      <c r="Q716" s="345"/>
      <c r="R716" s="616" t="s">
        <v>1761</v>
      </c>
      <c r="S716" s="616" t="s">
        <v>2631</v>
      </c>
      <c r="AA716" s="1486"/>
    </row>
    <row r="717" spans="6:27" ht="10.5" customHeight="1">
      <c r="F717" s="368"/>
      <c r="G717" s="345"/>
      <c r="H717" s="345"/>
      <c r="I717" s="345"/>
      <c r="J717" s="749"/>
      <c r="K717" s="750"/>
      <c r="L717" s="183"/>
      <c r="M717" s="345"/>
      <c r="N717" s="345"/>
      <c r="O717" s="345"/>
      <c r="P717" s="345"/>
      <c r="Q717" s="345"/>
      <c r="R717" s="616" t="s">
        <v>1762</v>
      </c>
      <c r="S717" s="616" t="s">
        <v>2333</v>
      </c>
      <c r="AA717" s="1486"/>
    </row>
    <row r="718" spans="6:27" ht="10.5" customHeight="1">
      <c r="F718" s="368"/>
      <c r="G718" s="345"/>
      <c r="H718" s="345"/>
      <c r="I718" s="345"/>
      <c r="J718" s="749"/>
      <c r="K718" s="750"/>
      <c r="L718" s="183"/>
      <c r="M718" s="345"/>
      <c r="N718" s="345"/>
      <c r="O718" s="345"/>
      <c r="P718" s="345"/>
      <c r="Q718" s="345"/>
      <c r="R718" s="616" t="s">
        <v>1763</v>
      </c>
      <c r="S718" s="616" t="s">
        <v>1737</v>
      </c>
      <c r="AA718" s="1486"/>
    </row>
    <row r="719" spans="6:27" ht="10.5" customHeight="1">
      <c r="F719" s="368"/>
      <c r="G719" s="345"/>
      <c r="H719" s="345"/>
      <c r="I719" s="345"/>
      <c r="J719" s="749"/>
      <c r="K719" s="750"/>
      <c r="L719" s="183"/>
      <c r="M719" s="345"/>
      <c r="N719" s="345"/>
      <c r="O719" s="345"/>
      <c r="P719" s="345"/>
      <c r="Q719" s="345"/>
      <c r="R719" s="616" t="s">
        <v>1764</v>
      </c>
      <c r="S719" s="616" t="s">
        <v>165</v>
      </c>
      <c r="AA719" s="1486"/>
    </row>
    <row r="720" spans="6:27" ht="10.5" customHeight="1">
      <c r="F720" s="368"/>
      <c r="G720" s="345"/>
      <c r="H720" s="345"/>
      <c r="I720" s="345"/>
      <c r="J720" s="749"/>
      <c r="K720" s="750"/>
      <c r="L720" s="183"/>
      <c r="M720" s="345"/>
      <c r="N720" s="345"/>
      <c r="O720" s="345"/>
      <c r="P720" s="345"/>
      <c r="Q720" s="345"/>
      <c r="R720" s="616" t="s">
        <v>1765</v>
      </c>
      <c r="S720" s="616" t="s">
        <v>690</v>
      </c>
      <c r="AA720" s="1486"/>
    </row>
    <row r="721" spans="6:27" ht="10.5" customHeight="1">
      <c r="F721" s="368"/>
      <c r="G721" s="345"/>
      <c r="H721" s="345"/>
      <c r="I721" s="345"/>
      <c r="J721" s="749"/>
      <c r="K721" s="750"/>
      <c r="L721" s="183"/>
      <c r="M721" s="345"/>
      <c r="N721" s="345"/>
      <c r="O721" s="345"/>
      <c r="P721" s="345"/>
      <c r="Q721" s="345"/>
      <c r="R721" s="616" t="s">
        <v>1766</v>
      </c>
      <c r="S721" s="616" t="s">
        <v>994</v>
      </c>
      <c r="AA721" s="1486"/>
    </row>
    <row r="722" spans="6:27" ht="10.5" customHeight="1">
      <c r="F722" s="368"/>
      <c r="G722" s="345"/>
      <c r="H722" s="345"/>
      <c r="I722" s="345"/>
      <c r="J722" s="749"/>
      <c r="K722" s="750"/>
      <c r="L722" s="183"/>
      <c r="M722" s="345"/>
      <c r="N722" s="345"/>
      <c r="O722" s="345"/>
      <c r="P722" s="345"/>
      <c r="Q722" s="345"/>
      <c r="R722" s="616" t="s">
        <v>1767</v>
      </c>
      <c r="S722" s="616" t="s">
        <v>1259</v>
      </c>
      <c r="AA722" s="1486"/>
    </row>
    <row r="723" spans="6:27" ht="10.5" customHeight="1">
      <c r="F723" s="368"/>
      <c r="G723" s="345"/>
      <c r="H723" s="345"/>
      <c r="I723" s="345"/>
      <c r="J723" s="749"/>
      <c r="K723" s="750"/>
      <c r="L723" s="183"/>
      <c r="M723" s="345"/>
      <c r="N723" s="345"/>
      <c r="O723" s="345"/>
      <c r="P723" s="345"/>
      <c r="Q723" s="345"/>
      <c r="R723" s="616" t="s">
        <v>1768</v>
      </c>
      <c r="S723" s="616" t="s">
        <v>704</v>
      </c>
      <c r="AA723" s="1486"/>
    </row>
    <row r="724" spans="6:27" ht="10.5" customHeight="1">
      <c r="F724" s="368"/>
      <c r="G724" s="345"/>
      <c r="H724" s="345"/>
      <c r="I724" s="345"/>
      <c r="J724" s="749"/>
      <c r="K724" s="750"/>
      <c r="L724" s="183"/>
      <c r="M724" s="345"/>
      <c r="N724" s="345"/>
      <c r="O724" s="345"/>
      <c r="P724" s="345"/>
      <c r="Q724" s="345"/>
      <c r="R724" s="746" t="s">
        <v>1123</v>
      </c>
      <c r="S724" s="746" t="s">
        <v>1737</v>
      </c>
      <c r="AA724" s="1486"/>
    </row>
    <row r="725" spans="6:27" ht="10.5" customHeight="1">
      <c r="F725" s="368"/>
      <c r="G725" s="345"/>
      <c r="H725" s="345"/>
      <c r="I725" s="345"/>
      <c r="J725" s="749"/>
      <c r="K725" s="750"/>
      <c r="L725" s="183"/>
      <c r="M725" s="345"/>
      <c r="N725" s="345"/>
      <c r="O725" s="345"/>
      <c r="P725" s="345"/>
      <c r="Q725" s="345"/>
      <c r="R725" s="616" t="s">
        <v>1769</v>
      </c>
      <c r="S725" s="616" t="s">
        <v>190</v>
      </c>
      <c r="AA725" s="1487"/>
    </row>
    <row r="726" spans="6:27" ht="10.5" customHeight="1">
      <c r="F726" s="368"/>
      <c r="G726" s="345"/>
      <c r="H726" s="345"/>
      <c r="I726" s="345"/>
      <c r="J726" s="749"/>
      <c r="K726" s="750"/>
      <c r="L726" s="183"/>
      <c r="M726" s="345"/>
      <c r="N726" s="345"/>
      <c r="O726" s="345"/>
      <c r="P726" s="345"/>
      <c r="Q726" s="345"/>
      <c r="R726" s="616" t="s">
        <v>1770</v>
      </c>
      <c r="S726" s="616" t="s">
        <v>181</v>
      </c>
      <c r="AA726" s="1486"/>
    </row>
    <row r="727" spans="6:27" ht="10.5" customHeight="1">
      <c r="F727" s="368"/>
      <c r="G727" s="345"/>
      <c r="H727" s="345"/>
      <c r="I727" s="345"/>
      <c r="J727" s="749"/>
      <c r="K727" s="750"/>
      <c r="L727" s="183"/>
      <c r="M727" s="345"/>
      <c r="N727" s="345"/>
      <c r="O727" s="345"/>
      <c r="P727" s="345"/>
      <c r="Q727" s="345"/>
      <c r="R727" s="616" t="s">
        <v>1771</v>
      </c>
      <c r="S727" s="616" t="s">
        <v>2034</v>
      </c>
      <c r="AA727" s="1486"/>
    </row>
    <row r="728" spans="6:27" ht="10.5" customHeight="1">
      <c r="F728" s="368"/>
      <c r="G728" s="345"/>
      <c r="H728" s="345"/>
      <c r="I728" s="345"/>
      <c r="J728" s="749"/>
      <c r="K728" s="750"/>
      <c r="L728" s="183"/>
      <c r="M728" s="345"/>
      <c r="N728" s="345"/>
      <c r="O728" s="345"/>
      <c r="P728" s="345"/>
      <c r="Q728" s="345"/>
      <c r="R728" s="746" t="s">
        <v>1772</v>
      </c>
      <c r="S728" s="746" t="s">
        <v>165</v>
      </c>
      <c r="AA728" s="1486"/>
    </row>
    <row r="729" spans="6:27" ht="10.5" customHeight="1">
      <c r="F729" s="368"/>
      <c r="G729" s="345"/>
      <c r="H729" s="345"/>
      <c r="I729" s="345"/>
      <c r="J729" s="749"/>
      <c r="K729" s="750"/>
      <c r="L729" s="183"/>
      <c r="M729" s="345"/>
      <c r="N729" s="345"/>
      <c r="O729" s="345"/>
      <c r="P729" s="345"/>
      <c r="Q729" s="345"/>
      <c r="R729" s="616" t="s">
        <v>1773</v>
      </c>
      <c r="S729" s="616" t="s">
        <v>1993</v>
      </c>
      <c r="AA729" s="1487"/>
    </row>
    <row r="730" spans="6:27" ht="10.5" customHeight="1">
      <c r="F730" s="368"/>
      <c r="G730" s="345"/>
      <c r="H730" s="345"/>
      <c r="I730" s="345"/>
      <c r="J730" s="749"/>
      <c r="K730" s="750"/>
      <c r="L730" s="183"/>
      <c r="M730" s="345"/>
      <c r="N730" s="345"/>
      <c r="O730" s="345"/>
      <c r="P730" s="345"/>
      <c r="Q730" s="345"/>
      <c r="R730" s="616" t="s">
        <v>1774</v>
      </c>
      <c r="S730" s="616" t="s">
        <v>1385</v>
      </c>
      <c r="AA730" s="1486"/>
    </row>
    <row r="731" spans="6:27" ht="10.5" customHeight="1">
      <c r="F731" s="368"/>
      <c r="G731" s="345"/>
      <c r="H731" s="345"/>
      <c r="I731" s="345"/>
      <c r="J731" s="749"/>
      <c r="K731" s="750"/>
      <c r="L731" s="183"/>
      <c r="M731" s="345"/>
      <c r="N731" s="345"/>
      <c r="O731" s="345"/>
      <c r="P731" s="345"/>
      <c r="Q731" s="345"/>
      <c r="R731" s="616" t="s">
        <v>1775</v>
      </c>
      <c r="S731" s="616" t="s">
        <v>994</v>
      </c>
      <c r="AA731" s="1486"/>
    </row>
    <row r="732" spans="6:27" ht="10.5" customHeight="1">
      <c r="F732" s="368"/>
      <c r="G732" s="345"/>
      <c r="H732" s="345"/>
      <c r="I732" s="345"/>
      <c r="J732" s="749"/>
      <c r="K732" s="750"/>
      <c r="L732" s="183"/>
      <c r="M732" s="345"/>
      <c r="N732" s="345"/>
      <c r="O732" s="345"/>
      <c r="P732" s="345"/>
      <c r="Q732" s="345"/>
      <c r="R732" s="616" t="s">
        <v>1776</v>
      </c>
      <c r="S732" s="616" t="s">
        <v>770</v>
      </c>
      <c r="AA732" s="1486"/>
    </row>
    <row r="733" spans="6:27" ht="10.5" customHeight="1">
      <c r="F733" s="368"/>
      <c r="G733" s="345"/>
      <c r="H733" s="345"/>
      <c r="I733" s="345"/>
      <c r="J733" s="749"/>
      <c r="K733" s="750"/>
      <c r="L733" s="183"/>
      <c r="M733" s="345"/>
      <c r="N733" s="345"/>
      <c r="O733" s="345"/>
      <c r="P733" s="345"/>
      <c r="Q733" s="345"/>
      <c r="R733" s="616" t="s">
        <v>1124</v>
      </c>
      <c r="S733" s="616" t="s">
        <v>2584</v>
      </c>
      <c r="AA733" s="1486"/>
    </row>
    <row r="734" spans="6:27" ht="10.5" customHeight="1">
      <c r="F734" s="368"/>
      <c r="G734" s="345"/>
      <c r="H734" s="345"/>
      <c r="I734" s="345"/>
      <c r="J734" s="749"/>
      <c r="K734" s="750"/>
      <c r="L734" s="183"/>
      <c r="M734" s="345"/>
      <c r="N734" s="345"/>
      <c r="O734" s="345"/>
      <c r="P734" s="345"/>
      <c r="Q734" s="345"/>
      <c r="R734" s="616" t="s">
        <v>1777</v>
      </c>
      <c r="S734" s="616" t="s">
        <v>328</v>
      </c>
      <c r="AA734" s="1486"/>
    </row>
    <row r="735" spans="6:27" ht="10.5" customHeight="1">
      <c r="F735" s="368"/>
      <c r="G735" s="345"/>
      <c r="H735" s="345"/>
      <c r="I735" s="345"/>
      <c r="J735" s="749"/>
      <c r="K735" s="750"/>
      <c r="L735" s="183"/>
      <c r="M735" s="345"/>
      <c r="N735" s="345"/>
      <c r="O735" s="345"/>
      <c r="P735" s="345"/>
      <c r="Q735" s="345"/>
      <c r="R735" s="616" t="s">
        <v>1778</v>
      </c>
      <c r="S735" s="616" t="s">
        <v>342</v>
      </c>
      <c r="AA735" s="1486"/>
    </row>
    <row r="736" spans="6:27" ht="10.5" customHeight="1">
      <c r="F736" s="368"/>
      <c r="G736" s="345"/>
      <c r="H736" s="345"/>
      <c r="I736" s="345"/>
      <c r="J736" s="749"/>
      <c r="K736" s="750"/>
      <c r="L736" s="183"/>
      <c r="M736" s="345"/>
      <c r="N736" s="345"/>
      <c r="O736" s="345"/>
      <c r="P736" s="345"/>
      <c r="Q736" s="345"/>
      <c r="R736" s="616" t="s">
        <v>1779</v>
      </c>
      <c r="S736" s="616" t="s">
        <v>170</v>
      </c>
      <c r="AA736" s="1486"/>
    </row>
    <row r="737" spans="6:27" ht="10.5" customHeight="1">
      <c r="F737" s="368"/>
      <c r="G737" s="345"/>
      <c r="H737" s="345"/>
      <c r="I737" s="345"/>
      <c r="J737" s="749"/>
      <c r="K737" s="750"/>
      <c r="L737" s="183"/>
      <c r="M737" s="345"/>
      <c r="N737" s="345"/>
      <c r="O737" s="345"/>
      <c r="P737" s="345"/>
      <c r="Q737" s="345"/>
      <c r="R737" s="616" t="s">
        <v>1780</v>
      </c>
      <c r="S737" s="616" t="s">
        <v>2094</v>
      </c>
      <c r="AA737" s="1486"/>
    </row>
    <row r="738" spans="6:27" ht="10.5" customHeight="1">
      <c r="F738" s="368"/>
      <c r="G738" s="345"/>
      <c r="H738" s="345"/>
      <c r="I738" s="345"/>
      <c r="J738" s="749"/>
      <c r="K738" s="750"/>
      <c r="L738" s="183"/>
      <c r="M738" s="345"/>
      <c r="N738" s="345"/>
      <c r="O738" s="345"/>
      <c r="P738" s="345"/>
      <c r="Q738" s="345"/>
      <c r="R738" s="616" t="s">
        <v>1781</v>
      </c>
      <c r="S738" s="616" t="s">
        <v>1520</v>
      </c>
      <c r="AA738" s="1486"/>
    </row>
    <row r="739" spans="6:27" ht="10.5" customHeight="1">
      <c r="F739" s="368"/>
      <c r="G739" s="345"/>
      <c r="H739" s="345"/>
      <c r="I739" s="345"/>
      <c r="J739" s="749"/>
      <c r="K739" s="750"/>
      <c r="L739" s="183"/>
      <c r="M739" s="345"/>
      <c r="N739" s="345"/>
      <c r="O739" s="345"/>
      <c r="P739" s="345"/>
      <c r="Q739" s="345"/>
      <c r="R739" s="616" t="s">
        <v>1782</v>
      </c>
      <c r="S739" s="616" t="s">
        <v>1962</v>
      </c>
      <c r="AA739" s="1486"/>
    </row>
    <row r="740" spans="6:27" ht="10.5" customHeight="1">
      <c r="F740" s="368"/>
      <c r="G740" s="345"/>
      <c r="H740" s="345"/>
      <c r="I740" s="345"/>
      <c r="J740" s="749"/>
      <c r="K740" s="750"/>
      <c r="L740" s="183"/>
      <c r="M740" s="345"/>
      <c r="N740" s="345"/>
      <c r="O740" s="345"/>
      <c r="P740" s="345"/>
      <c r="Q740" s="345"/>
      <c r="R740" s="616" t="s">
        <v>1783</v>
      </c>
      <c r="S740" s="616" t="s">
        <v>334</v>
      </c>
      <c r="AA740" s="1486"/>
    </row>
    <row r="741" spans="6:27" ht="10.5" customHeight="1">
      <c r="F741" s="368"/>
      <c r="G741" s="345"/>
      <c r="H741" s="345"/>
      <c r="I741" s="345"/>
      <c r="J741" s="749"/>
      <c r="K741" s="750"/>
      <c r="L741" s="183"/>
      <c r="M741" s="345"/>
      <c r="N741" s="345"/>
      <c r="O741" s="345"/>
      <c r="P741" s="345"/>
      <c r="Q741" s="345"/>
      <c r="R741" s="616" t="s">
        <v>1784</v>
      </c>
      <c r="S741" s="616" t="s">
        <v>106</v>
      </c>
      <c r="AA741" s="1486"/>
    </row>
    <row r="742" spans="6:27" ht="10.5" customHeight="1">
      <c r="F742" s="368"/>
      <c r="G742" s="345"/>
      <c r="H742" s="345"/>
      <c r="I742" s="345"/>
      <c r="J742" s="749"/>
      <c r="K742" s="750"/>
      <c r="L742" s="183"/>
      <c r="M742" s="345"/>
      <c r="N742" s="345"/>
      <c r="O742" s="345"/>
      <c r="P742" s="345"/>
      <c r="Q742" s="345"/>
      <c r="R742" s="430" t="s">
        <v>307</v>
      </c>
      <c r="S742" s="430" t="s">
        <v>2497</v>
      </c>
      <c r="AA742" s="1486"/>
    </row>
    <row r="743" spans="6:27" ht="10.5" customHeight="1">
      <c r="F743" s="368"/>
      <c r="G743" s="345"/>
      <c r="H743" s="345"/>
      <c r="I743" s="345"/>
      <c r="J743" s="749"/>
      <c r="K743" s="750"/>
      <c r="L743" s="183"/>
      <c r="M743" s="345"/>
      <c r="N743" s="345"/>
      <c r="O743" s="345"/>
      <c r="P743" s="345"/>
      <c r="Q743" s="345"/>
      <c r="R743" s="616" t="s">
        <v>108</v>
      </c>
      <c r="S743" s="616" t="s">
        <v>2493</v>
      </c>
      <c r="AA743" s="95"/>
    </row>
    <row r="744" spans="6:27" ht="10.5" customHeight="1">
      <c r="F744" s="368"/>
      <c r="G744" s="345"/>
      <c r="H744" s="345"/>
      <c r="I744" s="345"/>
      <c r="J744" s="749"/>
      <c r="K744" s="750"/>
      <c r="L744" s="183"/>
      <c r="M744" s="345"/>
      <c r="N744" s="345"/>
      <c r="O744" s="345"/>
      <c r="P744" s="345"/>
      <c r="Q744" s="345"/>
      <c r="R744" s="616" t="s">
        <v>308</v>
      </c>
      <c r="S744" s="430" t="s">
        <v>2690</v>
      </c>
      <c r="AA744" s="1486"/>
    </row>
    <row r="745" spans="6:27" ht="10.5" customHeight="1">
      <c r="F745" s="368"/>
      <c r="G745" s="345"/>
      <c r="H745" s="345"/>
      <c r="I745" s="345"/>
      <c r="J745" s="749"/>
      <c r="K745" s="750"/>
      <c r="L745" s="183"/>
      <c r="M745" s="345"/>
      <c r="N745" s="345"/>
      <c r="O745" s="345"/>
      <c r="P745" s="345"/>
      <c r="Q745" s="345"/>
      <c r="R745" s="430" t="s">
        <v>309</v>
      </c>
      <c r="S745" s="430" t="s">
        <v>329</v>
      </c>
      <c r="AA745" s="1486"/>
    </row>
    <row r="746" spans="6:27" ht="10.5" customHeight="1">
      <c r="F746" s="368"/>
      <c r="G746" s="345"/>
      <c r="H746" s="345"/>
      <c r="I746" s="345"/>
      <c r="J746" s="749"/>
      <c r="K746" s="750"/>
      <c r="L746" s="183"/>
      <c r="M746" s="345"/>
      <c r="N746" s="345"/>
      <c r="O746" s="345"/>
      <c r="P746" s="345"/>
      <c r="Q746" s="345"/>
      <c r="R746" s="430" t="s">
        <v>310</v>
      </c>
      <c r="S746" s="430" t="s">
        <v>2095</v>
      </c>
      <c r="AA746" s="95"/>
    </row>
    <row r="747" spans="6:27" ht="10.5" customHeight="1">
      <c r="F747" s="368"/>
      <c r="G747" s="345"/>
      <c r="H747" s="345"/>
      <c r="I747" s="345"/>
      <c r="J747" s="749"/>
      <c r="K747" s="750"/>
      <c r="L747" s="183"/>
      <c r="M747" s="345"/>
      <c r="N747" s="345"/>
      <c r="O747" s="345"/>
      <c r="P747" s="345"/>
      <c r="Q747" s="345"/>
      <c r="R747" s="430" t="s">
        <v>311</v>
      </c>
      <c r="S747" s="430" t="s">
        <v>1385</v>
      </c>
      <c r="AA747" s="95"/>
    </row>
    <row r="748" spans="6:27" ht="10.5" customHeight="1">
      <c r="F748" s="368"/>
      <c r="G748" s="345"/>
      <c r="H748" s="345"/>
      <c r="I748" s="345"/>
      <c r="J748" s="749"/>
      <c r="K748" s="750"/>
      <c r="L748" s="183"/>
      <c r="M748" s="345"/>
      <c r="N748" s="345"/>
      <c r="O748" s="345"/>
      <c r="P748" s="345"/>
      <c r="Q748" s="345"/>
      <c r="R748" s="430" t="s">
        <v>312</v>
      </c>
      <c r="S748" s="430" t="s">
        <v>1999</v>
      </c>
      <c r="AA748" s="95"/>
    </row>
    <row r="749" spans="6:27" ht="10.5" customHeight="1">
      <c r="F749" s="368"/>
      <c r="G749" s="345"/>
      <c r="H749" s="345"/>
      <c r="I749" s="345"/>
      <c r="J749" s="749"/>
      <c r="K749" s="750"/>
      <c r="L749" s="183"/>
      <c r="M749" s="345"/>
      <c r="N749" s="345"/>
      <c r="O749" s="345"/>
      <c r="P749" s="345"/>
      <c r="Q749" s="345"/>
      <c r="R749" s="430" t="s">
        <v>313</v>
      </c>
      <c r="S749" s="430" t="s">
        <v>112</v>
      </c>
      <c r="AA749" s="95"/>
    </row>
    <row r="750" spans="6:27" ht="10.5" customHeight="1">
      <c r="F750" s="368"/>
      <c r="G750" s="345"/>
      <c r="H750" s="345"/>
      <c r="I750" s="345"/>
      <c r="J750" s="749"/>
      <c r="K750" s="750"/>
      <c r="L750" s="183"/>
      <c r="M750" s="345"/>
      <c r="N750" s="345"/>
      <c r="O750" s="345"/>
      <c r="P750" s="345"/>
      <c r="Q750" s="345"/>
      <c r="R750" s="430" t="s">
        <v>314</v>
      </c>
      <c r="S750" s="430" t="s">
        <v>702</v>
      </c>
      <c r="AA750" s="95"/>
    </row>
    <row r="751" spans="6:27" ht="10.5" customHeight="1">
      <c r="F751" s="368"/>
      <c r="G751" s="345"/>
      <c r="H751" s="345"/>
      <c r="I751" s="345"/>
      <c r="J751" s="749"/>
      <c r="K751" s="750"/>
      <c r="L751" s="183"/>
      <c r="M751" s="345"/>
      <c r="N751" s="345"/>
      <c r="O751" s="345"/>
      <c r="P751" s="345"/>
      <c r="Q751" s="345"/>
      <c r="R751" s="430" t="s">
        <v>116</v>
      </c>
      <c r="S751" s="430" t="s">
        <v>1370</v>
      </c>
      <c r="AA751" s="95"/>
    </row>
    <row r="752" spans="6:27" ht="10.5" customHeight="1">
      <c r="F752" s="368"/>
      <c r="G752" s="345"/>
      <c r="H752" s="345"/>
      <c r="I752" s="345"/>
      <c r="J752" s="749"/>
      <c r="K752" s="750"/>
      <c r="L752" s="183"/>
      <c r="M752" s="345"/>
      <c r="N752" s="345"/>
      <c r="O752" s="345"/>
      <c r="P752" s="345"/>
      <c r="Q752" s="345"/>
      <c r="R752" s="430" t="s">
        <v>1606</v>
      </c>
      <c r="S752" s="430" t="s">
        <v>704</v>
      </c>
      <c r="AA752" s="95"/>
    </row>
    <row r="753" spans="6:27" ht="10.5" customHeight="1">
      <c r="F753" s="368"/>
      <c r="G753" s="345"/>
      <c r="H753" s="345"/>
      <c r="I753" s="345"/>
      <c r="J753" s="749"/>
      <c r="K753" s="345"/>
      <c r="L753" s="345"/>
      <c r="M753" s="345"/>
      <c r="N753" s="345"/>
      <c r="O753" s="345"/>
      <c r="P753" s="345"/>
      <c r="Q753" s="345"/>
      <c r="R753" s="430" t="s">
        <v>1125</v>
      </c>
      <c r="S753" s="430" t="s">
        <v>165</v>
      </c>
      <c r="AA753" s="95"/>
    </row>
    <row r="754" spans="6:27" ht="10.5" customHeight="1">
      <c r="F754" s="368"/>
      <c r="G754" s="345"/>
      <c r="H754" s="345"/>
      <c r="I754" s="345"/>
      <c r="J754" s="345"/>
      <c r="K754" s="345"/>
      <c r="L754" s="345"/>
      <c r="M754" s="345"/>
      <c r="N754" s="345"/>
      <c r="O754" s="345"/>
      <c r="P754" s="345"/>
      <c r="Q754" s="345"/>
      <c r="R754" s="430" t="s">
        <v>1607</v>
      </c>
      <c r="S754" s="430" t="s">
        <v>770</v>
      </c>
      <c r="AA754" s="95"/>
    </row>
    <row r="755" spans="6:27" ht="10.5" customHeight="1">
      <c r="F755" s="368"/>
      <c r="G755" s="345"/>
      <c r="H755" s="345"/>
      <c r="I755" s="345"/>
      <c r="J755" s="345"/>
      <c r="K755" s="345"/>
      <c r="L755" s="345"/>
      <c r="M755" s="345"/>
      <c r="N755" s="345"/>
      <c r="O755" s="345"/>
      <c r="P755" s="345"/>
      <c r="Q755" s="345"/>
      <c r="R755" s="430" t="s">
        <v>1608</v>
      </c>
      <c r="S755" s="430" t="s">
        <v>1853</v>
      </c>
      <c r="AA755" s="95"/>
    </row>
    <row r="756" spans="6:27" ht="10.5" customHeight="1">
      <c r="F756" s="368"/>
      <c r="G756" s="345"/>
      <c r="H756" s="345"/>
      <c r="I756" s="345"/>
      <c r="J756" s="345"/>
      <c r="K756" s="345"/>
      <c r="L756" s="345"/>
      <c r="M756" s="345"/>
      <c r="N756" s="345"/>
      <c r="O756" s="345"/>
      <c r="P756" s="345"/>
      <c r="Q756" s="345"/>
      <c r="R756" s="430" t="s">
        <v>1609</v>
      </c>
      <c r="S756" s="430" t="s">
        <v>1141</v>
      </c>
      <c r="AA756" s="95"/>
    </row>
    <row r="757" spans="6:27" ht="10.5" customHeight="1">
      <c r="F757" s="368"/>
      <c r="G757" s="345"/>
      <c r="H757" s="345"/>
      <c r="I757" s="345"/>
      <c r="J757" s="345"/>
      <c r="K757" s="345"/>
      <c r="L757" s="345"/>
      <c r="M757" s="345"/>
      <c r="N757" s="345"/>
      <c r="O757" s="345"/>
      <c r="P757" s="345"/>
      <c r="Q757" s="345"/>
      <c r="R757" s="430" t="s">
        <v>1126</v>
      </c>
      <c r="S757" s="430" t="s">
        <v>165</v>
      </c>
      <c r="AA757" s="95"/>
    </row>
    <row r="758" spans="6:27" ht="10.5" customHeight="1">
      <c r="F758" s="368"/>
      <c r="G758" s="345"/>
      <c r="H758" s="345"/>
      <c r="I758" s="345"/>
      <c r="J758" s="345"/>
      <c r="K758" s="345"/>
      <c r="L758" s="345"/>
      <c r="M758" s="345"/>
      <c r="N758" s="345"/>
      <c r="O758" s="345"/>
      <c r="P758" s="345"/>
      <c r="Q758" s="345"/>
      <c r="R758" s="430" t="s">
        <v>1610</v>
      </c>
      <c r="S758" s="430" t="s">
        <v>1369</v>
      </c>
      <c r="AA758" s="95"/>
    </row>
    <row r="759" spans="6:27" ht="10.5" customHeight="1">
      <c r="F759" s="368"/>
      <c r="G759" s="345"/>
      <c r="H759" s="345"/>
      <c r="I759" s="345"/>
      <c r="J759" s="345"/>
      <c r="K759" s="345"/>
      <c r="L759" s="345"/>
      <c r="M759" s="345"/>
      <c r="N759" s="345"/>
      <c r="O759" s="345"/>
      <c r="P759" s="345"/>
      <c r="Q759" s="345"/>
      <c r="R759" s="430" t="s">
        <v>1611</v>
      </c>
      <c r="S759" s="430" t="s">
        <v>171</v>
      </c>
      <c r="AA759" s="95"/>
    </row>
    <row r="760" spans="6:27" ht="10.5" customHeight="1">
      <c r="F760" s="368"/>
      <c r="G760" s="345"/>
      <c r="H760" s="345"/>
      <c r="I760" s="345"/>
      <c r="J760" s="345"/>
      <c r="K760" s="345"/>
      <c r="L760" s="345"/>
      <c r="M760" s="345"/>
      <c r="N760" s="345"/>
      <c r="O760" s="345"/>
      <c r="P760" s="345"/>
      <c r="Q760" s="345"/>
      <c r="R760" s="430" t="s">
        <v>1612</v>
      </c>
      <c r="S760" s="430" t="s">
        <v>1390</v>
      </c>
      <c r="AA760" s="95"/>
    </row>
    <row r="761" spans="6:27" ht="10.5" customHeight="1">
      <c r="F761" s="368"/>
      <c r="G761" s="345"/>
      <c r="H761" s="345"/>
      <c r="I761" s="345"/>
      <c r="J761" s="345"/>
      <c r="K761" s="345"/>
      <c r="L761" s="345"/>
      <c r="M761" s="345"/>
      <c r="N761" s="345"/>
      <c r="O761" s="345"/>
      <c r="P761" s="345"/>
      <c r="Q761" s="345"/>
      <c r="R761" s="430" t="s">
        <v>1613</v>
      </c>
      <c r="S761" s="430" t="s">
        <v>1962</v>
      </c>
      <c r="AA761" s="95"/>
    </row>
    <row r="762" spans="6:27" ht="10.5" customHeight="1">
      <c r="F762" s="368"/>
      <c r="G762" s="345"/>
      <c r="H762" s="345"/>
      <c r="I762" s="345"/>
      <c r="J762" s="345"/>
      <c r="K762" s="345"/>
      <c r="L762" s="345"/>
      <c r="M762" s="345"/>
      <c r="N762" s="345"/>
      <c r="O762" s="345"/>
      <c r="P762" s="345"/>
      <c r="Q762" s="345"/>
      <c r="R762" s="430" t="s">
        <v>1614</v>
      </c>
      <c r="S762" s="430" t="s">
        <v>2268</v>
      </c>
      <c r="AA762" s="95"/>
    </row>
    <row r="763" spans="6:27" ht="10.5" customHeight="1">
      <c r="F763" s="368"/>
      <c r="G763" s="345"/>
      <c r="H763" s="345"/>
      <c r="I763" s="345"/>
      <c r="J763" s="345"/>
      <c r="K763" s="345"/>
      <c r="L763" s="345"/>
      <c r="M763" s="345"/>
      <c r="N763" s="345"/>
      <c r="O763" s="345"/>
      <c r="P763" s="345"/>
      <c r="Q763" s="345"/>
      <c r="R763" s="430" t="s">
        <v>1615</v>
      </c>
      <c r="S763" s="430" t="s">
        <v>170</v>
      </c>
      <c r="AA763" s="95"/>
    </row>
    <row r="764" spans="6:27" ht="10.5" customHeight="1">
      <c r="F764" s="368"/>
      <c r="G764" s="345"/>
      <c r="H764" s="345"/>
      <c r="I764" s="345"/>
      <c r="J764" s="345"/>
      <c r="K764" s="345"/>
      <c r="L764" s="345"/>
      <c r="M764" s="345"/>
      <c r="N764" s="345"/>
      <c r="O764" s="345"/>
      <c r="P764" s="345"/>
      <c r="Q764" s="345"/>
      <c r="R764" s="430" t="s">
        <v>2477</v>
      </c>
      <c r="S764" s="430" t="s">
        <v>704</v>
      </c>
      <c r="AA764" s="95"/>
    </row>
    <row r="765" spans="6:27" ht="10.5" customHeight="1">
      <c r="F765" s="368"/>
      <c r="G765" s="345"/>
      <c r="H765" s="345"/>
      <c r="I765" s="345"/>
      <c r="J765" s="345"/>
      <c r="K765" s="345"/>
      <c r="L765" s="345"/>
      <c r="M765" s="345"/>
      <c r="N765" s="345"/>
      <c r="O765" s="345"/>
      <c r="P765" s="345"/>
      <c r="Q765" s="345"/>
      <c r="R765" s="430" t="s">
        <v>2478</v>
      </c>
      <c r="S765" s="430" t="s">
        <v>690</v>
      </c>
      <c r="AA765" s="95"/>
    </row>
    <row r="766" spans="6:27" ht="10.5" customHeight="1">
      <c r="F766" s="368"/>
      <c r="G766" s="345"/>
      <c r="H766" s="345"/>
      <c r="I766" s="345"/>
      <c r="J766" s="345"/>
      <c r="K766" s="345"/>
      <c r="L766" s="345"/>
      <c r="M766" s="345"/>
      <c r="N766" s="345"/>
      <c r="O766" s="345"/>
      <c r="P766" s="345"/>
      <c r="Q766" s="345"/>
      <c r="R766" s="430" t="s">
        <v>2479</v>
      </c>
      <c r="S766" s="430" t="s">
        <v>342</v>
      </c>
      <c r="AA766" s="95"/>
    </row>
    <row r="767" spans="6:27" ht="10.5" customHeight="1">
      <c r="F767" s="368"/>
      <c r="G767" s="345"/>
      <c r="H767" s="345"/>
      <c r="I767" s="345"/>
      <c r="J767" s="345"/>
      <c r="K767" s="345"/>
      <c r="L767" s="345"/>
      <c r="M767" s="345"/>
      <c r="N767" s="345"/>
      <c r="O767" s="345"/>
      <c r="P767" s="345"/>
      <c r="Q767" s="345"/>
      <c r="R767" s="430" t="s">
        <v>873</v>
      </c>
      <c r="S767" s="430" t="s">
        <v>346</v>
      </c>
      <c r="AA767" s="95"/>
    </row>
    <row r="768" spans="6:27" ht="10.5" customHeight="1">
      <c r="F768" s="368"/>
      <c r="G768" s="345"/>
      <c r="H768" s="345"/>
      <c r="I768" s="345"/>
      <c r="J768" s="345"/>
      <c r="K768" s="345"/>
      <c r="L768" s="345"/>
      <c r="M768" s="345"/>
      <c r="N768" s="345"/>
      <c r="O768" s="345"/>
      <c r="P768" s="345"/>
      <c r="Q768" s="345"/>
      <c r="R768" s="430" t="s">
        <v>874</v>
      </c>
      <c r="S768" s="430" t="s">
        <v>2091</v>
      </c>
      <c r="AA768" s="95"/>
    </row>
    <row r="769" spans="6:27" ht="10.5" customHeight="1">
      <c r="F769" s="368"/>
      <c r="G769" s="345"/>
      <c r="H769" s="345"/>
      <c r="I769" s="345"/>
      <c r="J769" s="345"/>
      <c r="K769" s="345"/>
      <c r="L769" s="345"/>
      <c r="M769" s="345"/>
      <c r="N769" s="345"/>
      <c r="O769" s="345"/>
      <c r="P769" s="345"/>
      <c r="Q769" s="345"/>
      <c r="R769" s="430" t="s">
        <v>3155</v>
      </c>
      <c r="S769" s="430" t="s">
        <v>116</v>
      </c>
      <c r="AA769" s="95"/>
    </row>
    <row r="770" spans="6:27" ht="10.5" customHeight="1">
      <c r="F770" s="368"/>
      <c r="G770" s="345"/>
      <c r="H770" s="345"/>
      <c r="I770" s="345"/>
      <c r="J770" s="345"/>
      <c r="K770" s="345"/>
      <c r="L770" s="345"/>
      <c r="M770" s="345"/>
      <c r="N770" s="345"/>
      <c r="O770" s="345"/>
      <c r="P770" s="345"/>
      <c r="Q770" s="345"/>
      <c r="R770" s="430" t="s">
        <v>875</v>
      </c>
      <c r="S770" s="430" t="s">
        <v>1995</v>
      </c>
      <c r="AA770" s="95"/>
    </row>
    <row r="771" spans="6:27" ht="10.5" customHeight="1">
      <c r="F771" s="368"/>
      <c r="G771" s="345"/>
      <c r="H771" s="345"/>
      <c r="I771" s="345"/>
      <c r="J771" s="345"/>
      <c r="K771" s="345"/>
      <c r="L771" s="345"/>
      <c r="M771" s="345"/>
      <c r="N771" s="345"/>
      <c r="O771" s="345"/>
      <c r="P771" s="345"/>
      <c r="Q771" s="345"/>
      <c r="R771" s="430" t="s">
        <v>876</v>
      </c>
      <c r="S771" s="430" t="s">
        <v>1141</v>
      </c>
      <c r="AA771" s="95"/>
    </row>
    <row r="772" spans="6:27" ht="10.5" customHeight="1">
      <c r="R772" s="481"/>
      <c r="S772" s="481"/>
      <c r="AA772" s="95"/>
    </row>
    <row r="773" spans="6:27" ht="10.5" customHeight="1">
      <c r="R773" s="481"/>
      <c r="S773" s="481"/>
    </row>
    <row r="774" spans="6:27" ht="10.5" customHeight="1">
      <c r="R774" s="481"/>
      <c r="S774" s="481"/>
    </row>
    <row r="775" spans="6:27" ht="10.5" customHeight="1">
      <c r="R775" s="481"/>
      <c r="S775" s="481"/>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Ij+nRBzhF1F1e1MrFcKzj5eA2QXFxL2ehJlReYpGJh2mVlCeUoRL2H3ArP1KjnqPutD1fJxS8FNvYO2b0jvgiw==" saltValue="kUERsw/jrI3gyYZ93CpRC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896"/>
  <sheetViews>
    <sheetView showGridLines="0" workbookViewId="0">
      <selection sqref="A1:XFD1048576"/>
    </sheetView>
  </sheetViews>
  <sheetFormatPr defaultRowHeight="12.75"/>
  <cols>
    <col min="1" max="7" width="9.28515625" style="1271" bestFit="1" customWidth="1"/>
    <col min="8" max="8" width="12.140625" style="1271" bestFit="1" customWidth="1"/>
    <col min="9" max="9" width="14.28515625" style="1271" bestFit="1" customWidth="1"/>
    <col min="10" max="11" width="9.28515625" style="1271" bestFit="1" customWidth="1"/>
    <col min="12" max="12" width="12.7109375" style="1271" bestFit="1" customWidth="1"/>
    <col min="13" max="14" width="9.28515625" style="1271" bestFit="1" customWidth="1"/>
    <col min="15" max="15" width="12.140625" style="1271" bestFit="1" customWidth="1"/>
    <col min="16" max="16" width="12.7109375" style="1271" bestFit="1" customWidth="1"/>
    <col min="17" max="278" width="9.28515625" style="1271" bestFit="1" customWidth="1"/>
    <col min="279" max="16384" width="9.140625" style="1271"/>
  </cols>
  <sheetData>
    <row r="1" spans="1:1" ht="15.75">
      <c r="A1" s="1524" t="s">
        <v>1022</v>
      </c>
    </row>
    <row r="2" spans="1:1" ht="16.5">
      <c r="A2" s="1525" t="str">
        <f>'Part I-Project Information'!F24</f>
        <v>Gateway Capitol View</v>
      </c>
    </row>
    <row r="3" spans="1:1" ht="16.5">
      <c r="A3" s="1525" t="str">
        <f>CONCATENATE('Part I-Project Information'!F28,", ", 'Part I-Project Information'!J29," County")</f>
        <v>Atlanta, Fulton County</v>
      </c>
    </row>
    <row r="5" spans="1:1" ht="12.75" customHeight="1">
      <c r="A5" s="1526" t="str">
        <f>'Project Narrative'!A5</f>
        <v xml:space="preserve">Developer/Sponsor:  Prestwick Development Company
LP:  Capitol View Senior Residences I, LP
GP:  Capitol View Gateway Senior GP, LLC
Location:  1374 Murphy Avenue, Atlanta, GA 30310 
 Fulton County (Census Tract – 0066.01)
Prestwick will develop a market quality product consistent with The Manor at Scott’s Crossing and Gateway East Point in Fulton County in the Capitol View Neighborhood. The exclusive age 55 year and older senior living complex will showcase 162 units (139 one bedroom and 23 two bedroom). The rent for each unit will be subsidized through a Project-Based Rental Assistance agreement with the Atlanta Housing Authority.  
All units will be in a four story “U”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fully equipped kitchen, fitness center, business center with computer stations, arts and crafts room, interior gathering areas and a laundry room. We will also offer a covered porch / picnic area and other green space.  Resident activities will be ongoing and designed to meet the needs of the changing community.  
The site's best amenity, however, might be its access to public transportation. Located across the street from the Oakland City MARTA Station and within the Atlanta BeltLine Redevelopment Plan area, this development would help the 55+ age group gain access to multiple amenities and services throughout the City of Atlanta and beyond. The lack of transportation options for seniors, especially those who qualify for rental subsidy, has been well documented by the Atlanta Regional Commission. We’re particularly excited by how this project will provide our residents connections to the rest of Atlanta.
</v>
      </c>
    </row>
    <row r="6" spans="1:1">
      <c r="A6" s="1526"/>
    </row>
    <row r="7" spans="1:1">
      <c r="A7" s="1526"/>
    </row>
    <row r="8" spans="1:1">
      <c r="A8" s="1526"/>
    </row>
    <row r="9" spans="1:1">
      <c r="A9" s="1526"/>
    </row>
    <row r="10" spans="1:1">
      <c r="A10" s="1526"/>
    </row>
    <row r="11" spans="1:1">
      <c r="A11" s="1526"/>
    </row>
    <row r="12" spans="1:1">
      <c r="A12" s="1526"/>
    </row>
    <row r="13" spans="1:1">
      <c r="A13" s="1526"/>
    </row>
    <row r="14" spans="1:1">
      <c r="A14" s="1526"/>
    </row>
    <row r="15" spans="1:1">
      <c r="A15" s="1526"/>
    </row>
    <row r="16" spans="1:1">
      <c r="A16" s="1526"/>
    </row>
    <row r="17" spans="1:16">
      <c r="A17" s="1526"/>
    </row>
    <row r="18" spans="1:16">
      <c r="A18" s="1526"/>
    </row>
    <row r="19" spans="1:16">
      <c r="A19" s="1526"/>
    </row>
    <row r="20" spans="1:16">
      <c r="A20" s="1526"/>
    </row>
    <row r="21" spans="1:16">
      <c r="A21" s="1526"/>
    </row>
    <row r="22" spans="1:16">
      <c r="A22" s="1526"/>
    </row>
    <row r="23" spans="1:16">
      <c r="A23" s="1526"/>
    </row>
    <row r="26" spans="1:16">
      <c r="A26" s="1511" t="str">
        <f>CONCATENATE("DRAFT PART ONE - PROJECT INFORMATION"," - ",$O$4," ",$F$24,", ",'Part I-Project Information'!F53,", ",'Part I-Project Information'!J54," County")</f>
        <v>DRAFT PART ONE - PROJECT INFORMATION -  , ,  County</v>
      </c>
      <c r="B26" s="1511"/>
      <c r="C26" s="1511"/>
      <c r="D26" s="1511"/>
      <c r="E26" s="1511"/>
      <c r="F26" s="1511"/>
      <c r="G26" s="1511"/>
      <c r="H26" s="1511"/>
      <c r="I26" s="1511"/>
      <c r="J26" s="1511"/>
      <c r="K26" s="1511"/>
      <c r="L26" s="1511"/>
      <c r="M26" s="1511"/>
      <c r="N26" s="1511"/>
      <c r="O26" s="1511"/>
      <c r="P26" s="1511"/>
    </row>
    <row r="27" spans="1:16">
      <c r="A27" s="1527"/>
      <c r="B27" s="1527"/>
      <c r="C27" s="1527"/>
      <c r="D27" s="1527"/>
      <c r="E27" s="1527"/>
      <c r="F27" s="1527"/>
      <c r="G27" s="1527"/>
      <c r="H27" s="1527"/>
      <c r="I27" s="1527"/>
      <c r="J27" s="1527"/>
      <c r="K27" s="1527"/>
      <c r="L27" s="1527"/>
      <c r="M27" s="1527"/>
      <c r="N27" s="1527"/>
      <c r="O27" s="1527"/>
      <c r="P27" s="1527"/>
    </row>
    <row r="28" spans="1:16" ht="13.5">
      <c r="A28" s="1528"/>
      <c r="B28" s="1529" t="s">
        <v>2458</v>
      </c>
      <c r="C28" s="1528"/>
      <c r="D28" s="1528"/>
      <c r="E28" s="1528"/>
      <c r="F28" s="1527"/>
      <c r="G28" s="1530" t="s">
        <v>4541</v>
      </c>
      <c r="H28" s="1528"/>
      <c r="I28" s="1528"/>
      <c r="J28" s="1528"/>
      <c r="K28" s="1528"/>
      <c r="L28" s="1527"/>
      <c r="M28" s="1528"/>
      <c r="N28" s="1528"/>
      <c r="O28" s="1511" t="s">
        <v>2792</v>
      </c>
      <c r="P28" s="1511"/>
    </row>
    <row r="29" spans="1:16" ht="13.5">
      <c r="A29" s="1527"/>
      <c r="B29" s="1511"/>
      <c r="C29" s="1528"/>
      <c r="D29" s="1528"/>
      <c r="E29" s="1528"/>
      <c r="F29" s="1527"/>
      <c r="G29" s="1530" t="s">
        <v>4542</v>
      </c>
      <c r="H29" s="1531"/>
      <c r="I29" s="1531"/>
      <c r="J29" s="1531"/>
      <c r="K29" s="1528"/>
      <c r="L29" s="1528"/>
      <c r="M29" s="1528"/>
      <c r="N29" s="1528"/>
      <c r="O29" s="1511" t="str">
        <f>'Part I-Project Information'!O4</f>
        <v>2016-508</v>
      </c>
      <c r="P29" s="1511"/>
    </row>
    <row r="30" spans="1:16">
      <c r="A30" s="1527"/>
      <c r="B30" s="1511"/>
      <c r="C30" s="1511"/>
      <c r="D30" s="1532"/>
      <c r="E30" s="1528"/>
      <c r="F30" s="1511"/>
      <c r="G30" s="1532" t="s">
        <v>3646</v>
      </c>
      <c r="H30" s="1531"/>
      <c r="I30" s="1531"/>
      <c r="J30" s="1531"/>
      <c r="K30" s="1528"/>
      <c r="L30" s="1528"/>
      <c r="M30" s="1528"/>
      <c r="N30" s="1528"/>
      <c r="O30" s="1528"/>
      <c r="P30" s="1528"/>
    </row>
    <row r="31" spans="1:16">
      <c r="A31" s="1527"/>
      <c r="B31" s="1511"/>
      <c r="C31" s="1511"/>
      <c r="D31" s="1511"/>
      <c r="E31" s="1531"/>
      <c r="F31" s="1528"/>
      <c r="G31" s="1528"/>
      <c r="H31" s="1531"/>
      <c r="I31" s="1531"/>
      <c r="J31" s="1531"/>
      <c r="K31" s="1529"/>
      <c r="L31" s="1528"/>
      <c r="M31" s="1531"/>
      <c r="N31" s="1528"/>
      <c r="O31" s="1528"/>
      <c r="P31" s="1528"/>
    </row>
    <row r="32" spans="1:16">
      <c r="A32" s="1511" t="s">
        <v>646</v>
      </c>
      <c r="B32" s="1511" t="s">
        <v>2471</v>
      </c>
      <c r="C32" s="1528"/>
      <c r="D32" s="1533"/>
      <c r="E32" s="1531"/>
      <c r="F32" s="1534" t="s">
        <v>1791</v>
      </c>
      <c r="G32" s="1528"/>
      <c r="H32" s="1528"/>
      <c r="I32" s="1528"/>
      <c r="J32" s="1535">
        <f>'Part IV-Uses of Funds'!J199</f>
        <v>0</v>
      </c>
      <c r="K32" s="1535"/>
      <c r="L32" s="1528"/>
      <c r="M32" s="1531"/>
      <c r="N32" s="1528"/>
      <c r="O32" s="1528"/>
      <c r="P32" s="1528"/>
    </row>
    <row r="33" spans="1:16">
      <c r="A33" s="521"/>
      <c r="B33" s="521"/>
      <c r="C33" s="518"/>
      <c r="E33" s="1512"/>
      <c r="F33" s="1528" t="s">
        <v>1340</v>
      </c>
      <c r="G33" s="518"/>
      <c r="H33" s="518"/>
      <c r="I33" s="518"/>
      <c r="J33" s="1536">
        <f>'Part III-Sources of Funds'!E35</f>
        <v>0</v>
      </c>
      <c r="K33" s="1536"/>
      <c r="L33" s="1528"/>
      <c r="M33" s="1531"/>
      <c r="N33" s="1528"/>
      <c r="O33" s="1528"/>
      <c r="P33" s="1528"/>
    </row>
    <row r="34" spans="1:16">
      <c r="A34" s="1511"/>
      <c r="B34" s="1511"/>
      <c r="C34" s="1528"/>
      <c r="D34" s="1533"/>
      <c r="E34" s="1531"/>
      <c r="F34" s="1531"/>
      <c r="G34" s="1528"/>
      <c r="H34" s="1528"/>
      <c r="I34" s="1529"/>
      <c r="J34" s="1528"/>
      <c r="K34" s="1528"/>
      <c r="L34" s="1528"/>
      <c r="M34" s="1528"/>
      <c r="N34" s="1537"/>
      <c r="O34" s="1528"/>
      <c r="P34" s="1528"/>
    </row>
    <row r="35" spans="1:16" ht="13.5">
      <c r="A35" s="1529" t="s">
        <v>777</v>
      </c>
      <c r="B35" s="1511" t="s">
        <v>2128</v>
      </c>
      <c r="C35" s="1528"/>
      <c r="D35" s="1528"/>
      <c r="E35" s="1528"/>
      <c r="F35" s="1538" t="str">
        <f>'Part I-Project Information'!F10</f>
        <v>Tax Exempt Bond / 4% credit</v>
      </c>
      <c r="G35" s="1538"/>
      <c r="H35" s="1538"/>
      <c r="I35" s="1539"/>
      <c r="J35" s="1511" t="s">
        <v>4543</v>
      </c>
      <c r="K35" s="1511"/>
      <c r="L35" s="1531"/>
      <c r="M35" s="1528"/>
      <c r="N35" s="1528"/>
      <c r="O35" s="1528" t="str">
        <f>'Part I-Project Information'!O10</f>
        <v>&lt;&lt;Enter Pre-App Nbr&gt;&gt;</v>
      </c>
      <c r="P35" s="1528"/>
    </row>
    <row r="36" spans="1:16" ht="13.5">
      <c r="A36" s="1527"/>
      <c r="B36" s="1528"/>
      <c r="C36" s="1528"/>
      <c r="D36" s="1528"/>
      <c r="E36" s="1528"/>
      <c r="F36" s="1528"/>
      <c r="G36" s="1528"/>
      <c r="H36" s="1531"/>
      <c r="I36" s="1528"/>
      <c r="J36" s="1534" t="s">
        <v>2870</v>
      </c>
      <c r="K36" s="1529"/>
      <c r="L36" s="1528"/>
      <c r="M36" s="1531"/>
      <c r="N36" s="1528"/>
      <c r="O36" s="1538" t="str">
        <f>'Part I-Project Information'!O11</f>
        <v>&lt;&lt;Select&gt;&gt;</v>
      </c>
      <c r="P36" s="1538"/>
    </row>
    <row r="37" spans="1:16">
      <c r="A37" s="1528"/>
      <c r="B37" s="1528"/>
      <c r="C37" s="1528"/>
      <c r="D37" s="1528"/>
      <c r="E37" s="1528"/>
      <c r="F37" s="1528"/>
      <c r="G37" s="1528"/>
      <c r="H37" s="1528"/>
      <c r="I37" s="1533"/>
      <c r="J37" s="1533"/>
      <c r="K37" s="1533"/>
      <c r="L37" s="1533"/>
      <c r="M37" s="1533"/>
      <c r="N37" s="1533"/>
      <c r="O37" s="1533"/>
      <c r="P37" s="1533"/>
    </row>
    <row r="38" spans="1:16">
      <c r="A38" s="1529" t="s">
        <v>779</v>
      </c>
      <c r="B38" s="1511" t="s">
        <v>1538</v>
      </c>
      <c r="C38" s="1528"/>
      <c r="D38" s="1534"/>
      <c r="E38" s="1531"/>
      <c r="F38" s="1528"/>
      <c r="G38" s="1531"/>
      <c r="H38" s="1531"/>
      <c r="I38" s="1531"/>
      <c r="J38" s="1528"/>
      <c r="K38" s="1537"/>
      <c r="L38" s="1537"/>
      <c r="M38" s="1528"/>
      <c r="N38" s="1528"/>
      <c r="O38" s="1528"/>
      <c r="P38" s="1528"/>
    </row>
    <row r="39" spans="1:16">
      <c r="A39" s="1529"/>
      <c r="B39" s="1531"/>
      <c r="C39" s="1511"/>
      <c r="D39" s="1534"/>
      <c r="E39" s="1531"/>
      <c r="F39" s="1528"/>
      <c r="G39" s="1531"/>
      <c r="H39" s="1531"/>
      <c r="I39" s="1531"/>
      <c r="J39" s="1528"/>
      <c r="K39" s="1537"/>
      <c r="L39" s="1537"/>
      <c r="M39" s="1528"/>
      <c r="N39" s="1528"/>
      <c r="O39" s="1527"/>
      <c r="P39" s="1528"/>
    </row>
    <row r="40" spans="1:16">
      <c r="A40" s="1528"/>
      <c r="B40" s="1528" t="s">
        <v>2392</v>
      </c>
      <c r="C40" s="1528"/>
      <c r="D40" s="1528"/>
      <c r="E40" s="1528"/>
      <c r="F40" s="1528" t="str">
        <f>'Part I-Project Information'!F15</f>
        <v>Ken Blankenship</v>
      </c>
      <c r="G40" s="1528"/>
      <c r="H40" s="1528"/>
      <c r="I40" s="1528"/>
      <c r="J40" s="1528"/>
      <c r="K40" s="1528"/>
      <c r="L40" s="1528"/>
      <c r="M40" s="1534" t="s">
        <v>2065</v>
      </c>
      <c r="N40" s="1528" t="str">
        <f>'Part I-Project Information'!N15</f>
        <v>Manager</v>
      </c>
      <c r="O40" s="1528"/>
      <c r="P40" s="1528"/>
    </row>
    <row r="41" spans="1:16">
      <c r="A41" s="1528"/>
      <c r="B41" s="1534" t="s">
        <v>2066</v>
      </c>
      <c r="C41" s="1528"/>
      <c r="D41" s="1528"/>
      <c r="E41" s="1528"/>
      <c r="F41" s="1528" t="str">
        <f>'Part I-Project Information'!F16</f>
        <v>3715 Northside Parkway Bldg 200 Ste 175</v>
      </c>
      <c r="G41" s="1528"/>
      <c r="H41" s="1528"/>
      <c r="I41" s="1528"/>
      <c r="J41" s="1528"/>
      <c r="K41" s="1528"/>
      <c r="L41" s="1528"/>
      <c r="M41" s="1534" t="s">
        <v>1797</v>
      </c>
      <c r="N41" s="1528"/>
      <c r="O41" s="1540">
        <f>'Part I-Project Information'!O16</f>
        <v>4049493873</v>
      </c>
      <c r="P41" s="1540"/>
    </row>
    <row r="42" spans="1:16">
      <c r="A42" s="1528"/>
      <c r="B42" s="1534" t="s">
        <v>648</v>
      </c>
      <c r="C42" s="1528"/>
      <c r="D42" s="1528"/>
      <c r="E42" s="1528"/>
      <c r="F42" s="1528" t="str">
        <f>'Part I-Project Information'!F17</f>
        <v>Atlanta</v>
      </c>
      <c r="G42" s="1528"/>
      <c r="H42" s="1528"/>
      <c r="I42" s="1528"/>
      <c r="J42" s="1528"/>
      <c r="K42" s="1528"/>
      <c r="L42" s="1528"/>
      <c r="M42" s="1534" t="s">
        <v>1878</v>
      </c>
      <c r="N42" s="1528"/>
      <c r="O42" s="1540">
        <f>'Part I-Project Information'!O17</f>
        <v>4049493880</v>
      </c>
      <c r="P42" s="1540"/>
    </row>
    <row r="43" spans="1:16">
      <c r="A43" s="1528"/>
      <c r="B43" s="1534" t="s">
        <v>1875</v>
      </c>
      <c r="C43" s="1528"/>
      <c r="D43" s="1528"/>
      <c r="E43" s="1528"/>
      <c r="F43" s="1541" t="str">
        <f>'Part I-Project Information'!F18</f>
        <v>GA</v>
      </c>
      <c r="G43" s="1528"/>
      <c r="H43" s="1528"/>
      <c r="I43" s="1531" t="s">
        <v>2319</v>
      </c>
      <c r="J43" s="1542">
        <f>'Part I-Project Information'!J18</f>
        <v>303272800</v>
      </c>
      <c r="K43" s="1542"/>
      <c r="L43" s="1528"/>
      <c r="M43" s="1534" t="s">
        <v>2064</v>
      </c>
      <c r="N43" s="1528"/>
      <c r="O43" s="1540">
        <f>'Part I-Project Information'!O18</f>
        <v>7708619049</v>
      </c>
      <c r="P43" s="1540"/>
    </row>
    <row r="44" spans="1:16">
      <c r="A44" s="1528"/>
      <c r="B44" s="1534" t="s">
        <v>1796</v>
      </c>
      <c r="C44" s="1528"/>
      <c r="D44" s="1528"/>
      <c r="E44" s="1528"/>
      <c r="F44" s="1540">
        <f>'Part I-Project Information'!F19</f>
        <v>4049493873</v>
      </c>
      <c r="G44" s="1540"/>
      <c r="H44" s="1540"/>
      <c r="I44" s="1531" t="s">
        <v>1795</v>
      </c>
      <c r="J44" s="1531">
        <f>'Part I-Project Information'!J19</f>
        <v>0</v>
      </c>
      <c r="K44" s="1531" t="s">
        <v>2069</v>
      </c>
      <c r="L44" s="1528" t="str">
        <f>'Part I-Project Information'!L19</f>
        <v>ken@prestwickcompanies.com</v>
      </c>
      <c r="M44" s="1528"/>
      <c r="N44" s="1528"/>
      <c r="O44" s="1528"/>
      <c r="P44" s="1528"/>
    </row>
    <row r="45" spans="1:16" ht="13.5">
      <c r="A45" s="1511"/>
      <c r="B45" s="1530" t="s">
        <v>686</v>
      </c>
      <c r="C45" s="1528"/>
      <c r="D45" s="1531"/>
      <c r="E45" s="1528"/>
      <c r="F45" s="1528"/>
      <c r="G45" s="1531"/>
      <c r="H45" s="1531"/>
      <c r="I45" s="1531"/>
      <c r="J45" s="1528"/>
      <c r="K45" s="1528"/>
      <c r="L45" s="1528"/>
      <c r="M45" s="1528"/>
      <c r="N45" s="1528"/>
      <c r="O45" s="1528"/>
      <c r="P45" s="1528"/>
    </row>
    <row r="46" spans="1:16">
      <c r="A46" s="1527"/>
      <c r="B46" s="1527"/>
      <c r="C46" s="1533"/>
      <c r="D46" s="1528"/>
      <c r="E46" s="1528"/>
      <c r="F46" s="1528"/>
      <c r="G46" s="1528"/>
      <c r="H46" s="1531"/>
      <c r="I46" s="1528"/>
      <c r="J46" s="1533"/>
      <c r="K46" s="1528"/>
      <c r="L46" s="1528"/>
      <c r="M46" s="1528"/>
      <c r="N46" s="1528"/>
      <c r="O46" s="1528"/>
      <c r="P46" s="1543"/>
    </row>
    <row r="47" spans="1:16">
      <c r="A47" s="1529" t="s">
        <v>1868</v>
      </c>
      <c r="B47" s="1511" t="s">
        <v>1539</v>
      </c>
      <c r="C47" s="1528"/>
      <c r="D47" s="1533"/>
      <c r="E47" s="1531"/>
      <c r="F47" s="1531"/>
      <c r="G47" s="1534"/>
      <c r="H47" s="1531"/>
      <c r="I47" s="1531"/>
      <c r="J47" s="1531"/>
      <c r="K47" s="1528"/>
      <c r="L47" s="1537"/>
      <c r="M47" s="1537"/>
      <c r="N47" s="1528"/>
      <c r="O47" s="1528"/>
      <c r="P47" s="1528"/>
    </row>
    <row r="48" spans="1:16">
      <c r="A48" s="1529"/>
      <c r="B48" s="1511"/>
      <c r="C48" s="1528"/>
      <c r="D48" s="1533"/>
      <c r="E48" s="1531"/>
      <c r="F48" s="1531"/>
      <c r="G48" s="1534"/>
      <c r="H48" s="1531"/>
      <c r="I48" s="1531"/>
      <c r="J48" s="1531"/>
      <c r="K48" s="1528"/>
      <c r="L48" s="1537"/>
      <c r="M48" s="1528"/>
      <c r="N48" s="1528"/>
      <c r="O48" s="1528"/>
      <c r="P48" s="1528"/>
    </row>
    <row r="49" spans="1:16">
      <c r="A49" s="1511"/>
      <c r="B49" s="1528" t="s">
        <v>647</v>
      </c>
      <c r="C49" s="1528"/>
      <c r="D49" s="1511"/>
      <c r="E49" s="1528"/>
      <c r="F49" s="1544" t="str">
        <f>'Part I-Project Information'!F24</f>
        <v>Gateway Capitol View</v>
      </c>
      <c r="G49" s="1544"/>
      <c r="H49" s="1544"/>
      <c r="I49" s="1544"/>
      <c r="J49" s="1544"/>
      <c r="K49" s="1544"/>
      <c r="L49" s="1534" t="s">
        <v>2281</v>
      </c>
      <c r="M49" s="1528"/>
      <c r="N49" s="1528"/>
      <c r="O49" s="1528" t="str">
        <f>'Part I-Project Information'!O24</f>
        <v>No</v>
      </c>
      <c r="P49" s="1528"/>
    </row>
    <row r="50" spans="1:16">
      <c r="A50" s="1545"/>
      <c r="B50" s="1528" t="s">
        <v>2819</v>
      </c>
      <c r="C50" s="1528"/>
      <c r="D50" s="1537"/>
      <c r="E50" s="1528"/>
      <c r="F50" s="1544" t="str">
        <f>'Part I-Project Information'!F25</f>
        <v>1374 Murphy Avenue</v>
      </c>
      <c r="G50" s="1544"/>
      <c r="H50" s="1544"/>
      <c r="I50" s="1544"/>
      <c r="J50" s="1544"/>
      <c r="K50" s="1544"/>
      <c r="L50" s="1528" t="s">
        <v>4483</v>
      </c>
      <c r="M50" s="1528"/>
      <c r="N50" s="1528"/>
      <c r="O50" s="1528" t="str">
        <f>'Part I-Project Information'!O25</f>
        <v>N/A</v>
      </c>
      <c r="P50" s="1528"/>
    </row>
    <row r="51" spans="1:16">
      <c r="A51" s="1545"/>
      <c r="B51" s="1528" t="s">
        <v>4544</v>
      </c>
      <c r="C51" s="1528"/>
      <c r="D51" s="1537"/>
      <c r="E51" s="1528"/>
      <c r="F51" s="1544">
        <f>'Part I-Project Information'!F26</f>
        <v>0</v>
      </c>
      <c r="G51" s="1544"/>
      <c r="H51" s="1544"/>
      <c r="I51" s="1544"/>
      <c r="J51" s="1544"/>
      <c r="K51" s="1544"/>
      <c r="L51" s="1534" t="s">
        <v>2138</v>
      </c>
      <c r="M51" s="1528"/>
      <c r="N51" s="1528" t="str">
        <f>'Part I-Project Information'!N26</f>
        <v>No</v>
      </c>
      <c r="O51" s="1531" t="s">
        <v>4482</v>
      </c>
      <c r="P51" s="1528" t="str">
        <f>'Part I-Project Information'!P26</f>
        <v>N/A</v>
      </c>
    </row>
    <row r="52" spans="1:16">
      <c r="A52" s="1545"/>
      <c r="B52" s="1528" t="s">
        <v>3009</v>
      </c>
      <c r="C52" s="1528"/>
      <c r="D52" s="1537"/>
      <c r="E52" s="1528"/>
      <c r="F52" s="1544" t="str">
        <f>'Part I-Project Information'!F27</f>
        <v>33.717639, -84.42391,964</v>
      </c>
      <c r="G52" s="1544"/>
      <c r="H52" s="1544"/>
      <c r="I52" s="1544"/>
      <c r="J52" s="1544"/>
      <c r="K52" s="1544"/>
      <c r="L52" s="1534" t="s">
        <v>2374</v>
      </c>
      <c r="M52" s="1528"/>
      <c r="N52" s="1528"/>
      <c r="O52" s="1546">
        <f>'Part I-Project Information'!O27</f>
        <v>3.089</v>
      </c>
      <c r="P52" s="1546"/>
    </row>
    <row r="53" spans="1:16" ht="16.5">
      <c r="A53" s="1527"/>
      <c r="B53" s="1528" t="s">
        <v>648</v>
      </c>
      <c r="C53" s="1528"/>
      <c r="D53" s="1528"/>
      <c r="E53" s="1528"/>
      <c r="F53" s="1528" t="str">
        <f>'Part I-Project Information'!F28</f>
        <v>Atlanta</v>
      </c>
      <c r="G53" s="1528"/>
      <c r="H53" s="1528"/>
      <c r="I53" s="1539" t="s">
        <v>4545</v>
      </c>
      <c r="J53" s="1542">
        <f>'Part I-Project Information'!J28</f>
        <v>303100000</v>
      </c>
      <c r="K53" s="1542"/>
      <c r="L53" s="1511" t="str">
        <f>IF(AND(NOT(F49=""),NOT(F53="Select from list"),J53=""),"Enter Zip!","")</f>
        <v/>
      </c>
      <c r="M53" s="1547" t="s">
        <v>3205</v>
      </c>
      <c r="N53" s="1528"/>
      <c r="O53" s="1548" t="str">
        <f>'Part I-Project Information'!O28</f>
        <v>66.01</v>
      </c>
      <c r="P53" s="1549"/>
    </row>
    <row r="54" spans="1:16">
      <c r="A54" s="1527"/>
      <c r="B54" s="1528" t="s">
        <v>4096</v>
      </c>
      <c r="C54" s="1528"/>
      <c r="D54" s="1528"/>
      <c r="E54" s="1528"/>
      <c r="F54" s="1528" t="str">
        <f>'Part I-Project Information'!F29</f>
        <v>Within City Limits</v>
      </c>
      <c r="G54" s="1528"/>
      <c r="H54" s="1528"/>
      <c r="I54" s="1550" t="s">
        <v>649</v>
      </c>
      <c r="J54" s="1544" t="str">
        <f>'Part I-Project Information'!J29</f>
        <v>Fulton</v>
      </c>
      <c r="K54" s="1544"/>
      <c r="L54" s="1528"/>
      <c r="M54" s="1534" t="s">
        <v>471</v>
      </c>
      <c r="N54" s="1551" t="str">
        <f>'Part I-Project Information'!N29</f>
        <v>Yes</v>
      </c>
      <c r="O54" s="1531" t="s">
        <v>472</v>
      </c>
      <c r="P54" s="1551">
        <f>'Part I-Project Information'!P29</f>
        <v>0</v>
      </c>
    </row>
    <row r="55" spans="1:16">
      <c r="A55" s="1527"/>
      <c r="B55" s="1511"/>
      <c r="C55" s="1528" t="s">
        <v>1625</v>
      </c>
      <c r="D55" s="1528"/>
      <c r="E55" s="1528"/>
      <c r="F55" s="1534" t="str">
        <f>'Part I-Project Information'!F30</f>
        <v>No</v>
      </c>
      <c r="G55" s="1528" t="s">
        <v>3010</v>
      </c>
      <c r="H55" s="1528"/>
      <c r="I55" s="1531" t="str">
        <f>'Part I-Project Information'!I30</f>
        <v>No</v>
      </c>
      <c r="J55" s="1531" t="s">
        <v>3031</v>
      </c>
      <c r="K55" s="1531" t="str">
        <f>'Part I-Project Information'!K30</f>
        <v>Urban</v>
      </c>
      <c r="L55" s="1528"/>
      <c r="M55" s="1534" t="s">
        <v>2711</v>
      </c>
      <c r="N55" s="1527" t="e">
        <f>VLOOKUP($J$29,'DCA Underwriting Assumptions'!$G$141:$J$300,4)</f>
        <v>#N/A</v>
      </c>
      <c r="O55" s="1528" t="str">
        <f>'Part I-Project Information'!O30</f>
        <v>Atlanta-Sandy Springs-Marietta</v>
      </c>
      <c r="P55" s="1528"/>
    </row>
    <row r="56" spans="1:16">
      <c r="A56" s="1527"/>
      <c r="B56" s="1511"/>
      <c r="C56" s="1511"/>
      <c r="D56" s="1528"/>
      <c r="E56" s="1528"/>
      <c r="F56" s="1528"/>
      <c r="G56" s="1528"/>
      <c r="H56" s="1528"/>
      <c r="I56" s="1534"/>
      <c r="J56" s="1528"/>
      <c r="K56" s="1528"/>
      <c r="L56" s="1552"/>
      <c r="M56" s="1552"/>
      <c r="N56" s="1552"/>
      <c r="O56" s="1552"/>
      <c r="P56" s="1552"/>
    </row>
    <row r="57" spans="1:16" ht="13.5">
      <c r="A57" s="1527"/>
      <c r="B57" s="1528"/>
      <c r="C57" s="1528" t="s">
        <v>4546</v>
      </c>
      <c r="D57" s="1528"/>
      <c r="E57" s="1528"/>
      <c r="F57" s="1553" t="s">
        <v>2967</v>
      </c>
      <c r="G57" s="1553"/>
      <c r="H57" s="1528" t="s">
        <v>773</v>
      </c>
      <c r="I57" s="1528"/>
      <c r="J57" s="1528" t="s">
        <v>774</v>
      </c>
      <c r="K57" s="1528"/>
      <c r="L57" s="1554" t="s">
        <v>4547</v>
      </c>
      <c r="M57" s="1528"/>
      <c r="N57" s="1528"/>
      <c r="O57" s="1528"/>
      <c r="P57" s="1528"/>
    </row>
    <row r="58" spans="1:16">
      <c r="A58" s="1527"/>
      <c r="B58" s="1528" t="s">
        <v>4548</v>
      </c>
      <c r="C58" s="1528"/>
      <c r="D58" s="1511"/>
      <c r="E58" s="1528"/>
      <c r="F58" s="1555">
        <f>'Part I-Project Information'!F33</f>
        <v>5</v>
      </c>
      <c r="G58" s="1555"/>
      <c r="H58" s="1555">
        <f>'Part I-Project Information'!H33</f>
        <v>36</v>
      </c>
      <c r="I58" s="1555"/>
      <c r="J58" s="1555">
        <f>'Part I-Project Information'!J33</f>
        <v>58</v>
      </c>
      <c r="K58" s="1555"/>
      <c r="L58" s="1532" t="s">
        <v>1337</v>
      </c>
      <c r="M58" s="1528"/>
      <c r="N58" s="1556" t="s">
        <v>1338</v>
      </c>
      <c r="O58" s="1556"/>
      <c r="P58" s="1556"/>
    </row>
    <row r="59" spans="1:16">
      <c r="A59" s="1527"/>
      <c r="B59" s="1534" t="s">
        <v>775</v>
      </c>
      <c r="C59" s="1528"/>
      <c r="D59" s="1528"/>
      <c r="E59" s="1528"/>
      <c r="F59" s="1555">
        <f>'Part I-Project Information'!F34</f>
        <v>0</v>
      </c>
      <c r="G59" s="1555"/>
      <c r="H59" s="1555">
        <f>'Part I-Project Information'!H34</f>
        <v>0</v>
      </c>
      <c r="I59" s="1555"/>
      <c r="J59" s="1555">
        <f>'Part I-Project Information'!J34</f>
        <v>0</v>
      </c>
      <c r="K59" s="1555"/>
      <c r="L59" s="1532" t="s">
        <v>2965</v>
      </c>
      <c r="M59" s="1528"/>
      <c r="N59" s="1557" t="s">
        <v>2964</v>
      </c>
      <c r="O59" s="1557"/>
      <c r="P59" s="1528"/>
    </row>
    <row r="60" spans="1:16">
      <c r="A60" s="1527"/>
      <c r="B60" s="1528"/>
      <c r="C60" s="1528"/>
      <c r="D60" s="1528"/>
      <c r="E60" s="1528"/>
      <c r="F60" s="1528"/>
      <c r="G60" s="1528"/>
      <c r="H60" s="1528"/>
      <c r="I60" s="1552"/>
      <c r="J60" s="1552"/>
      <c r="K60" s="1552"/>
      <c r="L60" s="1528"/>
      <c r="M60" s="1528"/>
      <c r="N60" s="1528"/>
      <c r="O60" s="1528"/>
      <c r="P60" s="1528"/>
    </row>
    <row r="61" spans="1:16">
      <c r="A61" s="1527"/>
      <c r="B61" s="1511" t="s">
        <v>667</v>
      </c>
      <c r="C61" s="1528"/>
      <c r="D61" s="1528"/>
      <c r="E61" s="1528"/>
      <c r="F61" s="1558" t="str">
        <f>'Part I-Project Information'!F36</f>
        <v>City of Atlanta</v>
      </c>
      <c r="G61" s="1558"/>
      <c r="H61" s="1558"/>
      <c r="I61" s="1558"/>
      <c r="J61" s="1558"/>
      <c r="K61" s="1558"/>
      <c r="L61" s="1559" t="s">
        <v>2832</v>
      </c>
      <c r="M61" s="1528" t="str">
        <f>'Part I-Project Information'!M36</f>
        <v>http://www.atlantaga.gov/</v>
      </c>
      <c r="N61" s="1528"/>
      <c r="O61" s="1528"/>
      <c r="P61" s="1528"/>
    </row>
    <row r="62" spans="1:16">
      <c r="A62" s="1527"/>
      <c r="B62" s="1528" t="s">
        <v>668</v>
      </c>
      <c r="C62" s="1528"/>
      <c r="D62" s="1528"/>
      <c r="E62" s="1528"/>
      <c r="F62" s="1558" t="str">
        <f>'Part I-Project Information'!F37</f>
        <v>Kasim Reed</v>
      </c>
      <c r="G62" s="1558"/>
      <c r="H62" s="1558"/>
      <c r="I62" s="1531" t="s">
        <v>2065</v>
      </c>
      <c r="J62" s="1528" t="str">
        <f>'Part I-Project Information'!J37</f>
        <v>Mayor</v>
      </c>
      <c r="K62" s="1528"/>
      <c r="L62" s="1559"/>
      <c r="M62" s="1528"/>
      <c r="N62" s="1528"/>
      <c r="O62" s="1528"/>
      <c r="P62" s="1528"/>
    </row>
    <row r="63" spans="1:16">
      <c r="A63" s="1527"/>
      <c r="B63" s="1528" t="s">
        <v>2066</v>
      </c>
      <c r="C63" s="1528"/>
      <c r="D63" s="1528"/>
      <c r="E63" s="1528"/>
      <c r="F63" s="1558" t="str">
        <f>'Part I-Project Information'!F38</f>
        <v>55 Trinity Avenue, Suite 2500</v>
      </c>
      <c r="G63" s="1558"/>
      <c r="H63" s="1558"/>
      <c r="I63" s="1558"/>
      <c r="J63" s="1558"/>
      <c r="K63" s="1558"/>
      <c r="L63" s="1534" t="s">
        <v>648</v>
      </c>
      <c r="M63" s="1558" t="str">
        <f>'Part I-Project Information'!M38</f>
        <v>Atlanta</v>
      </c>
      <c r="N63" s="1558"/>
      <c r="O63" s="1558"/>
      <c r="P63" s="1558"/>
    </row>
    <row r="64" spans="1:16">
      <c r="A64" s="1527"/>
      <c r="B64" s="1534" t="s">
        <v>2319</v>
      </c>
      <c r="C64" s="1528"/>
      <c r="D64" s="1528"/>
      <c r="E64" s="1528"/>
      <c r="F64" s="1542">
        <f>'Part I-Project Information'!F39</f>
        <v>303030000</v>
      </c>
      <c r="G64" s="1542"/>
      <c r="H64" s="1531" t="s">
        <v>2067</v>
      </c>
      <c r="I64" s="1540">
        <f>'Part I-Project Information'!I39</f>
        <v>4043306100</v>
      </c>
      <c r="J64" s="1540"/>
      <c r="K64" s="1540"/>
      <c r="L64" s="1534" t="s">
        <v>1876</v>
      </c>
      <c r="M64" s="1558">
        <f>'Part I-Project Information'!M39</f>
        <v>0</v>
      </c>
      <c r="N64" s="1558"/>
      <c r="O64" s="1558"/>
      <c r="P64" s="1558"/>
    </row>
    <row r="65" spans="1:16">
      <c r="A65" s="1527"/>
      <c r="B65" s="1527"/>
      <c r="C65" s="1560"/>
      <c r="D65" s="1539"/>
      <c r="E65" s="1539"/>
      <c r="F65" s="1531"/>
      <c r="G65" s="1531"/>
      <c r="H65" s="1531"/>
      <c r="I65" s="1531"/>
      <c r="J65" s="1539"/>
      <c r="K65" s="1531"/>
      <c r="L65" s="1531"/>
      <c r="M65" s="1528"/>
      <c r="N65" s="1528"/>
      <c r="O65" s="1528"/>
      <c r="P65" s="1543"/>
    </row>
    <row r="66" spans="1:16">
      <c r="A66" s="1529" t="s">
        <v>1870</v>
      </c>
      <c r="B66" s="1511" t="s">
        <v>1540</v>
      </c>
      <c r="C66" s="1528"/>
      <c r="D66" s="1528"/>
      <c r="E66" s="1528"/>
      <c r="F66" s="1561"/>
      <c r="G66" s="1528"/>
      <c r="H66" s="1528"/>
      <c r="I66" s="1534"/>
      <c r="J66" s="1528"/>
      <c r="K66" s="1528"/>
      <c r="L66" s="1528"/>
      <c r="M66" s="1528"/>
      <c r="N66" s="1528"/>
      <c r="O66" s="1528"/>
      <c r="P66" s="1528"/>
    </row>
    <row r="67" spans="1:16">
      <c r="A67" s="1527"/>
      <c r="B67" s="1511"/>
      <c r="C67" s="1511"/>
      <c r="D67" s="1528"/>
      <c r="E67" s="1528"/>
      <c r="F67" s="1528"/>
      <c r="G67" s="1528"/>
      <c r="H67" s="1528"/>
      <c r="I67" s="1534"/>
      <c r="J67" s="1528"/>
      <c r="K67" s="1528"/>
      <c r="L67" s="1528"/>
      <c r="M67" s="1528"/>
      <c r="N67" s="1528"/>
      <c r="O67" s="1528"/>
      <c r="P67" s="1528"/>
    </row>
    <row r="68" spans="1:16">
      <c r="A68" s="1527"/>
      <c r="B68" s="1527" t="s">
        <v>2068</v>
      </c>
      <c r="C68" s="1511" t="s">
        <v>4549</v>
      </c>
      <c r="D68" s="1528"/>
      <c r="E68" s="1528"/>
      <c r="F68" s="1528"/>
      <c r="G68" s="1528"/>
      <c r="H68" s="1528"/>
      <c r="I68" s="1528"/>
      <c r="J68" s="1528"/>
      <c r="K68" s="1532"/>
      <c r="L68" s="1528"/>
      <c r="M68" s="1556"/>
      <c r="N68" s="1556"/>
      <c r="O68" s="1556"/>
      <c r="P68" s="1556"/>
    </row>
    <row r="69" spans="1:16" ht="13.5">
      <c r="A69" s="1533"/>
      <c r="B69" s="1527"/>
      <c r="C69" s="1528" t="s">
        <v>2386</v>
      </c>
      <c r="D69" s="1528"/>
      <c r="E69" s="1528"/>
      <c r="F69" s="1533"/>
      <c r="G69" s="1533"/>
      <c r="H69" s="1562">
        <f>'Part VI-Revenues &amp; Expenses'!$O$74</f>
        <v>162</v>
      </c>
      <c r="I69" s="1533"/>
      <c r="J69" s="1533"/>
      <c r="K69" s="1534" t="s">
        <v>4464</v>
      </c>
      <c r="L69" s="1528"/>
      <c r="M69" s="1563" t="s">
        <v>4463</v>
      </c>
      <c r="N69" s="1562">
        <f>'Part VI-Revenues &amp; Expenses'!$O$81</f>
        <v>0</v>
      </c>
      <c r="O69" s="1564" t="s">
        <v>3688</v>
      </c>
      <c r="P69" s="1562">
        <f>'Part VI-Revenues &amp; Expenses'!$O$82</f>
        <v>0</v>
      </c>
    </row>
    <row r="70" spans="1:16">
      <c r="A70" s="1527"/>
      <c r="B70" s="1527"/>
      <c r="C70" s="1565" t="s">
        <v>361</v>
      </c>
      <c r="D70" s="1528"/>
      <c r="E70" s="1528"/>
      <c r="F70" s="1528"/>
      <c r="G70" s="1528"/>
      <c r="H70" s="1562">
        <f>'Part VI-Revenues &amp; Expenses'!$O$80</f>
        <v>0</v>
      </c>
      <c r="I70" s="1528"/>
      <c r="J70" s="1528"/>
      <c r="K70" s="1565" t="s">
        <v>381</v>
      </c>
      <c r="L70" s="1528"/>
      <c r="M70" s="1528"/>
      <c r="N70" s="1528"/>
      <c r="O70" s="1528"/>
      <c r="P70" s="1562">
        <f>'Part VI-Revenues &amp; Expenses'!$O$84</f>
        <v>0</v>
      </c>
    </row>
    <row r="71" spans="1:16">
      <c r="A71" s="1528"/>
      <c r="B71" s="1527"/>
      <c r="C71" s="1534" t="s">
        <v>360</v>
      </c>
      <c r="D71" s="1528"/>
      <c r="E71" s="1528"/>
      <c r="F71" s="1528"/>
      <c r="G71" s="1528"/>
      <c r="H71" s="1562">
        <f>'Part VI-Revenues &amp; Expenses'!$O$77</f>
        <v>0</v>
      </c>
      <c r="I71" s="1566" t="s">
        <v>3211</v>
      </c>
      <c r="J71" s="1528"/>
      <c r="K71" s="1528" t="s">
        <v>362</v>
      </c>
      <c r="L71" s="1528"/>
      <c r="M71" s="1528"/>
      <c r="N71" s="1528"/>
      <c r="O71" s="1528"/>
      <c r="P71" s="1567" t="str">
        <f>'Part I-Project Information'!P46</f>
        <v>N/A</v>
      </c>
    </row>
    <row r="72" spans="1:16">
      <c r="A72" s="1527"/>
      <c r="B72" s="1528"/>
      <c r="C72" s="1528"/>
      <c r="D72" s="1528"/>
      <c r="E72" s="1528"/>
      <c r="F72" s="1528"/>
      <c r="G72" s="1528"/>
      <c r="H72" s="1528"/>
      <c r="I72" s="1528"/>
      <c r="J72" s="1528"/>
      <c r="K72" s="1528"/>
      <c r="L72" s="1528"/>
      <c r="M72" s="1528"/>
      <c r="N72" s="1528"/>
      <c r="O72" s="1528"/>
      <c r="P72" s="1528"/>
    </row>
    <row r="73" spans="1:16">
      <c r="A73" s="1527"/>
      <c r="B73" s="1527" t="s">
        <v>2071</v>
      </c>
      <c r="C73" s="1511" t="s">
        <v>2387</v>
      </c>
      <c r="D73" s="1528"/>
      <c r="E73" s="1528"/>
      <c r="F73" s="1528"/>
      <c r="G73" s="1528"/>
      <c r="H73" s="1531" t="str">
        <f>'Part I-Project Information'!H48</f>
        <v>No</v>
      </c>
      <c r="I73" s="1528"/>
      <c r="J73" s="1528"/>
      <c r="K73" s="1528"/>
      <c r="L73" s="1528"/>
      <c r="M73" s="1528"/>
      <c r="N73" s="1528"/>
      <c r="O73" s="1556"/>
      <c r="P73" s="1532"/>
    </row>
    <row r="74" spans="1:16">
      <c r="A74" s="1527"/>
      <c r="B74" s="1528"/>
      <c r="C74" s="1528"/>
      <c r="D74" s="1528"/>
      <c r="E74" s="1528"/>
      <c r="F74" s="1528"/>
      <c r="G74" s="1528"/>
      <c r="H74" s="1528"/>
      <c r="I74" s="1528"/>
      <c r="J74" s="1532"/>
      <c r="K74" s="1568"/>
      <c r="L74" s="1532"/>
      <c r="M74" s="1568"/>
      <c r="N74" s="1568"/>
      <c r="O74" s="1568"/>
      <c r="P74" s="1568"/>
    </row>
    <row r="75" spans="1:16">
      <c r="A75" s="1527"/>
      <c r="B75" s="1545" t="s">
        <v>786</v>
      </c>
      <c r="C75" s="1511" t="s">
        <v>2367</v>
      </c>
      <c r="D75" s="1528"/>
      <c r="E75" s="1528"/>
      <c r="F75" s="1528"/>
      <c r="G75" s="1528"/>
      <c r="H75" s="1528"/>
      <c r="I75" s="1569" t="s">
        <v>4090</v>
      </c>
      <c r="J75" s="1545" t="s">
        <v>2203</v>
      </c>
      <c r="K75" s="1570" t="s">
        <v>2393</v>
      </c>
      <c r="L75" s="1528"/>
      <c r="M75" s="1528"/>
      <c r="N75" s="1528"/>
      <c r="O75" s="1528"/>
      <c r="P75" s="1531"/>
    </row>
    <row r="76" spans="1:16">
      <c r="A76" s="1527"/>
      <c r="B76" s="1541"/>
      <c r="C76" s="1533" t="s">
        <v>2368</v>
      </c>
      <c r="D76" s="1528"/>
      <c r="E76" s="1528"/>
      <c r="F76" s="1528"/>
      <c r="G76" s="1528"/>
      <c r="H76" s="1571">
        <f>SUM(H77:H78)</f>
        <v>162</v>
      </c>
      <c r="I76" s="1571">
        <f>SUM(I77:I78)</f>
        <v>162</v>
      </c>
      <c r="J76" s="1527"/>
      <c r="K76" s="1533" t="s">
        <v>3001</v>
      </c>
      <c r="L76" s="1528"/>
      <c r="M76" s="1528"/>
      <c r="N76" s="1528"/>
      <c r="O76" s="1528"/>
      <c r="P76" s="1571">
        <f>'Part VI-Revenues &amp; Expenses'!$O$115</f>
        <v>134359</v>
      </c>
    </row>
    <row r="77" spans="1:16">
      <c r="A77" s="1527"/>
      <c r="B77" s="1533"/>
      <c r="C77" s="1528"/>
      <c r="D77" s="1553" t="s">
        <v>400</v>
      </c>
      <c r="E77" s="1528"/>
      <c r="F77" s="1528"/>
      <c r="G77" s="1528"/>
      <c r="H77" s="1571">
        <f>'Part VI-Revenues &amp; Expenses'!$O$57</f>
        <v>33</v>
      </c>
      <c r="I77" s="1571">
        <f>'Part VI-Revenues &amp; Expenses'!$O$65</f>
        <v>33</v>
      </c>
      <c r="J77" s="1528"/>
      <c r="K77" s="1533" t="s">
        <v>3002</v>
      </c>
      <c r="L77" s="1528"/>
      <c r="M77" s="1528"/>
      <c r="N77" s="1528"/>
      <c r="O77" s="1528"/>
      <c r="P77" s="1571">
        <f>'Part VI-Revenues &amp; Expenses'!$O$116</f>
        <v>0</v>
      </c>
    </row>
    <row r="78" spans="1:16">
      <c r="A78" s="1527"/>
      <c r="B78" s="1528"/>
      <c r="C78" s="1528"/>
      <c r="D78" s="1553" t="s">
        <v>1899</v>
      </c>
      <c r="E78" s="1553"/>
      <c r="F78" s="1528"/>
      <c r="G78" s="1528"/>
      <c r="H78" s="1571">
        <f>'Part VI-Revenues &amp; Expenses'!$O$56</f>
        <v>129</v>
      </c>
      <c r="I78" s="1571">
        <f>'Part VI-Revenues &amp; Expenses'!$O$64</f>
        <v>129</v>
      </c>
      <c r="J78" s="1528"/>
      <c r="K78" s="1533" t="s">
        <v>3003</v>
      </c>
      <c r="L78" s="1528"/>
      <c r="M78" s="1528"/>
      <c r="N78" s="1528"/>
      <c r="O78" s="1528"/>
      <c r="P78" s="1571">
        <f>P76+P77</f>
        <v>134359</v>
      </c>
    </row>
    <row r="79" spans="1:16">
      <c r="A79" s="1527"/>
      <c r="B79" s="1528"/>
      <c r="C79" s="1533" t="s">
        <v>265</v>
      </c>
      <c r="D79" s="1528"/>
      <c r="E79" s="1528"/>
      <c r="F79" s="1528"/>
      <c r="G79" s="1528"/>
      <c r="H79" s="1571">
        <f>'Part VI-Revenues &amp; Expenses'!$O$59</f>
        <v>0</v>
      </c>
      <c r="I79" s="1528"/>
      <c r="J79" s="1527"/>
      <c r="K79" s="1533" t="s">
        <v>3004</v>
      </c>
      <c r="L79" s="1528"/>
      <c r="M79" s="1528"/>
      <c r="N79" s="1528"/>
      <c r="O79" s="1528"/>
      <c r="P79" s="1571">
        <f>'Part VI-Revenues &amp; Expenses'!$O$118</f>
        <v>0</v>
      </c>
    </row>
    <row r="80" spans="1:16">
      <c r="A80" s="1527"/>
      <c r="B80" s="1528"/>
      <c r="C80" s="1533" t="s">
        <v>2503</v>
      </c>
      <c r="D80" s="1528"/>
      <c r="E80" s="1528"/>
      <c r="F80" s="1528"/>
      <c r="G80" s="1528"/>
      <c r="H80" s="1571">
        <f>H76+H79</f>
        <v>162</v>
      </c>
      <c r="I80" s="1528"/>
      <c r="J80" s="1527"/>
      <c r="K80" s="1533" t="s">
        <v>1481</v>
      </c>
      <c r="L80" s="1528"/>
      <c r="M80" s="1528"/>
      <c r="N80" s="1528"/>
      <c r="O80" s="1528"/>
      <c r="P80" s="1571">
        <f>+P78+P79</f>
        <v>134359</v>
      </c>
    </row>
    <row r="81" spans="1:16">
      <c r="A81" s="1527"/>
      <c r="B81" s="1528"/>
      <c r="C81" s="1533" t="s">
        <v>2504</v>
      </c>
      <c r="D81" s="1528"/>
      <c r="E81" s="1528"/>
      <c r="F81" s="1528"/>
      <c r="G81" s="1528"/>
      <c r="H81" s="1571">
        <f>'Part VI-Revenues &amp; Expenses'!$O$61</f>
        <v>0</v>
      </c>
      <c r="I81" s="1528"/>
      <c r="J81" s="1527"/>
      <c r="K81" s="1528"/>
      <c r="L81" s="1528"/>
      <c r="M81" s="1528"/>
      <c r="N81" s="1528"/>
      <c r="O81" s="1528"/>
      <c r="P81" s="1528"/>
    </row>
    <row r="82" spans="1:16">
      <c r="A82" s="1527"/>
      <c r="B82" s="1528"/>
      <c r="C82" s="1533" t="s">
        <v>1869</v>
      </c>
      <c r="D82" s="1528"/>
      <c r="E82" s="1528"/>
      <c r="F82" s="1528"/>
      <c r="G82" s="1528"/>
      <c r="H82" s="1571">
        <f>+H80+H81</f>
        <v>162</v>
      </c>
      <c r="I82" s="1528"/>
      <c r="J82" s="1528"/>
      <c r="K82" s="1528"/>
      <c r="L82" s="1528"/>
      <c r="M82" s="1528"/>
      <c r="N82" s="1528"/>
      <c r="O82" s="1528"/>
      <c r="P82" s="1528"/>
    </row>
    <row r="83" spans="1:16">
      <c r="A83" s="1527"/>
      <c r="B83" s="1528"/>
      <c r="C83" s="1528"/>
      <c r="D83" s="1528"/>
      <c r="E83" s="1528"/>
      <c r="F83" s="1528"/>
      <c r="G83" s="1528"/>
      <c r="H83" s="1528"/>
      <c r="I83" s="1531"/>
      <c r="J83" s="1528"/>
      <c r="K83" s="1528"/>
      <c r="L83" s="1531"/>
      <c r="M83" s="1531"/>
      <c r="N83" s="1528"/>
      <c r="O83" s="1528"/>
      <c r="P83" s="1543"/>
    </row>
    <row r="84" spans="1:16">
      <c r="A84" s="1527"/>
      <c r="B84" s="1527" t="s">
        <v>1811</v>
      </c>
      <c r="C84" s="1511" t="s">
        <v>2388</v>
      </c>
      <c r="D84" s="1553" t="s">
        <v>2082</v>
      </c>
      <c r="E84" s="1528"/>
      <c r="F84" s="1528"/>
      <c r="G84" s="1528"/>
      <c r="H84" s="1571">
        <f>'Part I-Project Information'!H59</f>
        <v>1</v>
      </c>
      <c r="I84" s="1528"/>
      <c r="J84" s="1528"/>
      <c r="K84" s="1533" t="s">
        <v>1172</v>
      </c>
      <c r="L84" s="1528"/>
      <c r="M84" s="1528"/>
      <c r="N84" s="1528"/>
      <c r="O84" s="1528"/>
      <c r="P84" s="1571">
        <f>'Part I-Project Information'!P59</f>
        <v>0</v>
      </c>
    </row>
    <row r="85" spans="1:16">
      <c r="A85" s="1527"/>
      <c r="B85" s="1527"/>
      <c r="C85" s="1528"/>
      <c r="D85" s="1541" t="s">
        <v>2083</v>
      </c>
      <c r="E85" s="1528"/>
      <c r="F85" s="1528"/>
      <c r="G85" s="1528"/>
      <c r="H85" s="1571">
        <f>'Part I-Project Information'!H60</f>
        <v>0</v>
      </c>
      <c r="I85" s="1528"/>
      <c r="J85" s="1528"/>
      <c r="K85" s="1533" t="s">
        <v>264</v>
      </c>
      <c r="L85" s="1528"/>
      <c r="M85" s="1528"/>
      <c r="N85" s="1528"/>
      <c r="O85" s="1528"/>
      <c r="P85" s="1571">
        <f>+P80+P84</f>
        <v>134359</v>
      </c>
    </row>
    <row r="86" spans="1:16">
      <c r="A86" s="1527"/>
      <c r="B86" s="1527"/>
      <c r="C86" s="1528"/>
      <c r="D86" s="1541" t="s">
        <v>2084</v>
      </c>
      <c r="E86" s="1528"/>
      <c r="F86" s="1528"/>
      <c r="G86" s="1528"/>
      <c r="H86" s="1571">
        <f>+H84+H85</f>
        <v>1</v>
      </c>
      <c r="I86" s="1528"/>
      <c r="J86" s="1528"/>
      <c r="K86" s="1528"/>
      <c r="L86" s="1528"/>
      <c r="M86" s="1528"/>
      <c r="N86" s="1528"/>
      <c r="O86" s="1528"/>
      <c r="P86" s="1528"/>
    </row>
    <row r="87" spans="1:16">
      <c r="A87" s="1527"/>
      <c r="B87" s="1527"/>
      <c r="C87" s="1528"/>
      <c r="D87" s="1528"/>
      <c r="E87" s="1528"/>
      <c r="F87" s="1528"/>
      <c r="G87" s="1531"/>
      <c r="H87" s="1528"/>
      <c r="I87" s="1533"/>
      <c r="J87" s="1528"/>
      <c r="K87" s="1528"/>
      <c r="L87" s="1528"/>
      <c r="M87" s="1528"/>
      <c r="N87" s="1528"/>
      <c r="O87" s="1528"/>
      <c r="P87" s="1543"/>
    </row>
    <row r="88" spans="1:16">
      <c r="A88" s="1527"/>
      <c r="B88" s="1527" t="s">
        <v>1812</v>
      </c>
      <c r="C88" s="1511" t="s">
        <v>3091</v>
      </c>
      <c r="D88" s="1528"/>
      <c r="E88" s="1528"/>
      <c r="F88" s="1528"/>
      <c r="G88" s="1528"/>
      <c r="H88" s="1571">
        <f>'Part I-Project Information'!H63</f>
        <v>0</v>
      </c>
      <c r="I88" s="1528"/>
      <c r="J88" s="1528"/>
      <c r="K88" s="1528" t="s">
        <v>3094</v>
      </c>
      <c r="L88" s="1528"/>
      <c r="M88" s="1528"/>
      <c r="N88" s="1528"/>
      <c r="O88" s="1528"/>
      <c r="P88" s="1528"/>
    </row>
    <row r="89" spans="1:16">
      <c r="A89" s="1527"/>
      <c r="B89" s="1527"/>
      <c r="C89" s="1533"/>
      <c r="D89" s="1528"/>
      <c r="E89" s="1528"/>
      <c r="F89" s="1528"/>
      <c r="G89" s="1531"/>
      <c r="H89" s="1528"/>
      <c r="I89" s="1533"/>
      <c r="J89" s="1533"/>
      <c r="K89" s="1528"/>
      <c r="L89" s="1528"/>
      <c r="M89" s="1528"/>
      <c r="N89" s="1528"/>
      <c r="O89" s="1528"/>
      <c r="P89" s="1543"/>
    </row>
    <row r="90" spans="1:16">
      <c r="A90" s="1527" t="s">
        <v>555</v>
      </c>
      <c r="B90" s="1572" t="s">
        <v>1241</v>
      </c>
      <c r="C90" s="1528"/>
      <c r="D90" s="1572"/>
      <c r="E90" s="1572"/>
      <c r="F90" s="1528"/>
      <c r="G90" s="1531"/>
      <c r="H90" s="1528"/>
      <c r="I90" s="1528"/>
      <c r="J90" s="1528"/>
      <c r="K90" s="1528"/>
      <c r="L90" s="1528"/>
      <c r="M90" s="1528"/>
      <c r="N90" s="1528"/>
      <c r="O90" s="1528"/>
      <c r="P90" s="1528"/>
    </row>
    <row r="91" spans="1:16">
      <c r="A91" s="1527"/>
      <c r="B91" s="1528"/>
      <c r="C91" s="1573"/>
      <c r="D91" s="1573"/>
      <c r="E91" s="1573"/>
      <c r="F91" s="1528"/>
      <c r="G91" s="1531"/>
      <c r="H91" s="1528"/>
      <c r="I91" s="1528"/>
      <c r="J91" s="1528"/>
      <c r="K91" s="1528"/>
      <c r="L91" s="1528"/>
      <c r="M91" s="1528"/>
      <c r="N91" s="1528"/>
      <c r="O91" s="1528"/>
      <c r="P91" s="1543"/>
    </row>
    <row r="92" spans="1:16">
      <c r="A92" s="1527"/>
      <c r="B92" s="1527" t="s">
        <v>2068</v>
      </c>
      <c r="C92" s="1529" t="s">
        <v>4550</v>
      </c>
      <c r="D92" s="1573"/>
      <c r="E92" s="1573"/>
      <c r="F92" s="1528"/>
      <c r="G92" s="1531"/>
      <c r="H92" s="1553" t="str">
        <f>'Part I-Project Information'!H67</f>
        <v>HFOP</v>
      </c>
      <c r="I92" s="1553"/>
      <c r="J92" s="1528"/>
      <c r="K92" s="1528" t="s">
        <v>1848</v>
      </c>
      <c r="L92" s="1528"/>
      <c r="M92" s="1528"/>
      <c r="N92" s="1528" t="str">
        <f>'Part I-Project Information'!N67</f>
        <v>N/A</v>
      </c>
      <c r="O92" s="1528"/>
      <c r="P92" s="1528"/>
    </row>
    <row r="93" spans="1:16">
      <c r="A93" s="1527"/>
      <c r="B93" s="1527"/>
      <c r="C93" s="1528"/>
      <c r="D93" s="1541"/>
      <c r="E93" s="1541"/>
      <c r="F93" s="1541"/>
      <c r="G93" s="1541"/>
      <c r="H93" s="1528"/>
      <c r="I93" s="1531"/>
      <c r="J93" s="1528"/>
      <c r="K93" s="1534"/>
      <c r="L93" s="1534"/>
      <c r="M93" s="1531"/>
      <c r="N93" s="1528"/>
      <c r="O93" s="1528"/>
      <c r="P93" s="1543"/>
    </row>
    <row r="94" spans="1:16" ht="12.75" customHeight="1">
      <c r="A94" s="1527"/>
      <c r="B94" s="1527"/>
      <c r="C94" s="1528"/>
      <c r="D94" s="1528"/>
      <c r="E94" s="1573"/>
      <c r="F94" s="1528"/>
      <c r="G94" s="1528"/>
      <c r="H94" s="1528"/>
      <c r="I94" s="1528"/>
      <c r="J94" s="1528"/>
      <c r="K94" s="1574" t="s">
        <v>3647</v>
      </c>
      <c r="L94" s="1574"/>
      <c r="M94" s="1575" t="s">
        <v>3212</v>
      </c>
      <c r="N94" s="1571" t="str">
        <f>'Part I-Project Information'!N69</f>
        <v>N/A</v>
      </c>
      <c r="O94" s="1575" t="s">
        <v>3213</v>
      </c>
      <c r="P94" s="1571" t="str">
        <f>'Part I-Project Information'!P69</f>
        <v>N/A</v>
      </c>
    </row>
    <row r="95" spans="1:16" ht="12.75" customHeight="1">
      <c r="A95" s="1527"/>
      <c r="B95" s="1527"/>
      <c r="C95" s="1528"/>
      <c r="D95" s="1541"/>
      <c r="E95" s="1541"/>
      <c r="F95" s="1541"/>
      <c r="G95" s="1541"/>
      <c r="H95" s="1528"/>
      <c r="I95" s="1528"/>
      <c r="J95" s="1528"/>
      <c r="K95" s="1574"/>
      <c r="L95" s="1574"/>
      <c r="M95" s="1531"/>
      <c r="N95" s="1528"/>
      <c r="O95" s="1528"/>
      <c r="P95" s="1543"/>
    </row>
    <row r="96" spans="1:16" ht="12.75" customHeight="1">
      <c r="A96" s="1527"/>
      <c r="B96" s="1527"/>
      <c r="C96" s="1528"/>
      <c r="D96" s="1534"/>
      <c r="E96" s="1573"/>
      <c r="F96" s="1528"/>
      <c r="G96" s="1528"/>
      <c r="H96" s="1528"/>
      <c r="I96" s="1528"/>
      <c r="J96" s="1528"/>
      <c r="K96" s="1574"/>
      <c r="L96" s="1574"/>
      <c r="M96" s="1537" t="s">
        <v>3214</v>
      </c>
      <c r="N96" s="1571" t="str">
        <f>'Part I-Project Information'!N71</f>
        <v>N/A</v>
      </c>
      <c r="O96" s="1537" t="s">
        <v>1669</v>
      </c>
      <c r="P96" s="1571" t="str">
        <f>'Part I-Project Information'!P71</f>
        <v>N/A</v>
      </c>
    </row>
    <row r="97" spans="1:16">
      <c r="A97" s="1527"/>
      <c r="B97" s="1527"/>
      <c r="C97" s="1528"/>
      <c r="D97" s="1541"/>
      <c r="E97" s="1541"/>
      <c r="F97" s="1541"/>
      <c r="G97" s="1541"/>
      <c r="H97" s="1528"/>
      <c r="I97" s="1531"/>
      <c r="J97" s="1528"/>
      <c r="K97" s="1534"/>
      <c r="L97" s="1534"/>
      <c r="M97" s="1531"/>
      <c r="N97" s="1528"/>
      <c r="O97" s="1528"/>
      <c r="P97" s="1543"/>
    </row>
    <row r="98" spans="1:16">
      <c r="A98" s="1527"/>
      <c r="B98" s="1527" t="s">
        <v>2071</v>
      </c>
      <c r="C98" s="1511" t="s">
        <v>1472</v>
      </c>
      <c r="D98" s="1528"/>
      <c r="E98" s="1553"/>
      <c r="F98" s="1541" t="s">
        <v>835</v>
      </c>
      <c r="G98" s="1528"/>
      <c r="H98" s="1571">
        <f>'Part I-Project Information'!H73</f>
        <v>9</v>
      </c>
      <c r="I98" s="1528"/>
      <c r="J98" s="1528"/>
      <c r="K98" s="1528" t="s">
        <v>545</v>
      </c>
      <c r="L98" s="1528"/>
      <c r="M98" s="1528"/>
      <c r="N98" s="1576">
        <f>IF('Part VI-Revenues &amp; Expenses'!$O$62=0,0,H98/'Part VI-Revenues &amp; Expenses'!$O$62)</f>
        <v>5.5555555555555552E-2</v>
      </c>
      <c r="O98" s="1537" t="s">
        <v>4523</v>
      </c>
      <c r="P98" s="1577">
        <f>'DCA Underwriting Assumptions'!$Q$124</f>
        <v>0.05</v>
      </c>
    </row>
    <row r="99" spans="1:16">
      <c r="A99" s="1527"/>
      <c r="B99" s="1527"/>
      <c r="C99" s="1528"/>
      <c r="D99" s="1541" t="s">
        <v>3089</v>
      </c>
      <c r="E99" s="1541"/>
      <c r="F99" s="1541" t="s">
        <v>835</v>
      </c>
      <c r="G99" s="1528"/>
      <c r="H99" s="1571">
        <f>'Part I-Project Information'!H74</f>
        <v>5</v>
      </c>
      <c r="I99" s="1528"/>
      <c r="J99" s="1528"/>
      <c r="K99" s="1528" t="s">
        <v>3090</v>
      </c>
      <c r="L99" s="1528"/>
      <c r="M99" s="1528"/>
      <c r="N99" s="1576">
        <f>IF(H98=0,0,H99/H98)</f>
        <v>0.55555555555555558</v>
      </c>
      <c r="O99" s="1537" t="s">
        <v>4523</v>
      </c>
      <c r="P99" s="1577">
        <f>'DCA Underwriting Assumptions'!$Q$125</f>
        <v>0.4</v>
      </c>
    </row>
    <row r="100" spans="1:16">
      <c r="A100" s="1527"/>
      <c r="B100" s="1527"/>
      <c r="C100" s="1528"/>
      <c r="D100" s="1541"/>
      <c r="E100" s="1541"/>
      <c r="F100" s="1541"/>
      <c r="G100" s="1528"/>
      <c r="H100" s="1528"/>
      <c r="I100" s="1531"/>
      <c r="J100" s="1528"/>
      <c r="K100" s="1534"/>
      <c r="L100" s="1534"/>
      <c r="M100" s="1531"/>
      <c r="N100" s="1531"/>
      <c r="O100" s="1528"/>
      <c r="P100" s="1531"/>
    </row>
    <row r="101" spans="1:16">
      <c r="A101" s="1527"/>
      <c r="B101" s="1527" t="s">
        <v>786</v>
      </c>
      <c r="C101" s="1511" t="s">
        <v>1923</v>
      </c>
      <c r="D101" s="1553"/>
      <c r="E101" s="1553"/>
      <c r="F101" s="1541" t="s">
        <v>835</v>
      </c>
      <c r="G101" s="1528"/>
      <c r="H101" s="1571">
        <f>'Part I-Project Information'!H76</f>
        <v>4</v>
      </c>
      <c r="I101" s="1528"/>
      <c r="J101" s="1528"/>
      <c r="K101" s="1528" t="s">
        <v>545</v>
      </c>
      <c r="L101" s="1528"/>
      <c r="M101" s="1528"/>
      <c r="N101" s="1576">
        <f>IF('Part VI-Revenues &amp; Expenses'!$O$62=0,0,H101/'Part VI-Revenues &amp; Expenses'!$O$62)</f>
        <v>2.4691358024691357E-2</v>
      </c>
      <c r="O101" s="1537" t="s">
        <v>4523</v>
      </c>
      <c r="P101" s="1577">
        <f>'DCA Underwriting Assumptions'!$Q$126</f>
        <v>0.02</v>
      </c>
    </row>
    <row r="102" spans="1:16">
      <c r="A102" s="1527"/>
      <c r="B102" s="1527"/>
      <c r="C102" s="1528"/>
      <c r="D102" s="1541"/>
      <c r="E102" s="1541"/>
      <c r="F102" s="1541"/>
      <c r="G102" s="1541"/>
      <c r="H102" s="1528"/>
      <c r="I102" s="1531"/>
      <c r="J102" s="1531"/>
      <c r="K102" s="1531"/>
      <c r="L102" s="1531"/>
      <c r="M102" s="1531"/>
      <c r="N102" s="1528"/>
      <c r="O102" s="1528"/>
      <c r="P102" s="1543"/>
    </row>
    <row r="103" spans="1:16">
      <c r="A103" s="1570" t="s">
        <v>810</v>
      </c>
      <c r="B103" s="1573" t="s">
        <v>2473</v>
      </c>
      <c r="C103" s="1528"/>
      <c r="D103" s="1541"/>
      <c r="E103" s="1541"/>
      <c r="F103" s="1541"/>
      <c r="G103" s="1541"/>
      <c r="H103" s="1541"/>
      <c r="I103" s="1531"/>
      <c r="J103" s="1528"/>
      <c r="K103" s="1528"/>
      <c r="L103" s="1528"/>
      <c r="M103" s="1531"/>
      <c r="N103" s="1528"/>
      <c r="O103" s="1528"/>
      <c r="P103" s="1543"/>
    </row>
    <row r="104" spans="1:16">
      <c r="A104" s="1527"/>
      <c r="B104" s="1527"/>
      <c r="C104" s="1573"/>
      <c r="D104" s="1541"/>
      <c r="E104" s="1541"/>
      <c r="F104" s="1541"/>
      <c r="G104" s="1528"/>
      <c r="H104" s="1528"/>
      <c r="I104" s="1528"/>
      <c r="J104" s="1528"/>
      <c r="K104" s="1528"/>
      <c r="L104" s="1531"/>
      <c r="M104" s="1531"/>
      <c r="N104" s="1528"/>
      <c r="O104" s="1528"/>
      <c r="P104" s="1543"/>
    </row>
    <row r="105" spans="1:16">
      <c r="A105" s="1527"/>
      <c r="B105" s="1527" t="s">
        <v>2068</v>
      </c>
      <c r="C105" s="1529" t="s">
        <v>2472</v>
      </c>
      <c r="D105" s="1541"/>
      <c r="E105" s="1541"/>
      <c r="F105" s="1541"/>
      <c r="G105" s="1528"/>
      <c r="H105" s="1553" t="str">
        <f>'Part I-Project Information'!H80</f>
        <v>40% of Units at 60% of AMI</v>
      </c>
      <c r="I105" s="1553"/>
      <c r="J105" s="1553"/>
      <c r="K105" s="1528"/>
      <c r="L105" s="1528"/>
      <c r="M105" s="1531"/>
      <c r="N105" s="1531"/>
      <c r="O105" s="1528"/>
      <c r="P105" s="1543"/>
    </row>
    <row r="106" spans="1:16">
      <c r="A106" s="1527"/>
      <c r="B106" s="1527"/>
      <c r="C106" s="1528"/>
      <c r="D106" s="1541"/>
      <c r="E106" s="1541"/>
      <c r="F106" s="1541"/>
      <c r="G106" s="1541"/>
      <c r="H106" s="1528"/>
      <c r="I106" s="1531"/>
      <c r="J106" s="1531"/>
      <c r="K106" s="1531"/>
      <c r="L106" s="1531"/>
      <c r="M106" s="1531"/>
      <c r="N106" s="1528"/>
      <c r="O106" s="1528"/>
      <c r="P106" s="1543"/>
    </row>
    <row r="107" spans="1:16">
      <c r="A107" s="1528"/>
      <c r="B107" s="1527" t="s">
        <v>2071</v>
      </c>
      <c r="C107" s="1511" t="s">
        <v>1600</v>
      </c>
      <c r="D107" s="1528"/>
      <c r="E107" s="1528"/>
      <c r="F107" s="1528"/>
      <c r="G107" s="1528"/>
      <c r="H107" s="1528"/>
      <c r="I107" s="1528"/>
      <c r="J107" s="1528"/>
      <c r="K107" s="1534" t="s">
        <v>908</v>
      </c>
      <c r="L107" s="1528"/>
      <c r="M107" s="1528"/>
      <c r="N107" s="1578"/>
      <c r="O107" s="1528"/>
      <c r="P107" s="1531" t="str">
        <f>'Part I-Project Information'!P82</f>
        <v>Yes</v>
      </c>
    </row>
    <row r="108" spans="1:16">
      <c r="A108" s="1527"/>
      <c r="B108" s="1527"/>
      <c r="C108" s="1511"/>
      <c r="D108" s="1541"/>
      <c r="E108" s="1541"/>
      <c r="F108" s="1541"/>
      <c r="G108" s="1541"/>
      <c r="H108" s="1528"/>
      <c r="I108" s="1531"/>
      <c r="J108" s="1531"/>
      <c r="K108" s="1531"/>
      <c r="L108" s="1531"/>
      <c r="M108" s="1531"/>
      <c r="N108" s="1528"/>
      <c r="O108" s="1528"/>
      <c r="P108" s="1543"/>
    </row>
    <row r="109" spans="1:16">
      <c r="A109" s="1570" t="s">
        <v>306</v>
      </c>
      <c r="B109" s="1573" t="s">
        <v>2129</v>
      </c>
      <c r="C109" s="1528"/>
      <c r="D109" s="1541"/>
      <c r="E109" s="1528"/>
      <c r="F109" s="1528"/>
      <c r="G109" s="1528"/>
      <c r="H109" s="1528"/>
      <c r="I109" s="1528"/>
      <c r="J109" s="1528"/>
      <c r="K109" s="1528"/>
      <c r="L109" s="1528"/>
      <c r="M109" s="1528"/>
      <c r="N109" s="1528"/>
      <c r="O109" s="1528"/>
      <c r="P109" s="1528"/>
    </row>
    <row r="110" spans="1:16">
      <c r="A110" s="1527"/>
      <c r="B110" s="1527"/>
      <c r="C110" s="1528"/>
      <c r="D110" s="1541"/>
      <c r="E110" s="1528"/>
      <c r="F110" s="1528"/>
      <c r="G110" s="1528"/>
      <c r="H110" s="1528"/>
      <c r="I110" s="1528"/>
      <c r="J110" s="1528"/>
      <c r="K110" s="1528"/>
      <c r="L110" s="1528"/>
      <c r="M110" s="1528"/>
      <c r="N110" s="1528"/>
      <c r="O110" s="1528"/>
      <c r="P110" s="1543"/>
    </row>
    <row r="111" spans="1:16">
      <c r="A111" s="1570"/>
      <c r="B111" s="1527" t="s">
        <v>2068</v>
      </c>
      <c r="C111" s="1511" t="s">
        <v>2837</v>
      </c>
      <c r="D111" s="1528"/>
      <c r="E111" s="1528"/>
      <c r="F111" s="1553" t="s">
        <v>2700</v>
      </c>
      <c r="G111" s="1528"/>
      <c r="H111" s="1531" t="str">
        <f>'Part I-Project Information'!H86</f>
        <v>No</v>
      </c>
      <c r="I111" s="1528"/>
      <c r="J111" s="1528"/>
      <c r="K111" s="1553" t="s">
        <v>3803</v>
      </c>
      <c r="L111" s="1528"/>
      <c r="M111" s="1531" t="str">
        <f>'Part I-Project Information'!M86</f>
        <v>Yes</v>
      </c>
      <c r="N111" s="1528"/>
      <c r="O111" s="1528"/>
      <c r="P111" s="1528"/>
    </row>
    <row r="112" spans="1:16">
      <c r="A112" s="1527"/>
      <c r="B112" s="1527"/>
      <c r="C112" s="1573"/>
      <c r="D112" s="1528"/>
      <c r="E112" s="1528"/>
      <c r="F112" s="1541"/>
      <c r="G112" s="1528"/>
      <c r="H112" s="1541"/>
      <c r="I112" s="1528"/>
      <c r="J112" s="1531"/>
      <c r="K112" s="1531"/>
      <c r="L112" s="1531"/>
      <c r="M112" s="1531"/>
      <c r="N112" s="1531"/>
      <c r="O112" s="1528"/>
      <c r="P112" s="1543"/>
    </row>
    <row r="113" spans="1:16">
      <c r="A113" s="1570"/>
      <c r="B113" s="1527" t="s">
        <v>2071</v>
      </c>
      <c r="C113" s="1511" t="s">
        <v>2838</v>
      </c>
      <c r="D113" s="1528"/>
      <c r="E113" s="1528"/>
      <c r="F113" s="1534" t="s">
        <v>2786</v>
      </c>
      <c r="G113" s="1528"/>
      <c r="H113" s="1531" t="str">
        <f>'Part I-Project Information'!H88</f>
        <v>No</v>
      </c>
      <c r="I113" s="1528"/>
      <c r="J113" s="1531"/>
      <c r="K113" s="1579" t="s">
        <v>2839</v>
      </c>
      <c r="L113" s="1531"/>
      <c r="M113" s="1531"/>
      <c r="N113" s="1531"/>
      <c r="O113" s="1531"/>
      <c r="P113" s="1528"/>
    </row>
    <row r="114" spans="1:16">
      <c r="A114" s="1527"/>
      <c r="B114" s="1527"/>
      <c r="C114" s="1511"/>
      <c r="D114" s="1541"/>
      <c r="E114" s="1541"/>
      <c r="F114" s="1541"/>
      <c r="G114" s="1541"/>
      <c r="H114" s="1528"/>
      <c r="I114" s="1531"/>
      <c r="J114" s="1531"/>
      <c r="K114" s="1531"/>
      <c r="L114" s="1531"/>
      <c r="M114" s="1531"/>
      <c r="N114" s="1528"/>
      <c r="O114" s="1528"/>
      <c r="P114" s="1543"/>
    </row>
    <row r="115" spans="1:16">
      <c r="A115" s="1570" t="s">
        <v>441</v>
      </c>
      <c r="B115" s="1573" t="s">
        <v>3012</v>
      </c>
      <c r="C115" s="1528"/>
      <c r="D115" s="1541"/>
      <c r="E115" s="1528"/>
      <c r="F115" s="1528"/>
      <c r="G115" s="1528"/>
      <c r="H115" s="1528" t="str">
        <f>'Part I-Project Information'!H90</f>
        <v>&lt;&lt;Select Pool&gt;&gt;</v>
      </c>
      <c r="I115" s="1528"/>
      <c r="J115" s="1531"/>
      <c r="K115" s="1528"/>
      <c r="L115" s="1528"/>
      <c r="M115" s="1528"/>
      <c r="N115" s="1528"/>
      <c r="O115" s="1528"/>
      <c r="P115" s="1528"/>
    </row>
    <row r="116" spans="1:16">
      <c r="A116" s="1527"/>
      <c r="B116" s="1528"/>
      <c r="C116" s="1528"/>
      <c r="D116" s="1539"/>
      <c r="E116" s="1528"/>
      <c r="F116" s="1528"/>
      <c r="G116" s="1528"/>
      <c r="H116" s="1528"/>
      <c r="I116" s="1539"/>
      <c r="J116" s="1533"/>
      <c r="K116" s="1528"/>
      <c r="L116" s="1528"/>
      <c r="M116" s="1528"/>
      <c r="N116" s="1528"/>
      <c r="O116" s="1528"/>
      <c r="P116" s="1543"/>
    </row>
    <row r="117" spans="1:16">
      <c r="A117" s="1570" t="s">
        <v>377</v>
      </c>
      <c r="B117" s="1570" t="s">
        <v>1239</v>
      </c>
      <c r="C117" s="1528"/>
      <c r="D117" s="1528"/>
      <c r="E117" s="1528"/>
      <c r="F117" s="1528"/>
      <c r="G117" s="1528"/>
      <c r="H117" s="1528"/>
      <c r="I117" s="1539"/>
      <c r="J117" s="1533"/>
      <c r="K117" s="1528"/>
      <c r="L117" s="1528"/>
      <c r="M117" s="1528"/>
      <c r="N117" s="1528"/>
      <c r="O117" s="1528"/>
      <c r="P117" s="1543"/>
    </row>
    <row r="118" spans="1:16">
      <c r="A118" s="1570"/>
      <c r="B118" s="1527"/>
      <c r="C118" s="1570"/>
      <c r="D118" s="1528"/>
      <c r="E118" s="1528"/>
      <c r="F118" s="1528"/>
      <c r="G118" s="1528"/>
      <c r="H118" s="1528"/>
      <c r="I118" s="1539"/>
      <c r="J118" s="1533"/>
      <c r="K118" s="1528"/>
      <c r="L118" s="1528"/>
      <c r="M118" s="1528"/>
      <c r="N118" s="1528"/>
      <c r="O118" s="1528"/>
      <c r="P118" s="1528"/>
    </row>
    <row r="119" spans="1:16">
      <c r="A119" s="1527"/>
      <c r="B119" s="1527"/>
      <c r="C119" s="1533" t="s">
        <v>577</v>
      </c>
      <c r="D119" s="1528"/>
      <c r="E119" s="1528" t="str">
        <f>'Part I-Project Information'!E94</f>
        <v>Urban Residential Finance Authority of the City of Atlanta, Georgia</v>
      </c>
      <c r="F119" s="1528"/>
      <c r="G119" s="1528"/>
      <c r="H119" s="1528"/>
      <c r="I119" s="1528"/>
      <c r="J119" s="1528"/>
      <c r="K119" s="1528"/>
      <c r="L119" s="1528"/>
      <c r="M119" s="1553" t="s">
        <v>578</v>
      </c>
      <c r="N119" s="1553"/>
      <c r="O119" s="1580">
        <f>'Part I-Project Information'!O94</f>
        <v>42481</v>
      </c>
      <c r="P119" s="1580"/>
    </row>
    <row r="120" spans="1:16">
      <c r="A120" s="1528"/>
      <c r="B120" s="1528"/>
      <c r="C120" s="1534" t="s">
        <v>1065</v>
      </c>
      <c r="D120" s="1537"/>
      <c r="E120" s="1528" t="str">
        <f>'Part I-Project Information'!E95</f>
        <v>133 Peachtree Street, NE, Suite 2900</v>
      </c>
      <c r="F120" s="1528"/>
      <c r="G120" s="1528"/>
      <c r="H120" s="1528"/>
      <c r="I120" s="1528"/>
      <c r="J120" s="1528"/>
      <c r="K120" s="1528"/>
      <c r="L120" s="1528"/>
      <c r="M120" s="1553" t="s">
        <v>847</v>
      </c>
      <c r="N120" s="1553"/>
      <c r="O120" s="1544">
        <f>'Part I-Project Information'!O95</f>
        <v>2016</v>
      </c>
      <c r="P120" s="1544"/>
    </row>
    <row r="121" spans="1:16">
      <c r="A121" s="1528"/>
      <c r="B121" s="1528"/>
      <c r="C121" s="1534" t="s">
        <v>648</v>
      </c>
      <c r="D121" s="1528"/>
      <c r="E121" s="1528" t="str">
        <f>'Part I-Project Information'!E96</f>
        <v>Atlanta</v>
      </c>
      <c r="F121" s="1553"/>
      <c r="G121" s="1553"/>
      <c r="H121" s="1531" t="s">
        <v>1875</v>
      </c>
      <c r="I121" s="1531" t="str">
        <f>'Part I-Project Information'!I96</f>
        <v>GA</v>
      </c>
      <c r="J121" s="1531" t="s">
        <v>2319</v>
      </c>
      <c r="K121" s="1542">
        <f>'Part I-Project Information'!K96</f>
        <v>303030000</v>
      </c>
      <c r="L121" s="1553"/>
      <c r="M121" s="1533" t="s">
        <v>4451</v>
      </c>
      <c r="N121" s="1533"/>
      <c r="O121" s="1581">
        <f>'Part I-Project Information'!O96</f>
        <v>13175000</v>
      </c>
      <c r="P121" s="1581"/>
    </row>
    <row r="122" spans="1:16">
      <c r="A122" s="1528"/>
      <c r="B122" s="1528"/>
      <c r="C122" s="1528" t="s">
        <v>2283</v>
      </c>
      <c r="D122" s="1528"/>
      <c r="E122" s="1528" t="str">
        <f>'Part I-Project Information'!E97</f>
        <v>Dawn Luke</v>
      </c>
      <c r="F122" s="1553"/>
      <c r="G122" s="1553"/>
      <c r="H122" s="1531" t="s">
        <v>2065</v>
      </c>
      <c r="I122" s="1528" t="str">
        <f>'Part I-Project Information'!I97</f>
        <v>SVP</v>
      </c>
      <c r="J122" s="1553"/>
      <c r="K122" s="1553"/>
      <c r="L122" s="1531" t="s">
        <v>2069</v>
      </c>
      <c r="M122" s="1528" t="str">
        <f>'Part I-Project Information'!M97</f>
        <v>dluke@investatlanta.com</v>
      </c>
      <c r="N122" s="1553"/>
      <c r="O122" s="1553"/>
      <c r="P122" s="1553"/>
    </row>
    <row r="123" spans="1:16">
      <c r="A123" s="1528"/>
      <c r="B123" s="1528"/>
      <c r="C123" s="1534" t="s">
        <v>2282</v>
      </c>
      <c r="D123" s="1528"/>
      <c r="E123" s="1540">
        <f>'Part I-Project Information'!E98</f>
        <v>4048804100</v>
      </c>
      <c r="F123" s="1540"/>
      <c r="G123" s="1540"/>
      <c r="H123" s="1531" t="s">
        <v>1878</v>
      </c>
      <c r="I123" s="1540">
        <f>'Part I-Project Information'!I98</f>
        <v>4048809333</v>
      </c>
      <c r="J123" s="1553"/>
      <c r="K123" s="1531" t="s">
        <v>1879</v>
      </c>
      <c r="L123" s="1540">
        <f>'Part I-Project Information'!L98</f>
        <v>0</v>
      </c>
      <c r="M123" s="1553"/>
      <c r="N123" s="1531" t="s">
        <v>2064</v>
      </c>
      <c r="O123" s="1540">
        <f>'Part I-Project Information'!O98</f>
        <v>0</v>
      </c>
      <c r="P123" s="1553"/>
    </row>
    <row r="124" spans="1:16">
      <c r="A124" s="1527"/>
      <c r="B124" s="1527"/>
      <c r="C124" s="1528"/>
      <c r="D124" s="1528"/>
      <c r="E124" s="1528"/>
      <c r="F124" s="1528"/>
      <c r="G124" s="1539"/>
      <c r="H124" s="1531"/>
      <c r="I124" s="1531"/>
      <c r="J124" s="1528"/>
      <c r="K124" s="1528"/>
      <c r="L124" s="1528"/>
      <c r="M124" s="1543"/>
      <c r="N124" s="1528"/>
      <c r="O124" s="1528"/>
      <c r="P124" s="1528"/>
    </row>
    <row r="125" spans="1:16">
      <c r="A125" s="1570" t="s">
        <v>378</v>
      </c>
      <c r="B125" s="1573" t="s">
        <v>1738</v>
      </c>
      <c r="C125" s="1528"/>
      <c r="D125" s="1539"/>
      <c r="E125" s="1539"/>
      <c r="F125" s="1531"/>
      <c r="G125" s="1531"/>
      <c r="H125" s="1531"/>
      <c r="I125" s="1531"/>
      <c r="J125" s="1539"/>
      <c r="K125" s="1531"/>
      <c r="L125" s="1531"/>
      <c r="M125" s="1528"/>
      <c r="N125" s="1528"/>
      <c r="O125" s="1528"/>
      <c r="P125" s="1543"/>
    </row>
    <row r="126" spans="1:16">
      <c r="A126" s="1570"/>
      <c r="B126" s="1573"/>
      <c r="C126" s="1528"/>
      <c r="D126" s="1539"/>
      <c r="E126" s="1539"/>
      <c r="F126" s="1531"/>
      <c r="G126" s="1531"/>
      <c r="H126" s="1531"/>
      <c r="I126" s="1531"/>
      <c r="J126" s="1539"/>
      <c r="K126" s="1531"/>
      <c r="L126" s="1531"/>
      <c r="M126" s="1528"/>
      <c r="N126" s="1528"/>
      <c r="O126" s="1528"/>
      <c r="P126" s="1543"/>
    </row>
    <row r="127" spans="1:16">
      <c r="A127" s="1528"/>
      <c r="B127" s="1553" t="s">
        <v>2241</v>
      </c>
      <c r="C127" s="1528"/>
      <c r="D127" s="1582"/>
      <c r="E127" s="1582"/>
      <c r="F127" s="1582"/>
      <c r="G127" s="1582"/>
      <c r="H127" s="1582"/>
      <c r="I127" s="1582"/>
      <c r="J127" s="1582"/>
      <c r="K127" s="1582"/>
      <c r="L127" s="1582"/>
      <c r="M127" s="1582"/>
      <c r="N127" s="1582"/>
      <c r="O127" s="1582"/>
      <c r="P127" s="1582"/>
    </row>
    <row r="128" spans="1:16">
      <c r="A128" s="1527"/>
      <c r="B128" s="1527"/>
      <c r="C128" s="1583"/>
      <c r="D128" s="1583"/>
      <c r="E128" s="1583"/>
      <c r="F128" s="1583"/>
      <c r="G128" s="1583"/>
      <c r="H128" s="1583"/>
      <c r="I128" s="1583"/>
      <c r="J128" s="1583"/>
      <c r="K128" s="1583"/>
      <c r="L128" s="1583"/>
      <c r="M128" s="1583"/>
      <c r="N128" s="1583"/>
      <c r="O128" s="1583"/>
      <c r="P128" s="1583"/>
    </row>
    <row r="129" spans="1:16">
      <c r="A129" s="1527"/>
      <c r="B129" s="1527" t="s">
        <v>2068</v>
      </c>
      <c r="C129" s="1573" t="s">
        <v>1473</v>
      </c>
      <c r="D129" s="1541"/>
      <c r="E129" s="1541"/>
      <c r="F129" s="1531"/>
      <c r="G129" s="1531"/>
      <c r="H129" s="1539">
        <f>'Part I-Project Information'!H104</f>
        <v>0</v>
      </c>
      <c r="I129" s="1528"/>
      <c r="J129" s="1528"/>
      <c r="K129" s="1528"/>
      <c r="L129" s="1528"/>
      <c r="M129" s="1528"/>
      <c r="N129" s="1528"/>
      <c r="O129" s="1528"/>
      <c r="P129" s="1528"/>
    </row>
    <row r="130" spans="1:16">
      <c r="A130" s="1527"/>
      <c r="B130" s="1527"/>
      <c r="C130" s="1583"/>
      <c r="D130" s="1583"/>
      <c r="E130" s="1583"/>
      <c r="F130" s="1583"/>
      <c r="G130" s="1583"/>
      <c r="H130" s="1583"/>
      <c r="I130" s="1528"/>
      <c r="J130" s="1583"/>
      <c r="K130" s="1528"/>
      <c r="L130" s="1528"/>
      <c r="M130" s="1583"/>
      <c r="N130" s="1583"/>
      <c r="O130" s="1583"/>
      <c r="P130" s="1528"/>
    </row>
    <row r="131" spans="1:16">
      <c r="A131" s="1527"/>
      <c r="B131" s="1527" t="s">
        <v>2071</v>
      </c>
      <c r="C131" s="1573" t="s">
        <v>431</v>
      </c>
      <c r="D131" s="1541"/>
      <c r="E131" s="1541"/>
      <c r="F131" s="1531"/>
      <c r="G131" s="1531"/>
      <c r="H131" s="1584">
        <f>'Part I-Project Information'!H106</f>
        <v>0</v>
      </c>
      <c r="I131" s="1528"/>
      <c r="J131" s="1539"/>
      <c r="K131" s="1534"/>
      <c r="L131" s="1528"/>
      <c r="M131" s="1528"/>
      <c r="N131" s="1528"/>
      <c r="O131" s="1528"/>
      <c r="P131" s="1528"/>
    </row>
    <row r="132" spans="1:16">
      <c r="A132" s="1527"/>
      <c r="B132" s="1527"/>
      <c r="C132" s="1583"/>
      <c r="D132" s="1583"/>
      <c r="E132" s="1583"/>
      <c r="F132" s="1583"/>
      <c r="G132" s="1583"/>
      <c r="H132" s="1583"/>
      <c r="I132" s="1583"/>
      <c r="J132" s="1583"/>
      <c r="K132" s="1583"/>
      <c r="L132" s="1528"/>
      <c r="M132" s="1583"/>
      <c r="N132" s="1583"/>
      <c r="O132" s="1583"/>
      <c r="P132" s="1583"/>
    </row>
    <row r="133" spans="1:16">
      <c r="A133" s="1528"/>
      <c r="B133" s="1527" t="s">
        <v>786</v>
      </c>
      <c r="C133" s="1573" t="s">
        <v>316</v>
      </c>
      <c r="D133" s="1541"/>
      <c r="E133" s="1541"/>
      <c r="F133" s="1531"/>
      <c r="G133" s="1531"/>
      <c r="H133" s="1531"/>
      <c r="I133" s="1531"/>
      <c r="J133" s="1539"/>
      <c r="K133" s="1531"/>
      <c r="L133" s="1531"/>
      <c r="M133" s="1528"/>
      <c r="N133" s="1528"/>
      <c r="O133" s="1528"/>
      <c r="P133" s="1528"/>
    </row>
    <row r="134" spans="1:16">
      <c r="A134" s="1528"/>
      <c r="B134" s="1527"/>
      <c r="C134" s="1541" t="s">
        <v>2223</v>
      </c>
      <c r="D134" s="1541"/>
      <c r="E134" s="1528"/>
      <c r="F134" s="1541" t="s">
        <v>1182</v>
      </c>
      <c r="G134" s="1531"/>
      <c r="H134" s="1531"/>
      <c r="I134" s="1531" t="s">
        <v>1350</v>
      </c>
      <c r="J134" s="1541" t="s">
        <v>2223</v>
      </c>
      <c r="K134" s="1541"/>
      <c r="L134" s="1528"/>
      <c r="M134" s="1541" t="s">
        <v>1182</v>
      </c>
      <c r="N134" s="1531"/>
      <c r="O134" s="1531"/>
      <c r="P134" s="1531" t="s">
        <v>1350</v>
      </c>
    </row>
    <row r="135" spans="1:16" ht="13.5">
      <c r="A135" s="1527"/>
      <c r="B135" s="1527"/>
      <c r="C135" s="1538">
        <f>'Part I-Project Information'!C110</f>
        <v>1</v>
      </c>
      <c r="D135" s="1538"/>
      <c r="E135" s="1538"/>
      <c r="F135" s="1538">
        <f>'Part I-Project Information'!F110</f>
        <v>0</v>
      </c>
      <c r="G135" s="1538"/>
      <c r="H135" s="1538"/>
      <c r="I135" s="1538">
        <f>'Part I-Project Information'!I110</f>
        <v>0</v>
      </c>
      <c r="J135" s="1538">
        <f>'Part I-Project Information'!J110</f>
        <v>7</v>
      </c>
      <c r="K135" s="1538"/>
      <c r="L135" s="1538"/>
      <c r="M135" s="1538">
        <f>'Part I-Project Information'!M110</f>
        <v>0</v>
      </c>
      <c r="N135" s="1538"/>
      <c r="O135" s="1538"/>
      <c r="P135" s="1538">
        <f>'Part I-Project Information'!P110</f>
        <v>0</v>
      </c>
    </row>
    <row r="136" spans="1:16" ht="13.5">
      <c r="A136" s="1527"/>
      <c r="B136" s="1527"/>
      <c r="C136" s="1538">
        <f>'Part I-Project Information'!C111</f>
        <v>2</v>
      </c>
      <c r="D136" s="1538"/>
      <c r="E136" s="1538"/>
      <c r="F136" s="1538">
        <f>'Part I-Project Information'!F111</f>
        <v>0</v>
      </c>
      <c r="G136" s="1538"/>
      <c r="H136" s="1538"/>
      <c r="I136" s="1538">
        <f>'Part I-Project Information'!I111</f>
        <v>0</v>
      </c>
      <c r="J136" s="1538">
        <f>'Part I-Project Information'!J111</f>
        <v>8</v>
      </c>
      <c r="K136" s="1538"/>
      <c r="L136" s="1538"/>
      <c r="M136" s="1538">
        <f>'Part I-Project Information'!M111</f>
        <v>0</v>
      </c>
      <c r="N136" s="1538"/>
      <c r="O136" s="1538"/>
      <c r="P136" s="1538">
        <f>'Part I-Project Information'!P111</f>
        <v>0</v>
      </c>
    </row>
    <row r="137" spans="1:16" ht="13.5">
      <c r="A137" s="1527"/>
      <c r="B137" s="1527"/>
      <c r="C137" s="1538">
        <f>'Part I-Project Information'!C112</f>
        <v>3</v>
      </c>
      <c r="D137" s="1538"/>
      <c r="E137" s="1538"/>
      <c r="F137" s="1538">
        <f>'Part I-Project Information'!F112</f>
        <v>0</v>
      </c>
      <c r="G137" s="1538"/>
      <c r="H137" s="1538"/>
      <c r="I137" s="1538">
        <f>'Part I-Project Information'!I112</f>
        <v>0</v>
      </c>
      <c r="J137" s="1538">
        <f>'Part I-Project Information'!J112</f>
        <v>9</v>
      </c>
      <c r="K137" s="1538"/>
      <c r="L137" s="1538"/>
      <c r="M137" s="1538">
        <f>'Part I-Project Information'!M112</f>
        <v>0</v>
      </c>
      <c r="N137" s="1538"/>
      <c r="O137" s="1538"/>
      <c r="P137" s="1538">
        <f>'Part I-Project Information'!P112</f>
        <v>0</v>
      </c>
    </row>
    <row r="138" spans="1:16" ht="13.5">
      <c r="A138" s="1527"/>
      <c r="B138" s="1527"/>
      <c r="C138" s="1538">
        <f>'Part I-Project Information'!C113</f>
        <v>4</v>
      </c>
      <c r="D138" s="1538"/>
      <c r="E138" s="1538"/>
      <c r="F138" s="1538">
        <f>'Part I-Project Information'!F113</f>
        <v>0</v>
      </c>
      <c r="G138" s="1538"/>
      <c r="H138" s="1538"/>
      <c r="I138" s="1538">
        <f>'Part I-Project Information'!I113</f>
        <v>0</v>
      </c>
      <c r="J138" s="1538">
        <f>'Part I-Project Information'!J113</f>
        <v>10</v>
      </c>
      <c r="K138" s="1538"/>
      <c r="L138" s="1538"/>
      <c r="M138" s="1538">
        <f>'Part I-Project Information'!M113</f>
        <v>0</v>
      </c>
      <c r="N138" s="1538"/>
      <c r="O138" s="1538"/>
      <c r="P138" s="1538">
        <f>'Part I-Project Information'!P113</f>
        <v>0</v>
      </c>
    </row>
    <row r="139" spans="1:16" ht="13.5">
      <c r="A139" s="1527"/>
      <c r="B139" s="1527"/>
      <c r="C139" s="1538">
        <f>'Part I-Project Information'!C114</f>
        <v>5</v>
      </c>
      <c r="D139" s="1538"/>
      <c r="E139" s="1538"/>
      <c r="F139" s="1538">
        <f>'Part I-Project Information'!F114</f>
        <v>0</v>
      </c>
      <c r="G139" s="1538"/>
      <c r="H139" s="1538"/>
      <c r="I139" s="1538">
        <f>'Part I-Project Information'!I114</f>
        <v>0</v>
      </c>
      <c r="J139" s="1538">
        <f>'Part I-Project Information'!J114</f>
        <v>11</v>
      </c>
      <c r="K139" s="1538"/>
      <c r="L139" s="1538"/>
      <c r="M139" s="1538">
        <f>'Part I-Project Information'!M114</f>
        <v>0</v>
      </c>
      <c r="N139" s="1538"/>
      <c r="O139" s="1538"/>
      <c r="P139" s="1538">
        <f>'Part I-Project Information'!P114</f>
        <v>0</v>
      </c>
    </row>
    <row r="140" spans="1:16" ht="13.5">
      <c r="A140" s="1527"/>
      <c r="B140" s="1527"/>
      <c r="C140" s="1538">
        <f>'Part I-Project Information'!C115</f>
        <v>6</v>
      </c>
      <c r="D140" s="1538"/>
      <c r="E140" s="1538"/>
      <c r="F140" s="1538">
        <f>'Part I-Project Information'!F115</f>
        <v>0</v>
      </c>
      <c r="G140" s="1538"/>
      <c r="H140" s="1538"/>
      <c r="I140" s="1538">
        <f>'Part I-Project Information'!I115</f>
        <v>0</v>
      </c>
      <c r="J140" s="1538">
        <f>'Part I-Project Information'!J115</f>
        <v>12</v>
      </c>
      <c r="K140" s="1538"/>
      <c r="L140" s="1538"/>
      <c r="M140" s="1538">
        <f>'Part I-Project Information'!M115</f>
        <v>0</v>
      </c>
      <c r="N140" s="1538"/>
      <c r="O140" s="1538"/>
      <c r="P140" s="1538">
        <f>'Part I-Project Information'!P115</f>
        <v>0</v>
      </c>
    </row>
    <row r="141" spans="1:16">
      <c r="A141" s="1527"/>
      <c r="B141" s="1527"/>
      <c r="C141" s="1583"/>
      <c r="D141" s="1583"/>
      <c r="E141" s="1583"/>
      <c r="F141" s="1583"/>
      <c r="G141" s="1583"/>
      <c r="H141" s="1583"/>
      <c r="I141" s="1583"/>
      <c r="J141" s="1583"/>
      <c r="K141" s="1583"/>
      <c r="L141" s="1583"/>
      <c r="M141" s="1583"/>
      <c r="N141" s="1583"/>
      <c r="O141" s="1583"/>
      <c r="P141" s="1583"/>
    </row>
    <row r="142" spans="1:16" ht="12.75" customHeight="1">
      <c r="A142" s="1527"/>
      <c r="B142" s="1527" t="s">
        <v>2203</v>
      </c>
      <c r="C142" s="1585" t="s">
        <v>1927</v>
      </c>
      <c r="D142" s="1585"/>
      <c r="E142" s="1585"/>
      <c r="F142" s="1585"/>
      <c r="G142" s="1585"/>
      <c r="H142" s="1585"/>
      <c r="I142" s="1585"/>
      <c r="J142" s="1585"/>
      <c r="K142" s="1585"/>
      <c r="L142" s="1585"/>
      <c r="M142" s="1585"/>
      <c r="N142" s="1585"/>
      <c r="O142" s="1585"/>
      <c r="P142" s="1585"/>
    </row>
    <row r="143" spans="1:16">
      <c r="A143" s="1527"/>
      <c r="B143" s="1527"/>
      <c r="C143" s="1585"/>
      <c r="D143" s="1585"/>
      <c r="E143" s="1585"/>
      <c r="F143" s="1585"/>
      <c r="G143" s="1585"/>
      <c r="H143" s="1585"/>
      <c r="I143" s="1585"/>
      <c r="J143" s="1585"/>
      <c r="K143" s="1585"/>
      <c r="L143" s="1585"/>
      <c r="M143" s="1585"/>
      <c r="N143" s="1585"/>
      <c r="O143" s="1585"/>
      <c r="P143" s="1585"/>
    </row>
    <row r="144" spans="1:16">
      <c r="A144" s="1528"/>
      <c r="B144" s="1527"/>
      <c r="C144" s="1541" t="s">
        <v>2223</v>
      </c>
      <c r="D144" s="1541"/>
      <c r="E144" s="1528"/>
      <c r="F144" s="1541" t="s">
        <v>1182</v>
      </c>
      <c r="G144" s="1531"/>
      <c r="H144" s="1531"/>
      <c r="I144" s="1531"/>
      <c r="J144" s="1541" t="s">
        <v>2223</v>
      </c>
      <c r="K144" s="1541"/>
      <c r="L144" s="1528"/>
      <c r="M144" s="1541" t="s">
        <v>1182</v>
      </c>
      <c r="N144" s="1531"/>
      <c r="O144" s="1531"/>
      <c r="P144" s="1531"/>
    </row>
    <row r="145" spans="1:16" ht="13.5">
      <c r="A145" s="1527"/>
      <c r="B145" s="1527"/>
      <c r="C145" s="1538">
        <f>'Part I-Project Information'!C120</f>
        <v>1</v>
      </c>
      <c r="D145" s="1538"/>
      <c r="E145" s="1538"/>
      <c r="F145" s="1538">
        <f>'Part I-Project Information'!F120</f>
        <v>0</v>
      </c>
      <c r="G145" s="1538"/>
      <c r="H145" s="1538"/>
      <c r="I145" s="1538"/>
      <c r="J145" s="1538">
        <f>'Part I-Project Information'!J120</f>
        <v>7</v>
      </c>
      <c r="K145" s="1538"/>
      <c r="L145" s="1538"/>
      <c r="M145" s="1538">
        <f>'Part I-Project Information'!M120</f>
        <v>0</v>
      </c>
      <c r="N145" s="1538"/>
      <c r="O145" s="1538"/>
      <c r="P145" s="1538"/>
    </row>
    <row r="146" spans="1:16" ht="13.5">
      <c r="A146" s="1527"/>
      <c r="B146" s="1527"/>
      <c r="C146" s="1538">
        <f>'Part I-Project Information'!C121</f>
        <v>2</v>
      </c>
      <c r="D146" s="1538"/>
      <c r="E146" s="1538"/>
      <c r="F146" s="1538">
        <f>'Part I-Project Information'!F121</f>
        <v>0</v>
      </c>
      <c r="G146" s="1538"/>
      <c r="H146" s="1538"/>
      <c r="I146" s="1538"/>
      <c r="J146" s="1538">
        <f>'Part I-Project Information'!J121</f>
        <v>8</v>
      </c>
      <c r="K146" s="1538"/>
      <c r="L146" s="1538"/>
      <c r="M146" s="1538">
        <f>'Part I-Project Information'!M121</f>
        <v>0</v>
      </c>
      <c r="N146" s="1538"/>
      <c r="O146" s="1538"/>
      <c r="P146" s="1538"/>
    </row>
    <row r="147" spans="1:16" ht="13.5">
      <c r="A147" s="1527"/>
      <c r="B147" s="1527"/>
      <c r="C147" s="1538">
        <f>'Part I-Project Information'!C122</f>
        <v>3</v>
      </c>
      <c r="D147" s="1538"/>
      <c r="E147" s="1538"/>
      <c r="F147" s="1538">
        <f>'Part I-Project Information'!F122</f>
        <v>0</v>
      </c>
      <c r="G147" s="1538"/>
      <c r="H147" s="1538"/>
      <c r="I147" s="1538"/>
      <c r="J147" s="1538">
        <f>'Part I-Project Information'!J122</f>
        <v>9</v>
      </c>
      <c r="K147" s="1538"/>
      <c r="L147" s="1538"/>
      <c r="M147" s="1538">
        <f>'Part I-Project Information'!M122</f>
        <v>0</v>
      </c>
      <c r="N147" s="1538"/>
      <c r="O147" s="1538"/>
      <c r="P147" s="1538"/>
    </row>
    <row r="148" spans="1:16" ht="13.5">
      <c r="A148" s="1527"/>
      <c r="B148" s="1527"/>
      <c r="C148" s="1538">
        <f>'Part I-Project Information'!C123</f>
        <v>4</v>
      </c>
      <c r="D148" s="1538"/>
      <c r="E148" s="1538"/>
      <c r="F148" s="1538">
        <f>'Part I-Project Information'!F123</f>
        <v>0</v>
      </c>
      <c r="G148" s="1538"/>
      <c r="H148" s="1538"/>
      <c r="I148" s="1538"/>
      <c r="J148" s="1538">
        <f>'Part I-Project Information'!J123</f>
        <v>10</v>
      </c>
      <c r="K148" s="1538"/>
      <c r="L148" s="1538"/>
      <c r="M148" s="1538">
        <f>'Part I-Project Information'!M123</f>
        <v>0</v>
      </c>
      <c r="N148" s="1538"/>
      <c r="O148" s="1538"/>
      <c r="P148" s="1538"/>
    </row>
    <row r="149" spans="1:16" ht="13.5">
      <c r="A149" s="1527"/>
      <c r="B149" s="1527"/>
      <c r="C149" s="1538">
        <f>'Part I-Project Information'!C124</f>
        <v>5</v>
      </c>
      <c r="D149" s="1538"/>
      <c r="E149" s="1538"/>
      <c r="F149" s="1538">
        <f>'Part I-Project Information'!F124</f>
        <v>0</v>
      </c>
      <c r="G149" s="1538"/>
      <c r="H149" s="1538"/>
      <c r="I149" s="1538"/>
      <c r="J149" s="1538">
        <f>'Part I-Project Information'!J124</f>
        <v>11</v>
      </c>
      <c r="K149" s="1538"/>
      <c r="L149" s="1538"/>
      <c r="M149" s="1538">
        <f>'Part I-Project Information'!M124</f>
        <v>0</v>
      </c>
      <c r="N149" s="1538"/>
      <c r="O149" s="1538"/>
      <c r="P149" s="1538"/>
    </row>
    <row r="150" spans="1:16" ht="13.5">
      <c r="A150" s="1527"/>
      <c r="B150" s="1527"/>
      <c r="C150" s="1538">
        <f>'Part I-Project Information'!C125</f>
        <v>6</v>
      </c>
      <c r="D150" s="1538"/>
      <c r="E150" s="1538"/>
      <c r="F150" s="1538">
        <f>'Part I-Project Information'!F125</f>
        <v>0</v>
      </c>
      <c r="G150" s="1538"/>
      <c r="H150" s="1538"/>
      <c r="I150" s="1538"/>
      <c r="J150" s="1538">
        <f>'Part I-Project Information'!J125</f>
        <v>12</v>
      </c>
      <c r="K150" s="1538"/>
      <c r="L150" s="1538"/>
      <c r="M150" s="1538">
        <f>'Part I-Project Information'!M125</f>
        <v>0</v>
      </c>
      <c r="N150" s="1538"/>
      <c r="O150" s="1538"/>
      <c r="P150" s="1538"/>
    </row>
    <row r="151" spans="1:16">
      <c r="A151" s="1527"/>
      <c r="B151" s="1527"/>
      <c r="C151" s="1541"/>
      <c r="D151" s="1541"/>
      <c r="E151" s="1541"/>
      <c r="F151" s="1531"/>
      <c r="G151" s="1531"/>
      <c r="H151" s="1531"/>
      <c r="I151" s="1531"/>
      <c r="J151" s="1539"/>
      <c r="K151" s="1531"/>
      <c r="L151" s="1531"/>
      <c r="M151" s="1528"/>
      <c r="N151" s="1528"/>
      <c r="O151" s="1528"/>
      <c r="P151" s="1543"/>
    </row>
    <row r="152" spans="1:16">
      <c r="A152" s="1570" t="s">
        <v>379</v>
      </c>
      <c r="B152" s="1572" t="s">
        <v>2515</v>
      </c>
      <c r="C152" s="1528"/>
      <c r="D152" s="1572"/>
      <c r="E152" s="1572"/>
      <c r="F152" s="1572"/>
      <c r="G152" s="1528"/>
      <c r="H152" s="1531">
        <f>'Part I-Project Information'!H127</f>
        <v>0</v>
      </c>
      <c r="I152" s="1528"/>
      <c r="J152" s="1528"/>
      <c r="K152" s="1528"/>
      <c r="L152" s="1528"/>
      <c r="M152" s="1531"/>
      <c r="N152" s="1528"/>
      <c r="O152" s="1528"/>
      <c r="P152" s="1543"/>
    </row>
    <row r="153" spans="1:16">
      <c r="A153" s="1570"/>
      <c r="B153" s="1527"/>
      <c r="C153" s="1573"/>
      <c r="D153" s="1573"/>
      <c r="E153" s="1573"/>
      <c r="F153" s="1573"/>
      <c r="G153" s="1531"/>
      <c r="H153" s="1528"/>
      <c r="I153" s="1528"/>
      <c r="J153" s="1528"/>
      <c r="K153" s="1528"/>
      <c r="L153" s="1528"/>
      <c r="M153" s="1531"/>
      <c r="N153" s="1528"/>
      <c r="O153" s="1528"/>
      <c r="P153" s="1528"/>
    </row>
    <row r="154" spans="1:16">
      <c r="A154" s="1527"/>
      <c r="B154" s="1527" t="s">
        <v>2068</v>
      </c>
      <c r="C154" s="1529" t="s">
        <v>1787</v>
      </c>
      <c r="D154" s="1528"/>
      <c r="E154" s="1528"/>
      <c r="F154" s="1528"/>
      <c r="G154" s="1528"/>
      <c r="H154" s="1531">
        <f>'Part I-Project Information'!H129</f>
        <v>0</v>
      </c>
      <c r="I154" s="1528"/>
      <c r="J154" s="1528"/>
      <c r="K154" s="1528"/>
      <c r="L154" s="1528"/>
      <c r="M154" s="1531"/>
      <c r="N154" s="1528"/>
      <c r="O154" s="1528"/>
      <c r="P154" s="1543"/>
    </row>
    <row r="155" spans="1:16">
      <c r="A155" s="1527"/>
      <c r="B155" s="1527"/>
      <c r="C155" s="1541" t="s">
        <v>2517</v>
      </c>
      <c r="D155" s="1541"/>
      <c r="E155" s="1541"/>
      <c r="F155" s="1531"/>
      <c r="G155" s="1528"/>
      <c r="H155" s="1586">
        <f>'Part I-Project Information'!H130</f>
        <v>0</v>
      </c>
      <c r="I155" s="1528"/>
      <c r="J155" s="1528"/>
      <c r="K155" s="1528"/>
      <c r="L155" s="1528"/>
      <c r="M155" s="1528"/>
      <c r="N155" s="1528"/>
      <c r="O155" s="1528"/>
      <c r="P155" s="1543"/>
    </row>
    <row r="156" spans="1:16">
      <c r="A156" s="1527"/>
      <c r="B156" s="1527"/>
      <c r="C156" s="1587" t="s">
        <v>1786</v>
      </c>
      <c r="D156" s="1534"/>
      <c r="E156" s="1528"/>
      <c r="F156" s="1528"/>
      <c r="G156" s="1528"/>
      <c r="H156" s="1528">
        <f>'Part I-Project Information'!H131</f>
        <v>0</v>
      </c>
      <c r="I156" s="1528"/>
      <c r="J156" s="1528"/>
      <c r="K156" s="1528"/>
      <c r="L156" s="1528"/>
      <c r="M156" s="1528"/>
      <c r="N156" s="1528"/>
      <c r="O156" s="1528"/>
      <c r="P156" s="1543"/>
    </row>
    <row r="157" spans="1:16">
      <c r="A157" s="1527"/>
      <c r="B157" s="1527"/>
      <c r="C157" s="1541" t="s">
        <v>2518</v>
      </c>
      <c r="D157" s="1541"/>
      <c r="E157" s="1541"/>
      <c r="F157" s="1531"/>
      <c r="G157" s="1528"/>
      <c r="H157" s="1586">
        <f>'Part I-Project Information'!H132</f>
        <v>0</v>
      </c>
      <c r="I157" s="1528"/>
      <c r="J157" s="1528"/>
      <c r="K157" s="1533" t="s">
        <v>2336</v>
      </c>
      <c r="L157" s="1528"/>
      <c r="M157" s="1528"/>
      <c r="N157" s="1528"/>
      <c r="O157" s="1528" t="str">
        <f>'Part I-Project Information'!O132</f>
        <v>GA-</v>
      </c>
      <c r="P157" s="1528"/>
    </row>
    <row r="158" spans="1:16">
      <c r="A158" s="1527"/>
      <c r="B158" s="1527"/>
      <c r="C158" s="1541" t="s">
        <v>2516</v>
      </c>
      <c r="D158" s="1528"/>
      <c r="E158" s="1528"/>
      <c r="F158" s="1531"/>
      <c r="G158" s="1528"/>
      <c r="H158" s="1586">
        <f>'Part I-Project Information'!H133</f>
        <v>0</v>
      </c>
      <c r="I158" s="1528"/>
      <c r="J158" s="1528"/>
      <c r="K158" s="1533" t="s">
        <v>2337</v>
      </c>
      <c r="L158" s="1528"/>
      <c r="M158" s="1528"/>
      <c r="N158" s="1528"/>
      <c r="O158" s="1528" t="str">
        <f>'Part I-Project Information'!O133</f>
        <v>GA-</v>
      </c>
      <c r="P158" s="1528"/>
    </row>
    <row r="159" spans="1:16">
      <c r="A159" s="1527"/>
      <c r="B159" s="1527"/>
      <c r="C159" s="1541" t="s">
        <v>2254</v>
      </c>
      <c r="D159" s="1541"/>
      <c r="E159" s="1541"/>
      <c r="F159" s="1531"/>
      <c r="G159" s="1528"/>
      <c r="H159" s="1580">
        <f>'Part I-Project Information'!H134</f>
        <v>0</v>
      </c>
      <c r="I159" s="1580"/>
      <c r="J159" s="1528"/>
      <c r="K159" s="1528"/>
      <c r="L159" s="1528"/>
      <c r="M159" s="1528"/>
      <c r="N159" s="1528"/>
      <c r="O159" s="1528"/>
      <c r="P159" s="1543"/>
    </row>
    <row r="160" spans="1:16">
      <c r="A160" s="1527"/>
      <c r="B160" s="1527"/>
      <c r="C160" s="1541"/>
      <c r="D160" s="1541"/>
      <c r="E160" s="1541"/>
      <c r="F160" s="1531"/>
      <c r="G160" s="1528"/>
      <c r="H160" s="1528"/>
      <c r="I160" s="1528"/>
      <c r="J160" s="1528"/>
      <c r="K160" s="1528"/>
      <c r="L160" s="1528"/>
      <c r="M160" s="1528"/>
      <c r="N160" s="1528"/>
      <c r="O160" s="1528"/>
      <c r="P160" s="1543"/>
    </row>
    <row r="161" spans="1:16">
      <c r="A161" s="1527"/>
      <c r="B161" s="1527" t="s">
        <v>2071</v>
      </c>
      <c r="C161" s="1573" t="s">
        <v>2588</v>
      </c>
      <c r="D161" s="1541"/>
      <c r="E161" s="1541"/>
      <c r="F161" s="1531"/>
      <c r="G161" s="1528"/>
      <c r="H161" s="1539">
        <f>'Part I-Project Information'!H136</f>
        <v>0</v>
      </c>
      <c r="I161" s="1528"/>
      <c r="J161" s="1528"/>
      <c r="K161" s="1528"/>
      <c r="L161" s="1528"/>
      <c r="M161" s="1528"/>
      <c r="N161" s="1528"/>
      <c r="O161" s="1528"/>
      <c r="P161" s="1543"/>
    </row>
    <row r="162" spans="1:16">
      <c r="A162" s="1527"/>
      <c r="B162" s="1527"/>
      <c r="C162" s="1541"/>
      <c r="D162" s="1541"/>
      <c r="E162" s="1541"/>
      <c r="F162" s="1531"/>
      <c r="G162" s="1531"/>
      <c r="H162" s="1528"/>
      <c r="I162" s="1528"/>
      <c r="J162" s="1528"/>
      <c r="K162" s="1528"/>
      <c r="L162" s="1528"/>
      <c r="M162" s="1531"/>
      <c r="N162" s="1528"/>
      <c r="O162" s="1528"/>
      <c r="P162" s="1543"/>
    </row>
    <row r="163" spans="1:16">
      <c r="A163" s="1527"/>
      <c r="B163" s="1527" t="s">
        <v>786</v>
      </c>
      <c r="C163" s="1573" t="s">
        <v>2822</v>
      </c>
      <c r="D163" s="1541"/>
      <c r="E163" s="1541"/>
      <c r="F163" s="1531"/>
      <c r="G163" s="1531"/>
      <c r="H163" s="1528"/>
      <c r="I163" s="1528"/>
      <c r="J163" s="1528"/>
      <c r="K163" s="1528"/>
      <c r="L163" s="1528"/>
      <c r="M163" s="1528"/>
      <c r="N163" s="1528"/>
      <c r="O163" s="1528"/>
      <c r="P163" s="1543"/>
    </row>
    <row r="164" spans="1:16">
      <c r="A164" s="1527"/>
      <c r="B164" s="1527"/>
      <c r="C164" s="1541" t="s">
        <v>4551</v>
      </c>
      <c r="D164" s="1541"/>
      <c r="E164" s="1541"/>
      <c r="F164" s="1531"/>
      <c r="G164" s="1531"/>
      <c r="H164" s="1539">
        <f>'Part I-Project Information'!H139</f>
        <v>0</v>
      </c>
      <c r="I164" s="1528"/>
      <c r="J164" s="1528"/>
      <c r="K164" s="1541" t="s">
        <v>1601</v>
      </c>
      <c r="L164" s="1541"/>
      <c r="M164" s="1531"/>
      <c r="N164" s="1531"/>
      <c r="O164" s="1539">
        <f>'Part I-Project Information'!O139</f>
        <v>0</v>
      </c>
      <c r="P164" s="1543"/>
    </row>
    <row r="165" spans="1:16">
      <c r="A165" s="1527"/>
      <c r="B165" s="1527"/>
      <c r="C165" s="1541"/>
      <c r="D165" s="1541"/>
      <c r="E165" s="1541"/>
      <c r="F165" s="1531"/>
      <c r="G165" s="1531"/>
      <c r="H165" s="1531"/>
      <c r="I165" s="1531"/>
      <c r="J165" s="1539"/>
      <c r="K165" s="1531"/>
      <c r="L165" s="1531"/>
      <c r="M165" s="1528"/>
      <c r="N165" s="1528"/>
      <c r="O165" s="1528"/>
      <c r="P165" s="1543"/>
    </row>
    <row r="166" spans="1:16">
      <c r="A166" s="1570" t="s">
        <v>1802</v>
      </c>
      <c r="B166" s="1572" t="s">
        <v>1240</v>
      </c>
      <c r="C166" s="1528"/>
      <c r="D166" s="1572"/>
      <c r="E166" s="1572"/>
      <c r="F166" s="1572"/>
      <c r="G166" s="1531"/>
      <c r="H166" s="1531"/>
      <c r="I166" s="1531"/>
      <c r="J166" s="1539"/>
      <c r="K166" s="1531"/>
      <c r="L166" s="1531"/>
      <c r="M166" s="1528"/>
      <c r="N166" s="1528"/>
      <c r="O166" s="1528"/>
      <c r="P166" s="1543"/>
    </row>
    <row r="167" spans="1:16">
      <c r="A167" s="1570"/>
      <c r="B167" s="1527"/>
      <c r="C167" s="1573"/>
      <c r="D167" s="1573"/>
      <c r="E167" s="1573"/>
      <c r="F167" s="1573"/>
      <c r="G167" s="1531"/>
      <c r="H167" s="1531"/>
      <c r="I167" s="1531"/>
      <c r="J167" s="1539"/>
      <c r="K167" s="1531"/>
      <c r="L167" s="1531"/>
      <c r="M167" s="1528"/>
      <c r="N167" s="1528"/>
      <c r="O167" s="1528"/>
      <c r="P167" s="1528"/>
    </row>
    <row r="168" spans="1:16">
      <c r="A168" s="1527"/>
      <c r="B168" s="1527" t="s">
        <v>2068</v>
      </c>
      <c r="C168" s="1560" t="s">
        <v>1900</v>
      </c>
      <c r="D168" s="1528"/>
      <c r="E168" s="1528"/>
      <c r="F168" s="1531"/>
      <c r="G168" s="1531"/>
      <c r="H168" s="1531"/>
      <c r="I168" s="1531"/>
      <c r="J168" s="1539"/>
      <c r="K168" s="1531"/>
      <c r="L168" s="1531"/>
      <c r="M168" s="1528"/>
      <c r="N168" s="1528"/>
      <c r="O168" s="1528"/>
      <c r="P168" s="1543"/>
    </row>
    <row r="169" spans="1:16">
      <c r="A169" s="1527"/>
      <c r="B169" s="1527"/>
      <c r="C169" s="1553" t="s">
        <v>1593</v>
      </c>
      <c r="D169" s="1539"/>
      <c r="E169" s="1539"/>
      <c r="F169" s="1531"/>
      <c r="G169" s="1531"/>
      <c r="H169" s="1531"/>
      <c r="I169" s="1531"/>
      <c r="J169" s="1528"/>
      <c r="K169" s="1539">
        <f>'Part I-Project Information'!K144</f>
        <v>0</v>
      </c>
      <c r="L169" s="1528"/>
      <c r="M169" s="1528"/>
      <c r="N169" s="1528"/>
      <c r="O169" s="1528"/>
      <c r="P169" s="1543"/>
    </row>
    <row r="170" spans="1:16">
      <c r="A170" s="1527"/>
      <c r="B170" s="1527"/>
      <c r="C170" s="1528" t="s">
        <v>645</v>
      </c>
      <c r="D170" s="1528"/>
      <c r="E170" s="1528"/>
      <c r="F170" s="1528"/>
      <c r="G170" s="1528"/>
      <c r="H170" s="1528"/>
      <c r="I170" s="1528"/>
      <c r="J170" s="1528"/>
      <c r="K170" s="1571">
        <f>'Part I-Project Information'!K145</f>
        <v>0</v>
      </c>
      <c r="L170" s="1534" t="s">
        <v>1871</v>
      </c>
      <c r="M170" s="1528"/>
      <c r="N170" s="1528"/>
      <c r="O170" s="1528"/>
      <c r="P170" s="1588">
        <f>IF('Part VI-Revenues &amp; Expenses'!O$60=0,0,K170/'Part VI-Revenues &amp; Expenses'!$O$60)</f>
        <v>0</v>
      </c>
    </row>
    <row r="171" spans="1:16">
      <c r="A171" s="1527"/>
      <c r="B171" s="1527"/>
      <c r="C171" s="1528" t="s">
        <v>2255</v>
      </c>
      <c r="D171" s="1528"/>
      <c r="E171" s="1528"/>
      <c r="F171" s="1528"/>
      <c r="G171" s="1528"/>
      <c r="H171" s="1528"/>
      <c r="I171" s="1528"/>
      <c r="J171" s="1528"/>
      <c r="K171" s="1571">
        <f>'Part I-Project Information'!K146</f>
        <v>0</v>
      </c>
      <c r="L171" s="1534" t="s">
        <v>1871</v>
      </c>
      <c r="M171" s="1528"/>
      <c r="N171" s="1528"/>
      <c r="O171" s="1528"/>
      <c r="P171" s="1588">
        <f>IF('Part VI-Revenues &amp; Expenses'!O$60=0,0,K171/'Part VI-Revenues &amp; Expenses'!$O$60)</f>
        <v>0</v>
      </c>
    </row>
    <row r="172" spans="1:16">
      <c r="A172" s="1527"/>
      <c r="B172" s="1527"/>
      <c r="C172" s="1528" t="s">
        <v>1872</v>
      </c>
      <c r="D172" s="1528"/>
      <c r="E172" s="1528">
        <f>'Part I-Project Information'!E147</f>
        <v>0</v>
      </c>
      <c r="F172" s="1528"/>
      <c r="G172" s="1528"/>
      <c r="H172" s="1528"/>
      <c r="I172" s="1528"/>
      <c r="J172" s="1528"/>
      <c r="K172" s="1528"/>
      <c r="L172" s="1534" t="s">
        <v>1873</v>
      </c>
      <c r="M172" s="1528">
        <f>'Part I-Project Information'!M147</f>
        <v>0</v>
      </c>
      <c r="N172" s="1528"/>
      <c r="O172" s="1528"/>
      <c r="P172" s="1528"/>
    </row>
    <row r="173" spans="1:16">
      <c r="A173" s="1527"/>
      <c r="B173" s="1527"/>
      <c r="C173" s="1534" t="s">
        <v>1874</v>
      </c>
      <c r="D173" s="1537"/>
      <c r="E173" s="1528">
        <f>'Part I-Project Information'!E148</f>
        <v>0</v>
      </c>
      <c r="F173" s="1528"/>
      <c r="G173" s="1528"/>
      <c r="H173" s="1528"/>
      <c r="I173" s="1528"/>
      <c r="J173" s="1528"/>
      <c r="K173" s="1528"/>
      <c r="L173" s="1534" t="s">
        <v>1879</v>
      </c>
      <c r="M173" s="1540">
        <f>'Part I-Project Information'!M148</f>
        <v>0</v>
      </c>
      <c r="N173" s="1540"/>
      <c r="O173" s="1540"/>
      <c r="P173" s="1528"/>
    </row>
    <row r="174" spans="1:16">
      <c r="A174" s="1527"/>
      <c r="B174" s="1527"/>
      <c r="C174" s="1534" t="s">
        <v>648</v>
      </c>
      <c r="D174" s="1528"/>
      <c r="E174" s="1528">
        <f>'Part I-Project Information'!E149</f>
        <v>0</v>
      </c>
      <c r="F174" s="1528"/>
      <c r="G174" s="1528"/>
      <c r="H174" s="1528"/>
      <c r="I174" s="1531" t="s">
        <v>2319</v>
      </c>
      <c r="J174" s="1542">
        <f>'Part I-Project Information'!J149</f>
        <v>0</v>
      </c>
      <c r="K174" s="1542"/>
      <c r="L174" s="1534" t="s">
        <v>2064</v>
      </c>
      <c r="M174" s="1540">
        <f>'Part I-Project Information'!M149</f>
        <v>0</v>
      </c>
      <c r="N174" s="1540"/>
      <c r="O174" s="1540"/>
      <c r="P174" s="1528"/>
    </row>
    <row r="175" spans="1:16">
      <c r="A175" s="1527"/>
      <c r="B175" s="1527"/>
      <c r="C175" s="1534" t="s">
        <v>1877</v>
      </c>
      <c r="D175" s="1528"/>
      <c r="E175" s="1540">
        <f>'Part I-Project Information'!E150</f>
        <v>0</v>
      </c>
      <c r="F175" s="1540"/>
      <c r="G175" s="1540"/>
      <c r="H175" s="1531"/>
      <c r="I175" s="1531" t="s">
        <v>1876</v>
      </c>
      <c r="J175" s="1544">
        <f>-'Part I-Project Information'!J150</f>
        <v>0</v>
      </c>
      <c r="K175" s="1544"/>
      <c r="L175" s="1544"/>
      <c r="M175" s="1544"/>
      <c r="N175" s="1544"/>
      <c r="O175" s="1544"/>
      <c r="P175" s="1544"/>
    </row>
    <row r="176" spans="1:16">
      <c r="A176" s="1527"/>
      <c r="B176" s="1527"/>
      <c r="C176" s="1534"/>
      <c r="D176" s="1528"/>
      <c r="E176" s="1589"/>
      <c r="F176" s="1589"/>
      <c r="G176" s="1589"/>
      <c r="H176" s="1531"/>
      <c r="I176" s="1589"/>
      <c r="J176" s="1589"/>
      <c r="K176" s="1531"/>
      <c r="L176" s="1589"/>
      <c r="M176" s="1589"/>
      <c r="N176" s="1531"/>
      <c r="O176" s="1589"/>
      <c r="P176" s="1589"/>
    </row>
    <row r="177" spans="1:16">
      <c r="A177" s="1527"/>
      <c r="B177" s="1527" t="s">
        <v>2071</v>
      </c>
      <c r="C177" s="1573" t="s">
        <v>2830</v>
      </c>
      <c r="D177" s="1573"/>
      <c r="E177" s="1573"/>
      <c r="F177" s="1573"/>
      <c r="G177" s="1573"/>
      <c r="H177" s="1528"/>
      <c r="I177" s="1539">
        <f>'Part I-Project Information'!I152</f>
        <v>0</v>
      </c>
      <c r="J177" s="1553" t="s">
        <v>799</v>
      </c>
      <c r="K177" s="1553"/>
      <c r="L177" s="1539">
        <f>'Part I-Project Information'!L152</f>
        <v>0</v>
      </c>
      <c r="M177" s="1528" t="s">
        <v>2417</v>
      </c>
      <c r="N177" s="1528"/>
      <c r="O177" s="1528"/>
      <c r="P177" s="1586">
        <f>'Part I-Project Information'!P152</f>
        <v>0</v>
      </c>
    </row>
    <row r="178" spans="1:16">
      <c r="A178" s="1527"/>
      <c r="B178" s="1527"/>
      <c r="C178" s="1573"/>
      <c r="D178" s="1573"/>
      <c r="E178" s="1511"/>
      <c r="F178" s="1573"/>
      <c r="G178" s="1573"/>
      <c r="H178" s="1528"/>
      <c r="I178" s="1528"/>
      <c r="J178" s="1533"/>
      <c r="K178" s="1539"/>
      <c r="L178" s="1528"/>
      <c r="M178" s="1528"/>
      <c r="N178" s="1528"/>
      <c r="O178" s="1531"/>
      <c r="P178" s="1543"/>
    </row>
    <row r="179" spans="1:16">
      <c r="A179" s="1527"/>
      <c r="B179" s="1527"/>
      <c r="C179" s="1573" t="s">
        <v>2831</v>
      </c>
      <c r="D179" s="1573"/>
      <c r="E179" s="1573"/>
      <c r="F179" s="1573"/>
      <c r="G179" s="1573"/>
      <c r="H179" s="1528"/>
      <c r="I179" s="1539" t="str">
        <f>'Part I-Project Information'!I154</f>
        <v>No</v>
      </c>
      <c r="J179" s="1553" t="s">
        <v>799</v>
      </c>
      <c r="K179" s="1553"/>
      <c r="L179" s="1539">
        <f>'Part I-Project Information'!L154</f>
        <v>0</v>
      </c>
      <c r="M179" s="1528" t="s">
        <v>2417</v>
      </c>
      <c r="N179" s="1528"/>
      <c r="O179" s="1528"/>
      <c r="P179" s="1586">
        <f>'Part I-Project Information'!P154</f>
        <v>0</v>
      </c>
    </row>
    <row r="180" spans="1:16">
      <c r="A180" s="1527"/>
      <c r="B180" s="1527"/>
      <c r="C180" s="1573"/>
      <c r="D180" s="1573"/>
      <c r="E180" s="1511"/>
      <c r="F180" s="1573"/>
      <c r="G180" s="1573"/>
      <c r="H180" s="1528"/>
      <c r="I180" s="1528"/>
      <c r="J180" s="1533"/>
      <c r="K180" s="1539"/>
      <c r="L180" s="1528"/>
      <c r="M180" s="1528"/>
      <c r="N180" s="1528"/>
      <c r="O180" s="1531"/>
      <c r="P180" s="1543"/>
    </row>
    <row r="181" spans="1:16">
      <c r="A181" s="1527"/>
      <c r="B181" s="1527" t="s">
        <v>786</v>
      </c>
      <c r="C181" s="1573" t="s">
        <v>1833</v>
      </c>
      <c r="D181" s="1573"/>
      <c r="E181" s="1573"/>
      <c r="F181" s="1573"/>
      <c r="G181" s="1573"/>
      <c r="H181" s="1528"/>
      <c r="I181" s="1539" t="str">
        <f>'Part I-Project Information'!I156</f>
        <v>No</v>
      </c>
      <c r="J181" s="1528"/>
      <c r="K181" s="1528"/>
      <c r="L181" s="1533"/>
      <c r="M181" s="1533"/>
      <c r="N181" s="1528"/>
      <c r="O181" s="1528"/>
      <c r="P181" s="1543"/>
    </row>
    <row r="182" spans="1:16">
      <c r="A182" s="1527"/>
      <c r="B182" s="1527"/>
      <c r="C182" s="1534"/>
      <c r="D182" s="1528"/>
      <c r="E182" s="1589"/>
      <c r="F182" s="1589"/>
      <c r="G182" s="1589"/>
      <c r="H182" s="1528"/>
      <c r="I182" s="1589"/>
      <c r="J182" s="1589"/>
      <c r="K182" s="1531"/>
      <c r="L182" s="1589"/>
      <c r="M182" s="1589"/>
      <c r="N182" s="1531"/>
      <c r="O182" s="1589"/>
      <c r="P182" s="1589"/>
    </row>
    <row r="183" spans="1:16">
      <c r="A183" s="1527"/>
      <c r="B183" s="1527" t="s">
        <v>2203</v>
      </c>
      <c r="C183" s="1572" t="s">
        <v>2063</v>
      </c>
      <c r="D183" s="1572"/>
      <c r="E183" s="1572"/>
      <c r="F183" s="1572"/>
      <c r="G183" s="1573"/>
      <c r="H183" s="1528"/>
      <c r="I183" s="1539" t="str">
        <f>'Part I-Project Information'!I158</f>
        <v>No</v>
      </c>
      <c r="J183" s="1590" t="s">
        <v>2953</v>
      </c>
      <c r="K183" s="1528"/>
      <c r="L183" s="1553" t="s">
        <v>1541</v>
      </c>
      <c r="M183" s="1553"/>
      <c r="N183" s="1573"/>
      <c r="O183" s="1573"/>
      <c r="P183" s="1591">
        <f>'Part I-Project Information'!P158</f>
        <v>0</v>
      </c>
    </row>
    <row r="184" spans="1:16">
      <c r="A184" s="1528"/>
      <c r="B184" s="1527"/>
      <c r="C184" s="1528"/>
      <c r="D184" s="1528"/>
      <c r="E184" s="1528"/>
      <c r="F184" s="1528"/>
      <c r="G184" s="1528"/>
      <c r="H184" s="1528"/>
      <c r="I184" s="1528"/>
      <c r="J184" s="1528"/>
      <c r="K184" s="1528"/>
      <c r="L184" s="1528" t="s">
        <v>836</v>
      </c>
      <c r="M184" s="1528"/>
      <c r="N184" s="1573"/>
      <c r="O184" s="1573"/>
      <c r="P184" s="1591">
        <f>'Part I-Project Information'!P159</f>
        <v>0</v>
      </c>
    </row>
    <row r="185" spans="1:16">
      <c r="A185" s="1527"/>
      <c r="B185" s="1527"/>
      <c r="C185" s="1528"/>
      <c r="D185" s="1528"/>
      <c r="E185" s="1528"/>
      <c r="F185" s="1528"/>
      <c r="G185" s="1528"/>
      <c r="H185" s="1528"/>
      <c r="I185" s="1528"/>
      <c r="J185" s="1528"/>
      <c r="K185" s="1528"/>
      <c r="L185" s="1528" t="s">
        <v>1867</v>
      </c>
      <c r="M185" s="1528"/>
      <c r="N185" s="1573"/>
      <c r="O185" s="1573"/>
      <c r="P185" s="1592" t="e">
        <f>IF(P183="","",P184/P183)</f>
        <v>#DIV/0!</v>
      </c>
    </row>
    <row r="186" spans="1:16">
      <c r="A186" s="1527"/>
      <c r="B186" s="1527" t="s">
        <v>1811</v>
      </c>
      <c r="C186" s="1529" t="s">
        <v>1677</v>
      </c>
      <c r="D186" s="1541"/>
      <c r="E186" s="1541"/>
      <c r="F186" s="1541"/>
      <c r="G186" s="1541"/>
      <c r="H186" s="1531"/>
      <c r="I186" s="1528"/>
      <c r="J186" s="1533"/>
      <c r="K186" s="1539"/>
      <c r="L186" s="1528"/>
      <c r="M186" s="1528"/>
      <c r="N186" s="1528"/>
      <c r="O186" s="1531"/>
      <c r="P186" s="1543"/>
    </row>
    <row r="187" spans="1:16">
      <c r="A187" s="1527"/>
      <c r="B187" s="1527"/>
      <c r="C187" s="1528" t="s">
        <v>2301</v>
      </c>
      <c r="D187" s="1511"/>
      <c r="E187" s="1528"/>
      <c r="F187" s="1528"/>
      <c r="G187" s="1528"/>
      <c r="H187" s="1528"/>
      <c r="I187" s="1539">
        <f>'Part I-Project Information'!I162</f>
        <v>0</v>
      </c>
      <c r="J187" s="1528"/>
      <c r="K187" s="1528"/>
      <c r="L187" s="1528" t="s">
        <v>1678</v>
      </c>
      <c r="M187" s="1528"/>
      <c r="N187" s="1528"/>
      <c r="O187" s="1528"/>
      <c r="P187" s="1539">
        <f>'Part I-Project Information'!P162</f>
        <v>0</v>
      </c>
    </row>
    <row r="188" spans="1:16">
      <c r="A188" s="1527"/>
      <c r="B188" s="1527"/>
      <c r="C188" s="1528" t="s">
        <v>2302</v>
      </c>
      <c r="D188" s="1528"/>
      <c r="E188" s="1528"/>
      <c r="F188" s="1528"/>
      <c r="G188" s="1528"/>
      <c r="H188" s="1528"/>
      <c r="I188" s="1539">
        <f>'Part I-Project Information'!I163</f>
        <v>0</v>
      </c>
      <c r="J188" s="1528"/>
      <c r="K188" s="1528"/>
      <c r="L188" s="1528" t="s">
        <v>3095</v>
      </c>
      <c r="M188" s="1528"/>
      <c r="N188" s="1528"/>
      <c r="O188" s="1528"/>
      <c r="P188" s="1539">
        <f>'Part I-Project Information'!P163</f>
        <v>0</v>
      </c>
    </row>
    <row r="189" spans="1:16" ht="13.5">
      <c r="A189" s="1527"/>
      <c r="B189" s="1528"/>
      <c r="C189" s="1528" t="s">
        <v>2852</v>
      </c>
      <c r="D189" s="1528"/>
      <c r="E189" s="1528"/>
      <c r="F189" s="1528"/>
      <c r="G189" s="1528"/>
      <c r="H189" s="1528"/>
      <c r="I189" s="1539">
        <f>'Part I-Project Information'!I164</f>
        <v>0</v>
      </c>
      <c r="J189" s="1528"/>
      <c r="K189" s="1528"/>
      <c r="L189" s="1528" t="s">
        <v>2806</v>
      </c>
      <c r="M189" s="1528"/>
      <c r="N189" s="1593">
        <f>'Part I-Project Information'!N164</f>
        <v>0</v>
      </c>
      <c r="O189" s="1593"/>
      <c r="P189" s="1539">
        <f>'Part I-Project Information'!P164</f>
        <v>0</v>
      </c>
    </row>
    <row r="190" spans="1:16" ht="13.5">
      <c r="A190" s="1527"/>
      <c r="B190" s="1527"/>
      <c r="C190" s="1528" t="s">
        <v>1339</v>
      </c>
      <c r="D190" s="1594"/>
      <c r="E190" s="1528"/>
      <c r="F190" s="1528"/>
      <c r="G190" s="1528"/>
      <c r="H190" s="1528"/>
      <c r="I190" s="1539" t="str">
        <f>'Part I-Project Information'!I165</f>
        <v>No</v>
      </c>
      <c r="J190" s="1528"/>
      <c r="K190" s="1511"/>
      <c r="L190" s="1528" t="s">
        <v>3972</v>
      </c>
      <c r="M190" s="1528"/>
      <c r="N190" s="1528"/>
      <c r="O190" s="1528"/>
      <c r="P190" s="1539">
        <f>'Part I-Project Information'!P165</f>
        <v>0</v>
      </c>
    </row>
    <row r="191" spans="1:16">
      <c r="A191" s="1527"/>
      <c r="B191" s="1511"/>
      <c r="C191" s="1528" t="s">
        <v>1885</v>
      </c>
      <c r="D191" s="1528"/>
      <c r="E191" s="1528"/>
      <c r="F191" s="1528"/>
      <c r="G191" s="1528"/>
      <c r="H191" s="1528"/>
      <c r="I191" s="1539" t="str">
        <f>'Part I-Project Information'!I166</f>
        <v>No</v>
      </c>
      <c r="J191" s="1590" t="s">
        <v>2954</v>
      </c>
      <c r="K191" s="1528"/>
      <c r="L191" s="1528"/>
      <c r="M191" s="1528"/>
      <c r="N191" s="1528"/>
      <c r="O191" s="1595">
        <f>'Part I-Project Information'!O166</f>
        <v>0</v>
      </c>
      <c r="P191" s="1595"/>
    </row>
    <row r="192" spans="1:16">
      <c r="A192" s="1527"/>
      <c r="B192" s="1527"/>
      <c r="C192" s="1528" t="s">
        <v>3185</v>
      </c>
      <c r="D192" s="1528"/>
      <c r="E192" s="1528"/>
      <c r="F192" s="1528"/>
      <c r="G192" s="1528"/>
      <c r="H192" s="1528"/>
      <c r="I192" s="1539" t="str">
        <f>'Part I-Project Information'!I167</f>
        <v>No</v>
      </c>
      <c r="J192" s="1590" t="s">
        <v>2954</v>
      </c>
      <c r="K192" s="1528"/>
      <c r="L192" s="1528"/>
      <c r="M192" s="1528"/>
      <c r="N192" s="1528"/>
      <c r="O192" s="1595">
        <f>'Part I-Project Information'!O167</f>
        <v>0</v>
      </c>
      <c r="P192" s="1595"/>
    </row>
    <row r="193" spans="1:19">
      <c r="A193" s="1527"/>
      <c r="B193" s="1527"/>
      <c r="C193" s="1528"/>
      <c r="D193" s="1528"/>
      <c r="E193" s="1528"/>
      <c r="F193" s="1528"/>
      <c r="G193" s="1528"/>
      <c r="H193" s="1528"/>
      <c r="I193" s="1528"/>
      <c r="J193" s="1528"/>
      <c r="K193" s="1528"/>
      <c r="L193" s="1528"/>
      <c r="M193" s="1528"/>
      <c r="N193" s="1528"/>
      <c r="O193" s="1528"/>
      <c r="P193" s="1533"/>
    </row>
    <row r="194" spans="1:19">
      <c r="A194" s="1528"/>
      <c r="B194" s="1527" t="s">
        <v>1812</v>
      </c>
      <c r="C194" s="1529" t="s">
        <v>776</v>
      </c>
      <c r="D194" s="1528"/>
      <c r="E194" s="1528"/>
      <c r="F194" s="1528"/>
      <c r="G194" s="1528"/>
      <c r="H194" s="1528"/>
      <c r="I194" s="1528"/>
      <c r="J194" s="1528"/>
      <c r="K194" s="1528"/>
      <c r="L194" s="1528"/>
      <c r="M194" s="1528"/>
      <c r="N194" s="1528"/>
      <c r="O194" s="1528"/>
      <c r="P194" s="1528"/>
    </row>
    <row r="195" spans="1:19">
      <c r="A195" s="1527"/>
      <c r="B195" s="1527"/>
      <c r="C195" s="1534" t="s">
        <v>669</v>
      </c>
      <c r="D195" s="1541"/>
      <c r="E195" s="1541"/>
      <c r="F195" s="1531"/>
      <c r="G195" s="1531"/>
      <c r="H195" s="1580">
        <f>'Part I-Project Information'!H170</f>
        <v>0</v>
      </c>
      <c r="I195" s="1580"/>
      <c r="J195" s="1528"/>
      <c r="K195" s="1528"/>
      <c r="L195" s="1528"/>
      <c r="M195" s="1528"/>
      <c r="N195" s="1528"/>
      <c r="O195" s="1528"/>
      <c r="P195" s="1543"/>
    </row>
    <row r="196" spans="1:19">
      <c r="A196" s="1527"/>
      <c r="B196" s="1527"/>
      <c r="C196" s="1534" t="s">
        <v>289</v>
      </c>
      <c r="D196" s="1541"/>
      <c r="E196" s="1541"/>
      <c r="F196" s="1531"/>
      <c r="G196" s="1531"/>
      <c r="H196" s="1580">
        <f>'Part I-Project Information'!H171</f>
        <v>0</v>
      </c>
      <c r="I196" s="1580"/>
      <c r="J196" s="1528"/>
      <c r="K196" s="1528"/>
      <c r="L196" s="1528"/>
      <c r="M196" s="1528"/>
      <c r="N196" s="1528"/>
      <c r="O196" s="1528"/>
      <c r="P196" s="1543"/>
    </row>
    <row r="197" spans="1:19">
      <c r="A197" s="1527"/>
      <c r="B197" s="1527"/>
      <c r="C197" s="1534" t="s">
        <v>2386</v>
      </c>
      <c r="D197" s="1541"/>
      <c r="E197" s="1541"/>
      <c r="F197" s="1531"/>
      <c r="G197" s="1531"/>
      <c r="H197" s="1580">
        <f>'Part I-Project Information'!H172</f>
        <v>43070</v>
      </c>
      <c r="I197" s="1580"/>
      <c r="J197" s="1528"/>
      <c r="K197" s="1528"/>
      <c r="L197" s="1528"/>
      <c r="M197" s="1528"/>
      <c r="N197" s="1528"/>
      <c r="O197" s="1528"/>
      <c r="P197" s="1543"/>
    </row>
    <row r="198" spans="1:19">
      <c r="A198" s="1528"/>
      <c r="B198" s="1511"/>
      <c r="C198" s="1528"/>
      <c r="D198" s="1528"/>
      <c r="E198" s="1528"/>
      <c r="F198" s="1528"/>
      <c r="G198" s="1528"/>
      <c r="H198" s="1528"/>
      <c r="I198" s="1528"/>
      <c r="J198" s="1528"/>
      <c r="K198" s="1528"/>
      <c r="L198" s="1533"/>
      <c r="M198" s="1533"/>
      <c r="N198" s="1533"/>
      <c r="O198" s="1533"/>
      <c r="P198" s="1537"/>
    </row>
    <row r="199" spans="1:19">
      <c r="A199" s="1570" t="s">
        <v>3011</v>
      </c>
      <c r="B199" s="1572"/>
      <c r="C199" s="1570" t="s">
        <v>599</v>
      </c>
      <c r="D199" s="1533"/>
      <c r="E199" s="1533"/>
      <c r="F199" s="1533"/>
      <c r="G199" s="1533"/>
      <c r="H199" s="1533"/>
      <c r="I199" s="1533"/>
      <c r="J199" s="1533"/>
      <c r="K199" s="1570" t="s">
        <v>2342</v>
      </c>
      <c r="L199" s="1570" t="s">
        <v>81</v>
      </c>
      <c r="M199" s="1533"/>
      <c r="N199" s="1533"/>
      <c r="O199" s="1533"/>
      <c r="P199" s="1533"/>
    </row>
    <row r="200" spans="1:19" ht="13.5">
      <c r="A200" s="1596">
        <f>'Part I-Project Information'!A175</f>
        <v>0</v>
      </c>
      <c r="B200" s="1596"/>
      <c r="C200" s="1596"/>
      <c r="D200" s="1596"/>
      <c r="E200" s="1596"/>
      <c r="F200" s="1596"/>
      <c r="G200" s="1596"/>
      <c r="H200" s="1596"/>
      <c r="I200" s="1596"/>
      <c r="J200" s="1596"/>
      <c r="K200" s="1596">
        <f>'Part I-Project Information'!K175</f>
        <v>0</v>
      </c>
      <c r="L200" s="1596"/>
      <c r="M200" s="1596"/>
      <c r="N200" s="1596"/>
      <c r="O200" s="1596"/>
      <c r="P200" s="1596"/>
    </row>
    <row r="205" spans="1:19">
      <c r="A205" s="1511" t="str">
        <f>CONCATENATE("DRAFT PART TWO - DEVELOPMENT TEAM INFORMATION","  -  ",'Part I-Project Information'!$O$4," ",'Part I-Project Information'!$F$24,", ",'Part I-Project Information'!F232,", ",'Part I-Project Information'!J233," County")</f>
        <v>DRAFT PART TWO - DEVELOPMENT TEAM INFORMATION  -  2016-508 Gateway Capitol View, ,  County</v>
      </c>
      <c r="B205" s="1511"/>
      <c r="C205" s="1511"/>
      <c r="D205" s="1511"/>
      <c r="E205" s="1511"/>
      <c r="F205" s="1511"/>
      <c r="G205" s="1511"/>
      <c r="H205" s="1511"/>
      <c r="I205" s="1511"/>
      <c r="J205" s="1511"/>
      <c r="K205" s="1511"/>
      <c r="L205" s="1511"/>
      <c r="M205" s="1511"/>
      <c r="N205" s="1511"/>
      <c r="O205" s="1511"/>
      <c r="P205" s="1511"/>
      <c r="Q205" s="1511"/>
      <c r="R205" s="1511"/>
      <c r="S205" s="1511"/>
    </row>
    <row r="206" spans="1:19">
      <c r="A206" s="1533"/>
      <c r="B206" s="1533"/>
      <c r="C206" s="1533"/>
      <c r="D206" s="1533"/>
      <c r="E206" s="1533"/>
      <c r="F206" s="1533"/>
      <c r="G206" s="1533"/>
      <c r="H206" s="1533"/>
      <c r="I206" s="1533"/>
      <c r="J206" s="1533"/>
      <c r="K206" s="1533"/>
      <c r="L206" s="1533"/>
      <c r="M206" s="1533"/>
      <c r="N206" s="1533"/>
      <c r="O206" s="1533"/>
      <c r="P206" s="1533"/>
      <c r="Q206" s="1533"/>
      <c r="R206" s="1533"/>
      <c r="S206" s="1533"/>
    </row>
    <row r="207" spans="1:19">
      <c r="A207" s="1511" t="s">
        <v>646</v>
      </c>
      <c r="B207" s="1529" t="s">
        <v>1938</v>
      </c>
      <c r="C207" s="1529"/>
      <c r="D207" s="1528"/>
      <c r="E207" s="1529"/>
      <c r="F207" s="1529"/>
      <c r="G207" s="1529"/>
      <c r="H207" s="1529" t="s">
        <v>3832</v>
      </c>
      <c r="I207" s="1529"/>
      <c r="J207" s="1529"/>
      <c r="K207" s="1529"/>
      <c r="L207" s="1529"/>
      <c r="M207" s="1529"/>
      <c r="N207" s="1528"/>
      <c r="O207" s="1528"/>
      <c r="P207" s="1528"/>
      <c r="Q207" s="1528"/>
      <c r="R207" s="1528"/>
      <c r="S207" s="1528"/>
    </row>
    <row r="208" spans="1:19">
      <c r="A208" s="1511"/>
      <c r="B208" s="1511"/>
      <c r="C208" s="1511"/>
      <c r="D208" s="1529"/>
      <c r="E208" s="1529"/>
      <c r="F208" s="1529"/>
      <c r="G208" s="1529"/>
      <c r="H208" s="1529"/>
      <c r="I208" s="1529"/>
      <c r="J208" s="1529"/>
      <c r="K208" s="1528"/>
      <c r="L208" s="1528"/>
      <c r="M208" s="1528"/>
      <c r="N208" s="1528"/>
      <c r="O208" s="1528"/>
      <c r="P208" s="1528"/>
      <c r="Q208" s="1528"/>
      <c r="R208" s="1528"/>
      <c r="S208" s="1528"/>
    </row>
    <row r="209" spans="1:19">
      <c r="A209" s="1528"/>
      <c r="B209" s="1511" t="s">
        <v>2068</v>
      </c>
      <c r="C209" s="1529" t="s">
        <v>1934</v>
      </c>
      <c r="D209" s="1528"/>
      <c r="E209" s="1528"/>
      <c r="F209" s="1528"/>
      <c r="G209" s="1528"/>
      <c r="H209" s="1528" t="str">
        <f>'Part II-Development Team'!H5</f>
        <v>Capital View Senior Residences I LP</v>
      </c>
      <c r="I209" s="1553"/>
      <c r="J209" s="1553"/>
      <c r="K209" s="1553"/>
      <c r="L209" s="1553"/>
      <c r="M209" s="1553"/>
      <c r="N209" s="1553"/>
      <c r="O209" s="1534" t="s">
        <v>2075</v>
      </c>
      <c r="P209" s="1534"/>
      <c r="Q209" s="1528" t="str">
        <f>'Part II-Development Team'!Q5</f>
        <v>Ken Blankenship</v>
      </c>
      <c r="R209" s="1553"/>
      <c r="S209" s="1553"/>
    </row>
    <row r="210" spans="1:19">
      <c r="A210" s="1528"/>
      <c r="B210" s="1528"/>
      <c r="C210" s="1528"/>
      <c r="D210" s="1597"/>
      <c r="E210" s="1534" t="s">
        <v>1065</v>
      </c>
      <c r="F210" s="1537"/>
      <c r="G210" s="1528"/>
      <c r="H210" s="1528" t="str">
        <f>'Part II-Development Team'!H6</f>
        <v>3715 Northside Pkwy Bldg 200 Ste 175</v>
      </c>
      <c r="I210" s="1553"/>
      <c r="J210" s="1553"/>
      <c r="K210" s="1553"/>
      <c r="L210" s="1553"/>
      <c r="M210" s="1553"/>
      <c r="N210" s="1553"/>
      <c r="O210" s="1534" t="s">
        <v>1823</v>
      </c>
      <c r="P210" s="1528"/>
      <c r="Q210" s="1528" t="str">
        <f>'Part II-Development Team'!Q6</f>
        <v>Manager</v>
      </c>
      <c r="R210" s="1553"/>
      <c r="S210" s="1553"/>
    </row>
    <row r="211" spans="1:19">
      <c r="A211" s="1528"/>
      <c r="B211" s="1528"/>
      <c r="C211" s="1528"/>
      <c r="D211" s="1597"/>
      <c r="E211" s="1534" t="s">
        <v>648</v>
      </c>
      <c r="F211" s="1528"/>
      <c r="G211" s="1528"/>
      <c r="H211" s="1528" t="str">
        <f>'Part II-Development Team'!H7</f>
        <v>Atlanta</v>
      </c>
      <c r="I211" s="1553"/>
      <c r="J211" s="1553"/>
      <c r="K211" s="1531" t="s">
        <v>800</v>
      </c>
      <c r="L211" s="1528">
        <f>'Part II-Development Team'!L7</f>
        <v>0</v>
      </c>
      <c r="M211" s="1553"/>
      <c r="N211" s="1553"/>
      <c r="O211" s="1534" t="s">
        <v>1879</v>
      </c>
      <c r="P211" s="1528"/>
      <c r="Q211" s="1540">
        <f>'Part II-Development Team'!Q7</f>
        <v>4049493873</v>
      </c>
      <c r="R211" s="1540"/>
      <c r="S211" s="1540"/>
    </row>
    <row r="212" spans="1:19">
      <c r="A212" s="1528"/>
      <c r="B212" s="1528"/>
      <c r="C212" s="1528"/>
      <c r="D212" s="1597"/>
      <c r="E212" s="1534" t="s">
        <v>1875</v>
      </c>
      <c r="F212" s="1528"/>
      <c r="G212" s="1528"/>
      <c r="H212" s="1531" t="str">
        <f>'Part II-Development Team'!H8</f>
        <v>GA</v>
      </c>
      <c r="I212" s="1531" t="s">
        <v>2319</v>
      </c>
      <c r="J212" s="1542">
        <f>'Part II-Development Team'!J8</f>
        <v>303272800</v>
      </c>
      <c r="K212" s="1553"/>
      <c r="L212" s="1528" t="s">
        <v>4493</v>
      </c>
      <c r="M212" s="1528" t="str">
        <f>'Part II-Development Team'!M8</f>
        <v>For Profit</v>
      </c>
      <c r="N212" s="1528"/>
      <c r="O212" s="1534" t="s">
        <v>2064</v>
      </c>
      <c r="P212" s="1528"/>
      <c r="Q212" s="1540">
        <f>'Part II-Development Team'!Q8</f>
        <v>7708619049</v>
      </c>
      <c r="R212" s="1540"/>
      <c r="S212" s="1540"/>
    </row>
    <row r="213" spans="1:19">
      <c r="A213" s="1528"/>
      <c r="B213" s="1528"/>
      <c r="C213" s="1528"/>
      <c r="D213" s="1597"/>
      <c r="E213" s="1534" t="s">
        <v>2070</v>
      </c>
      <c r="F213" s="1528"/>
      <c r="G213" s="1528"/>
      <c r="H213" s="1540">
        <f>'Part II-Development Team'!H9</f>
        <v>4049493873</v>
      </c>
      <c r="I213" s="1540"/>
      <c r="J213" s="1539">
        <f>'Part II-Development Team'!J9</f>
        <v>0</v>
      </c>
      <c r="K213" s="1531" t="s">
        <v>2069</v>
      </c>
      <c r="L213" s="1544" t="str">
        <f>'Part II-Development Team'!L9</f>
        <v>ken@prestwickcompanies.com</v>
      </c>
      <c r="M213" s="1544"/>
      <c r="N213" s="1544"/>
      <c r="O213" s="1544"/>
      <c r="P213" s="1544"/>
      <c r="Q213" s="1544"/>
      <c r="R213" s="1544"/>
      <c r="S213" s="1544"/>
    </row>
    <row r="214" spans="1:19" ht="13.5">
      <c r="A214" s="1528"/>
      <c r="B214" s="1528"/>
      <c r="C214" s="1528"/>
      <c r="D214" s="1597"/>
      <c r="E214" s="1530" t="s">
        <v>2872</v>
      </c>
      <c r="F214" s="1528"/>
      <c r="G214" s="1528"/>
      <c r="H214" s="1589"/>
      <c r="I214" s="1528"/>
      <c r="J214" s="1528"/>
      <c r="K214" s="1538"/>
      <c r="L214" s="1528"/>
      <c r="M214" s="1528"/>
      <c r="N214" s="1511" t="s">
        <v>4552</v>
      </c>
      <c r="O214" s="1528"/>
      <c r="P214" s="1528"/>
      <c r="Q214" s="1531"/>
      <c r="R214" s="1528"/>
      <c r="S214" s="1528"/>
    </row>
    <row r="215" spans="1:19">
      <c r="A215" s="1528"/>
      <c r="B215" s="1528"/>
      <c r="C215" s="1528"/>
      <c r="D215" s="1598"/>
      <c r="E215" s="1534"/>
      <c r="F215" s="1529"/>
      <c r="G215" s="1529"/>
      <c r="H215" s="1529"/>
      <c r="I215" s="1529"/>
      <c r="J215" s="1529"/>
      <c r="K215" s="1528"/>
      <c r="L215" s="1528"/>
      <c r="M215" s="1528"/>
      <c r="N215" s="1529"/>
      <c r="O215" s="1529"/>
      <c r="P215" s="1529"/>
      <c r="Q215" s="1529"/>
      <c r="R215" s="1529"/>
      <c r="S215" s="1529"/>
    </row>
    <row r="216" spans="1:19" ht="13.5">
      <c r="A216" s="1528"/>
      <c r="B216" s="1572" t="s">
        <v>2071</v>
      </c>
      <c r="C216" s="1529" t="s">
        <v>1935</v>
      </c>
      <c r="D216" s="1528"/>
      <c r="E216" s="1528"/>
      <c r="F216" s="1529"/>
      <c r="G216" s="1529"/>
      <c r="H216" s="1529"/>
      <c r="I216" s="1529"/>
      <c r="J216" s="1529"/>
      <c r="K216" s="1528"/>
      <c r="L216" s="1528"/>
      <c r="M216" s="1528"/>
      <c r="N216" s="1599" t="s">
        <v>1338</v>
      </c>
      <c r="O216" s="1528"/>
      <c r="P216" s="1528"/>
      <c r="Q216" s="1528"/>
      <c r="R216" s="1528"/>
      <c r="S216" s="1528"/>
    </row>
    <row r="217" spans="1:19" ht="13.5">
      <c r="A217" s="1528"/>
      <c r="B217" s="1528"/>
      <c r="C217" s="1600" t="s">
        <v>2072</v>
      </c>
      <c r="D217" s="1572" t="s">
        <v>2073</v>
      </c>
      <c r="E217" s="1528"/>
      <c r="F217" s="1528"/>
      <c r="G217" s="1528"/>
      <c r="H217" s="1528"/>
      <c r="I217" s="1528"/>
      <c r="J217" s="1528"/>
      <c r="K217" s="1528"/>
      <c r="L217" s="1528"/>
      <c r="M217" s="1528"/>
      <c r="N217" s="1538"/>
      <c r="O217" s="1528"/>
      <c r="P217" s="1528"/>
      <c r="Q217" s="1528"/>
      <c r="R217" s="1528"/>
      <c r="S217" s="1528"/>
    </row>
    <row r="218" spans="1:19">
      <c r="A218" s="1528"/>
      <c r="B218" s="1528"/>
      <c r="C218" s="1528"/>
      <c r="D218" s="1511" t="s">
        <v>2204</v>
      </c>
      <c r="E218" s="1528" t="s">
        <v>1936</v>
      </c>
      <c r="F218" s="1528"/>
      <c r="G218" s="1528"/>
      <c r="H218" s="1528" t="str">
        <f>'Part II-Development Team'!H14</f>
        <v>Capital View Gateway Senior GP, LLC</v>
      </c>
      <c r="I218" s="1553"/>
      <c r="J218" s="1553"/>
      <c r="K218" s="1553"/>
      <c r="L218" s="1553"/>
      <c r="M218" s="1553"/>
      <c r="N218" s="1553"/>
      <c r="O218" s="1534" t="s">
        <v>2075</v>
      </c>
      <c r="P218" s="1534"/>
      <c r="Q218" s="1528" t="str">
        <f>'Part II-Development Team'!Q14</f>
        <v>Ken Blankenship</v>
      </c>
      <c r="R218" s="1553"/>
      <c r="S218" s="1553"/>
    </row>
    <row r="219" spans="1:19">
      <c r="A219" s="1528"/>
      <c r="B219" s="1528"/>
      <c r="C219" s="1528"/>
      <c r="D219" s="1597"/>
      <c r="E219" s="1534" t="s">
        <v>1065</v>
      </c>
      <c r="F219" s="1537"/>
      <c r="G219" s="1528"/>
      <c r="H219" s="1528" t="str">
        <f>'Part II-Development Team'!H15</f>
        <v>3715 Northside Pkwy, Bldg 200, Ste 175</v>
      </c>
      <c r="I219" s="1553"/>
      <c r="J219" s="1553"/>
      <c r="K219" s="1553"/>
      <c r="L219" s="1553"/>
      <c r="M219" s="1553"/>
      <c r="N219" s="1553"/>
      <c r="O219" s="1534" t="s">
        <v>1823</v>
      </c>
      <c r="P219" s="1528"/>
      <c r="Q219" s="1528" t="str">
        <f>'Part II-Development Team'!Q15</f>
        <v>Manager</v>
      </c>
      <c r="R219" s="1553"/>
      <c r="S219" s="1553"/>
    </row>
    <row r="220" spans="1:19">
      <c r="A220" s="1528"/>
      <c r="B220" s="1528"/>
      <c r="C220" s="1528"/>
      <c r="D220" s="1597"/>
      <c r="E220" s="1534" t="s">
        <v>648</v>
      </c>
      <c r="F220" s="1528"/>
      <c r="G220" s="1528"/>
      <c r="H220" s="1528" t="str">
        <f>'Part II-Development Team'!H16</f>
        <v>Atlanta</v>
      </c>
      <c r="I220" s="1553"/>
      <c r="J220" s="1553"/>
      <c r="K220" s="1531" t="s">
        <v>2832</v>
      </c>
      <c r="L220" s="1528" t="str">
        <f>'Part II-Development Team'!L16</f>
        <v>N/A</v>
      </c>
      <c r="M220" s="1553"/>
      <c r="N220" s="1553"/>
      <c r="O220" s="1534" t="s">
        <v>1879</v>
      </c>
      <c r="P220" s="1528"/>
      <c r="Q220" s="1540">
        <f>'Part II-Development Team'!Q16</f>
        <v>4049493873</v>
      </c>
      <c r="R220" s="1540"/>
      <c r="S220" s="1540"/>
    </row>
    <row r="221" spans="1:19">
      <c r="A221" s="1528"/>
      <c r="B221" s="1528"/>
      <c r="C221" s="1528"/>
      <c r="D221" s="1511"/>
      <c r="E221" s="1534" t="s">
        <v>1875</v>
      </c>
      <c r="F221" s="1528"/>
      <c r="G221" s="1528"/>
      <c r="H221" s="1531">
        <f>'Part II-Development Team'!H17</f>
        <v>0</v>
      </c>
      <c r="I221" s="1528"/>
      <c r="J221" s="1528"/>
      <c r="K221" s="1531" t="s">
        <v>2319</v>
      </c>
      <c r="L221" s="1542">
        <f>'Part II-Development Team'!L17</f>
        <v>0</v>
      </c>
      <c r="M221" s="1553"/>
      <c r="N221" s="1528"/>
      <c r="O221" s="1534" t="s">
        <v>2064</v>
      </c>
      <c r="P221" s="1528"/>
      <c r="Q221" s="1540">
        <f>'Part II-Development Team'!Q17</f>
        <v>7708619049</v>
      </c>
      <c r="R221" s="1540"/>
      <c r="S221" s="1540"/>
    </row>
    <row r="222" spans="1:19">
      <c r="A222" s="1528"/>
      <c r="B222" s="1528"/>
      <c r="C222" s="1528"/>
      <c r="D222" s="1597"/>
      <c r="E222" s="1534" t="s">
        <v>2070</v>
      </c>
      <c r="F222" s="1528"/>
      <c r="G222" s="1528"/>
      <c r="H222" s="1540">
        <f>'Part II-Development Team'!H18</f>
        <v>4049493873</v>
      </c>
      <c r="I222" s="1540"/>
      <c r="J222" s="1539">
        <f>'Part II-Development Team'!J18</f>
        <v>0</v>
      </c>
      <c r="K222" s="1531" t="s">
        <v>2069</v>
      </c>
      <c r="L222" s="1544" t="str">
        <f>'Part II-Development Team'!L18</f>
        <v>ken@prestwickcompanies.com</v>
      </c>
      <c r="M222" s="1544"/>
      <c r="N222" s="1544"/>
      <c r="O222" s="1544"/>
      <c r="P222" s="1544"/>
      <c r="Q222" s="1544"/>
      <c r="R222" s="1544"/>
      <c r="S222" s="1544"/>
    </row>
    <row r="223" spans="1:19">
      <c r="A223" s="1533"/>
      <c r="B223" s="1533"/>
      <c r="C223" s="1533"/>
      <c r="D223" s="1570"/>
      <c r="E223" s="1533"/>
      <c r="F223" s="1533"/>
      <c r="G223" s="1533"/>
      <c r="H223" s="1540"/>
      <c r="I223" s="1540"/>
      <c r="J223" s="1540"/>
      <c r="K223" s="1531"/>
      <c r="L223" s="1540"/>
      <c r="M223" s="1540"/>
      <c r="N223" s="1531"/>
      <c r="O223" s="1540"/>
      <c r="P223" s="1540"/>
      <c r="Q223" s="1531"/>
      <c r="R223" s="1540"/>
      <c r="S223" s="1540"/>
    </row>
    <row r="224" spans="1:19">
      <c r="A224" s="1528"/>
      <c r="B224" s="1528"/>
      <c r="C224" s="1528"/>
      <c r="D224" s="1511" t="s">
        <v>2205</v>
      </c>
      <c r="E224" s="1528" t="s">
        <v>1937</v>
      </c>
      <c r="F224" s="1528"/>
      <c r="G224" s="1528"/>
      <c r="H224" s="1528">
        <f>'Part II-Development Team'!H20</f>
        <v>0</v>
      </c>
      <c r="I224" s="1553"/>
      <c r="J224" s="1553"/>
      <c r="K224" s="1553"/>
      <c r="L224" s="1553"/>
      <c r="M224" s="1553"/>
      <c r="N224" s="1553"/>
      <c r="O224" s="1534" t="s">
        <v>2075</v>
      </c>
      <c r="P224" s="1534"/>
      <c r="Q224" s="1528">
        <f>'Part II-Development Team'!Q20</f>
        <v>0</v>
      </c>
      <c r="R224" s="1553"/>
      <c r="S224" s="1553"/>
    </row>
    <row r="225" spans="1:19">
      <c r="A225" s="1528"/>
      <c r="B225" s="1528"/>
      <c r="C225" s="1528"/>
      <c r="D225" s="1597"/>
      <c r="E225" s="1534" t="s">
        <v>1065</v>
      </c>
      <c r="F225" s="1537"/>
      <c r="G225" s="1528"/>
      <c r="H225" s="1528">
        <f>'Part II-Development Team'!H21</f>
        <v>0</v>
      </c>
      <c r="I225" s="1553"/>
      <c r="J225" s="1553"/>
      <c r="K225" s="1553"/>
      <c r="L225" s="1553"/>
      <c r="M225" s="1553"/>
      <c r="N225" s="1553"/>
      <c r="O225" s="1534" t="s">
        <v>1823</v>
      </c>
      <c r="P225" s="1528"/>
      <c r="Q225" s="1528">
        <f>'Part II-Development Team'!Q21</f>
        <v>0</v>
      </c>
      <c r="R225" s="1553"/>
      <c r="S225" s="1553"/>
    </row>
    <row r="226" spans="1:19">
      <c r="A226" s="1528"/>
      <c r="B226" s="1528"/>
      <c r="C226" s="1528"/>
      <c r="D226" s="1597"/>
      <c r="E226" s="1534" t="s">
        <v>648</v>
      </c>
      <c r="F226" s="1528"/>
      <c r="G226" s="1528"/>
      <c r="H226" s="1528">
        <f>'Part II-Development Team'!H22</f>
        <v>0</v>
      </c>
      <c r="I226" s="1553"/>
      <c r="J226" s="1553"/>
      <c r="K226" s="1531" t="s">
        <v>2832</v>
      </c>
      <c r="L226" s="1528">
        <f>'Part II-Development Team'!L22</f>
        <v>0</v>
      </c>
      <c r="M226" s="1553"/>
      <c r="N226" s="1553"/>
      <c r="O226" s="1534" t="s">
        <v>1879</v>
      </c>
      <c r="P226" s="1528"/>
      <c r="Q226" s="1540">
        <f>'Part II-Development Team'!Q22</f>
        <v>0</v>
      </c>
      <c r="R226" s="1540"/>
      <c r="S226" s="1540"/>
    </row>
    <row r="227" spans="1:19">
      <c r="A227" s="1528"/>
      <c r="B227" s="1528"/>
      <c r="C227" s="1528"/>
      <c r="D227" s="1528"/>
      <c r="E227" s="1534" t="s">
        <v>1875</v>
      </c>
      <c r="F227" s="1528"/>
      <c r="G227" s="1528"/>
      <c r="H227" s="1531">
        <f>'Part II-Development Team'!H23</f>
        <v>0</v>
      </c>
      <c r="I227" s="1528"/>
      <c r="J227" s="1528"/>
      <c r="K227" s="1531" t="s">
        <v>2319</v>
      </c>
      <c r="L227" s="1542">
        <f>'Part II-Development Team'!L23</f>
        <v>0</v>
      </c>
      <c r="M227" s="1553"/>
      <c r="N227" s="1528"/>
      <c r="O227" s="1534" t="s">
        <v>2064</v>
      </c>
      <c r="P227" s="1528"/>
      <c r="Q227" s="1540">
        <f>'Part II-Development Team'!Q23</f>
        <v>0</v>
      </c>
      <c r="R227" s="1540"/>
      <c r="S227" s="1540"/>
    </row>
    <row r="228" spans="1:19">
      <c r="A228" s="1528"/>
      <c r="B228" s="1528"/>
      <c r="C228" s="1528"/>
      <c r="D228" s="1597"/>
      <c r="E228" s="1534" t="s">
        <v>2070</v>
      </c>
      <c r="F228" s="1528"/>
      <c r="G228" s="1528"/>
      <c r="H228" s="1540">
        <f>'Part II-Development Team'!H24</f>
        <v>0</v>
      </c>
      <c r="I228" s="1540"/>
      <c r="J228" s="1539">
        <f>'Part II-Development Team'!J24</f>
        <v>0</v>
      </c>
      <c r="K228" s="1531" t="s">
        <v>2069</v>
      </c>
      <c r="L228" s="1544">
        <f>'Part II-Development Team'!L24</f>
        <v>0</v>
      </c>
      <c r="M228" s="1544"/>
      <c r="N228" s="1544"/>
      <c r="O228" s="1544"/>
      <c r="P228" s="1544"/>
      <c r="Q228" s="1544"/>
      <c r="R228" s="1544"/>
      <c r="S228" s="1544"/>
    </row>
    <row r="229" spans="1:19">
      <c r="A229" s="1528"/>
      <c r="B229" s="1528"/>
      <c r="C229" s="1528"/>
      <c r="D229" s="1597"/>
      <c r="E229" s="1528"/>
      <c r="F229" s="1528"/>
      <c r="G229" s="1534"/>
      <c r="H229" s="1540"/>
      <c r="I229" s="1540"/>
      <c r="J229" s="1540"/>
      <c r="K229" s="1531"/>
      <c r="L229" s="1540"/>
      <c r="M229" s="1540"/>
      <c r="N229" s="1531"/>
      <c r="O229" s="1540"/>
      <c r="P229" s="1540"/>
      <c r="Q229" s="1531"/>
      <c r="R229" s="1540"/>
      <c r="S229" s="1540"/>
    </row>
    <row r="230" spans="1:19">
      <c r="A230" s="1528"/>
      <c r="B230" s="1528"/>
      <c r="C230" s="1528"/>
      <c r="D230" s="1511" t="s">
        <v>1810</v>
      </c>
      <c r="E230" s="1528" t="s">
        <v>1937</v>
      </c>
      <c r="F230" s="1528"/>
      <c r="G230" s="1528"/>
      <c r="H230" s="1528">
        <f>'Part II-Development Team'!H26</f>
        <v>0</v>
      </c>
      <c r="I230" s="1553"/>
      <c r="J230" s="1553"/>
      <c r="K230" s="1553"/>
      <c r="L230" s="1553"/>
      <c r="M230" s="1553"/>
      <c r="N230" s="1553"/>
      <c r="O230" s="1534" t="s">
        <v>2075</v>
      </c>
      <c r="P230" s="1534"/>
      <c r="Q230" s="1528">
        <f>'Part II-Development Team'!Q26</f>
        <v>0</v>
      </c>
      <c r="R230" s="1553"/>
      <c r="S230" s="1553"/>
    </row>
    <row r="231" spans="1:19">
      <c r="A231" s="1528"/>
      <c r="B231" s="1528"/>
      <c r="C231" s="1528"/>
      <c r="D231" s="1597"/>
      <c r="E231" s="1534" t="s">
        <v>1065</v>
      </c>
      <c r="F231" s="1537"/>
      <c r="G231" s="1528"/>
      <c r="H231" s="1528">
        <f>'Part II-Development Team'!H27</f>
        <v>0</v>
      </c>
      <c r="I231" s="1553"/>
      <c r="J231" s="1553"/>
      <c r="K231" s="1553"/>
      <c r="L231" s="1553"/>
      <c r="M231" s="1553"/>
      <c r="N231" s="1553"/>
      <c r="O231" s="1534" t="s">
        <v>1823</v>
      </c>
      <c r="P231" s="1528"/>
      <c r="Q231" s="1528">
        <f>'Part II-Development Team'!Q27</f>
        <v>0</v>
      </c>
      <c r="R231" s="1553"/>
      <c r="S231" s="1553"/>
    </row>
    <row r="232" spans="1:19">
      <c r="A232" s="1528"/>
      <c r="B232" s="1528"/>
      <c r="C232" s="1528"/>
      <c r="D232" s="1597"/>
      <c r="E232" s="1534" t="s">
        <v>648</v>
      </c>
      <c r="F232" s="1528"/>
      <c r="G232" s="1528"/>
      <c r="H232" s="1528">
        <f>'Part II-Development Team'!H28</f>
        <v>0</v>
      </c>
      <c r="I232" s="1553"/>
      <c r="J232" s="1553"/>
      <c r="K232" s="1531" t="s">
        <v>2832</v>
      </c>
      <c r="L232" s="1528">
        <f>'Part II-Development Team'!L28</f>
        <v>0</v>
      </c>
      <c r="M232" s="1553"/>
      <c r="N232" s="1553"/>
      <c r="O232" s="1534" t="s">
        <v>1879</v>
      </c>
      <c r="P232" s="1528"/>
      <c r="Q232" s="1540">
        <f>'Part II-Development Team'!Q28</f>
        <v>0</v>
      </c>
      <c r="R232" s="1540"/>
      <c r="S232" s="1540"/>
    </row>
    <row r="233" spans="1:19">
      <c r="A233" s="1528"/>
      <c r="B233" s="1528"/>
      <c r="C233" s="1528"/>
      <c r="D233" s="1528"/>
      <c r="E233" s="1534" t="s">
        <v>1875</v>
      </c>
      <c r="F233" s="1528"/>
      <c r="G233" s="1528"/>
      <c r="H233" s="1531">
        <f>'Part II-Development Team'!H29</f>
        <v>0</v>
      </c>
      <c r="I233" s="1528"/>
      <c r="J233" s="1528"/>
      <c r="K233" s="1531" t="s">
        <v>2319</v>
      </c>
      <c r="L233" s="1542">
        <f>'Part II-Development Team'!L29</f>
        <v>0</v>
      </c>
      <c r="M233" s="1553"/>
      <c r="N233" s="1528"/>
      <c r="O233" s="1534" t="s">
        <v>2064</v>
      </c>
      <c r="P233" s="1528"/>
      <c r="Q233" s="1540">
        <f>'Part II-Development Team'!Q29</f>
        <v>0</v>
      </c>
      <c r="R233" s="1540"/>
      <c r="S233" s="1540"/>
    </row>
    <row r="234" spans="1:19">
      <c r="A234" s="1528"/>
      <c r="B234" s="1528"/>
      <c r="C234" s="1528"/>
      <c r="D234" s="1597"/>
      <c r="E234" s="1534" t="s">
        <v>2070</v>
      </c>
      <c r="F234" s="1528"/>
      <c r="G234" s="1528"/>
      <c r="H234" s="1540">
        <f>'Part II-Development Team'!H30</f>
        <v>0</v>
      </c>
      <c r="I234" s="1540"/>
      <c r="J234" s="1539">
        <f>'Part II-Development Team'!J30</f>
        <v>0</v>
      </c>
      <c r="K234" s="1531" t="s">
        <v>2069</v>
      </c>
      <c r="L234" s="1544">
        <f>'Part II-Development Team'!L30</f>
        <v>0</v>
      </c>
      <c r="M234" s="1544"/>
      <c r="N234" s="1544"/>
      <c r="O234" s="1544"/>
      <c r="P234" s="1544"/>
      <c r="Q234" s="1544"/>
      <c r="R234" s="1544"/>
      <c r="S234" s="1544"/>
    </row>
    <row r="235" spans="1:19">
      <c r="A235" s="1533"/>
      <c r="B235" s="1533"/>
      <c r="C235" s="1533"/>
      <c r="D235" s="1533"/>
      <c r="E235" s="1533"/>
      <c r="F235" s="1533"/>
      <c r="G235" s="1533"/>
      <c r="H235" s="1533"/>
      <c r="I235" s="1533"/>
      <c r="J235" s="1533"/>
      <c r="K235" s="1533"/>
      <c r="L235" s="1533"/>
      <c r="M235" s="1533"/>
      <c r="N235" s="1533"/>
      <c r="O235" s="1533"/>
      <c r="P235" s="1533"/>
      <c r="Q235" s="1533"/>
      <c r="R235" s="1533"/>
      <c r="S235" s="1533"/>
    </row>
    <row r="236" spans="1:19">
      <c r="A236" s="1528"/>
      <c r="B236" s="1528"/>
      <c r="C236" s="1600" t="s">
        <v>2074</v>
      </c>
      <c r="D236" s="1572" t="s">
        <v>1939</v>
      </c>
      <c r="E236" s="1528"/>
      <c r="F236" s="1528"/>
      <c r="G236" s="1528"/>
      <c r="H236" s="1528"/>
      <c r="I236" s="1528"/>
      <c r="J236" s="1528"/>
      <c r="K236" s="1528"/>
      <c r="L236" s="1528"/>
      <c r="M236" s="1528"/>
      <c r="N236" s="1528"/>
      <c r="O236" s="1528"/>
      <c r="P236" s="1528"/>
      <c r="Q236" s="1528"/>
      <c r="R236" s="1528"/>
      <c r="S236" s="1528"/>
    </row>
    <row r="237" spans="1:19">
      <c r="A237" s="1528"/>
      <c r="B237" s="1528"/>
      <c r="C237" s="1528"/>
      <c r="D237" s="1511" t="s">
        <v>2204</v>
      </c>
      <c r="E237" s="1528" t="s">
        <v>787</v>
      </c>
      <c r="F237" s="1528"/>
      <c r="G237" s="1528"/>
      <c r="H237" s="1528" t="str">
        <f>'Part II-Development Team'!H33</f>
        <v>Direct Tax Credits</v>
      </c>
      <c r="I237" s="1553"/>
      <c r="J237" s="1553"/>
      <c r="K237" s="1553"/>
      <c r="L237" s="1553"/>
      <c r="M237" s="1553"/>
      <c r="N237" s="1553"/>
      <c r="O237" s="1534" t="s">
        <v>2075</v>
      </c>
      <c r="P237" s="1534"/>
      <c r="Q237" s="1528" t="str">
        <f>'Part II-Development Team'!Q33</f>
        <v>Paul Smith</v>
      </c>
      <c r="R237" s="1553"/>
      <c r="S237" s="1553"/>
    </row>
    <row r="238" spans="1:19">
      <c r="A238" s="1528"/>
      <c r="B238" s="1528"/>
      <c r="C238" s="1528"/>
      <c r="D238" s="1597"/>
      <c r="E238" s="1534" t="s">
        <v>1065</v>
      </c>
      <c r="F238" s="1537"/>
      <c r="G238" s="1528"/>
      <c r="H238" s="1528" t="str">
        <f>'Part II-Development Team'!H34</f>
        <v>2860 W. Highway 54</v>
      </c>
      <c r="I238" s="1553"/>
      <c r="J238" s="1553"/>
      <c r="K238" s="1553"/>
      <c r="L238" s="1553"/>
      <c r="M238" s="1553"/>
      <c r="N238" s="1553"/>
      <c r="O238" s="1534" t="s">
        <v>1823</v>
      </c>
      <c r="P238" s="1528"/>
      <c r="Q238" s="1528" t="str">
        <f>'Part II-Development Team'!Q34</f>
        <v>President</v>
      </c>
      <c r="R238" s="1553"/>
      <c r="S238" s="1553"/>
    </row>
    <row r="239" spans="1:19">
      <c r="A239" s="1528"/>
      <c r="B239" s="1528"/>
      <c r="C239" s="1528"/>
      <c r="D239" s="1597"/>
      <c r="E239" s="1534" t="s">
        <v>648</v>
      </c>
      <c r="F239" s="1528"/>
      <c r="G239" s="1528"/>
      <c r="H239" s="1528" t="str">
        <f>'Part II-Development Team'!H35</f>
        <v>Peachtree City</v>
      </c>
      <c r="I239" s="1553"/>
      <c r="J239" s="1553"/>
      <c r="K239" s="1531" t="s">
        <v>2832</v>
      </c>
      <c r="L239" s="1528" t="str">
        <f>'Part II-Development Team'!L35</f>
        <v>www.directtaxcredits.com</v>
      </c>
      <c r="M239" s="1553"/>
      <c r="N239" s="1553"/>
      <c r="O239" s="1534" t="s">
        <v>1879</v>
      </c>
      <c r="P239" s="1528"/>
      <c r="Q239" s="1540">
        <f>'Part II-Development Team'!Q35</f>
        <v>7704870555</v>
      </c>
      <c r="R239" s="1540"/>
      <c r="S239" s="1540"/>
    </row>
    <row r="240" spans="1:19">
      <c r="A240" s="1528"/>
      <c r="B240" s="1528"/>
      <c r="C240" s="1528"/>
      <c r="D240" s="1528"/>
      <c r="E240" s="1534" t="s">
        <v>1875</v>
      </c>
      <c r="F240" s="1528"/>
      <c r="G240" s="1528"/>
      <c r="H240" s="1531" t="str">
        <f>'Part II-Development Team'!H36</f>
        <v>GA</v>
      </c>
      <c r="I240" s="1528"/>
      <c r="J240" s="1528"/>
      <c r="K240" s="1531" t="s">
        <v>2319</v>
      </c>
      <c r="L240" s="1542">
        <f>'Part II-Development Team'!L36</f>
        <v>302690000</v>
      </c>
      <c r="M240" s="1553"/>
      <c r="N240" s="1528"/>
      <c r="O240" s="1534" t="s">
        <v>2064</v>
      </c>
      <c r="P240" s="1528"/>
      <c r="Q240" s="1540">
        <f>'Part II-Development Team'!Q36</f>
        <v>0</v>
      </c>
      <c r="R240" s="1540"/>
      <c r="S240" s="1540"/>
    </row>
    <row r="241" spans="1:19">
      <c r="A241" s="1528"/>
      <c r="B241" s="1528"/>
      <c r="C241" s="1528"/>
      <c r="D241" s="1597"/>
      <c r="E241" s="1534" t="s">
        <v>2070</v>
      </c>
      <c r="F241" s="1528"/>
      <c r="G241" s="1528"/>
      <c r="H241" s="1540">
        <f>'Part II-Development Team'!H37</f>
        <v>7704870555</v>
      </c>
      <c r="I241" s="1540"/>
      <c r="J241" s="1539">
        <f>'Part II-Development Team'!J37</f>
        <v>0</v>
      </c>
      <c r="K241" s="1531" t="s">
        <v>2069</v>
      </c>
      <c r="L241" s="1544" t="str">
        <f>'Part II-Development Team'!L37</f>
        <v>paul@directtaxcredits.com</v>
      </c>
      <c r="M241" s="1544"/>
      <c r="N241" s="1544"/>
      <c r="O241" s="1544"/>
      <c r="P241" s="1544"/>
      <c r="Q241" s="1544"/>
      <c r="R241" s="1544"/>
      <c r="S241" s="1544"/>
    </row>
    <row r="242" spans="1:19">
      <c r="A242" s="1533"/>
      <c r="B242" s="1533"/>
      <c r="C242" s="1533"/>
      <c r="D242" s="1533"/>
      <c r="E242" s="1533"/>
      <c r="F242" s="1533"/>
      <c r="G242" s="1533"/>
      <c r="H242" s="1540"/>
      <c r="I242" s="1540"/>
      <c r="J242" s="1540"/>
      <c r="K242" s="1531"/>
      <c r="L242" s="1540"/>
      <c r="M242" s="1540"/>
      <c r="N242" s="1531"/>
      <c r="O242" s="1540"/>
      <c r="P242" s="1540"/>
      <c r="Q242" s="1531"/>
      <c r="R242" s="1540"/>
      <c r="S242" s="1540"/>
    </row>
    <row r="243" spans="1:19">
      <c r="A243" s="1528"/>
      <c r="B243" s="1528"/>
      <c r="C243" s="1528"/>
      <c r="D243" s="1511" t="s">
        <v>2205</v>
      </c>
      <c r="E243" s="1528" t="s">
        <v>788</v>
      </c>
      <c r="F243" s="1511"/>
      <c r="G243" s="1528"/>
      <c r="H243" s="1528" t="str">
        <f>'Part II-Development Team'!H39</f>
        <v>Direct Tax Credits</v>
      </c>
      <c r="I243" s="1553"/>
      <c r="J243" s="1553"/>
      <c r="K243" s="1553"/>
      <c r="L243" s="1553"/>
      <c r="M243" s="1553"/>
      <c r="N243" s="1553"/>
      <c r="O243" s="1534" t="s">
        <v>2075</v>
      </c>
      <c r="P243" s="1534"/>
      <c r="Q243" s="1528" t="str">
        <f>'Part II-Development Team'!Q39</f>
        <v>Paul Smith</v>
      </c>
      <c r="R243" s="1553"/>
      <c r="S243" s="1553"/>
    </row>
    <row r="244" spans="1:19">
      <c r="A244" s="1528"/>
      <c r="B244" s="1528"/>
      <c r="C244" s="1528"/>
      <c r="D244" s="1597"/>
      <c r="E244" s="1534" t="s">
        <v>1065</v>
      </c>
      <c r="F244" s="1537"/>
      <c r="G244" s="1528"/>
      <c r="H244" s="1528" t="str">
        <f>'Part II-Development Team'!H40</f>
        <v>2860 W. Highway 54</v>
      </c>
      <c r="I244" s="1553"/>
      <c r="J244" s="1553"/>
      <c r="K244" s="1553"/>
      <c r="L244" s="1553"/>
      <c r="M244" s="1553"/>
      <c r="N244" s="1553"/>
      <c r="O244" s="1534" t="s">
        <v>1823</v>
      </c>
      <c r="P244" s="1528"/>
      <c r="Q244" s="1528" t="str">
        <f>'Part II-Development Team'!Q40</f>
        <v>President</v>
      </c>
      <c r="R244" s="1553"/>
      <c r="S244" s="1553"/>
    </row>
    <row r="245" spans="1:19">
      <c r="A245" s="1528"/>
      <c r="B245" s="1528"/>
      <c r="C245" s="1528"/>
      <c r="D245" s="1597"/>
      <c r="E245" s="1534" t="s">
        <v>648</v>
      </c>
      <c r="F245" s="1528"/>
      <c r="G245" s="1528"/>
      <c r="H245" s="1528" t="str">
        <f>'Part II-Development Team'!H41</f>
        <v>Peachtree City</v>
      </c>
      <c r="I245" s="1553"/>
      <c r="J245" s="1553"/>
      <c r="K245" s="1531" t="s">
        <v>2832</v>
      </c>
      <c r="L245" s="1528" t="str">
        <f>'Part II-Development Team'!L41</f>
        <v>www.directtaxcredits.com</v>
      </c>
      <c r="M245" s="1553"/>
      <c r="N245" s="1553"/>
      <c r="O245" s="1534" t="s">
        <v>1879</v>
      </c>
      <c r="P245" s="1528"/>
      <c r="Q245" s="1540">
        <f>'Part II-Development Team'!Q41</f>
        <v>7704870555</v>
      </c>
      <c r="R245" s="1540"/>
      <c r="S245" s="1540"/>
    </row>
    <row r="246" spans="1:19">
      <c r="A246" s="1528"/>
      <c r="B246" s="1528"/>
      <c r="C246" s="1528"/>
      <c r="D246" s="1511"/>
      <c r="E246" s="1534" t="s">
        <v>1875</v>
      </c>
      <c r="F246" s="1528"/>
      <c r="G246" s="1528"/>
      <c r="H246" s="1531" t="str">
        <f>'Part II-Development Team'!H42</f>
        <v>GA</v>
      </c>
      <c r="I246" s="1528"/>
      <c r="J246" s="1528"/>
      <c r="K246" s="1531" t="s">
        <v>2319</v>
      </c>
      <c r="L246" s="1542">
        <f>'Part II-Development Team'!L42</f>
        <v>302690000</v>
      </c>
      <c r="M246" s="1553"/>
      <c r="N246" s="1528"/>
      <c r="O246" s="1534" t="s">
        <v>2064</v>
      </c>
      <c r="P246" s="1528"/>
      <c r="Q246" s="1540">
        <f>'Part II-Development Team'!Q42</f>
        <v>0</v>
      </c>
      <c r="R246" s="1540"/>
      <c r="S246" s="1540"/>
    </row>
    <row r="247" spans="1:19">
      <c r="A247" s="1528"/>
      <c r="B247" s="1528"/>
      <c r="C247" s="1528"/>
      <c r="D247" s="1597"/>
      <c r="E247" s="1534" t="s">
        <v>2070</v>
      </c>
      <c r="F247" s="1528"/>
      <c r="G247" s="1528"/>
      <c r="H247" s="1540">
        <f>'Part II-Development Team'!H43</f>
        <v>7704870555</v>
      </c>
      <c r="I247" s="1540"/>
      <c r="J247" s="1539">
        <f>'Part II-Development Team'!J43</f>
        <v>0</v>
      </c>
      <c r="K247" s="1531" t="s">
        <v>2069</v>
      </c>
      <c r="L247" s="1544" t="str">
        <f>'Part II-Development Team'!L43</f>
        <v>paul@directtaxcredits.com</v>
      </c>
      <c r="M247" s="1544"/>
      <c r="N247" s="1544"/>
      <c r="O247" s="1544"/>
      <c r="P247" s="1544"/>
      <c r="Q247" s="1544"/>
      <c r="R247" s="1544"/>
      <c r="S247" s="1544"/>
    </row>
    <row r="248" spans="1:19">
      <c r="A248" s="1528"/>
      <c r="B248" s="1528"/>
      <c r="C248" s="1528"/>
      <c r="D248" s="1597"/>
      <c r="E248" s="1534"/>
      <c r="F248" s="1511"/>
      <c r="G248" s="1528"/>
      <c r="H248" s="1589"/>
      <c r="I248" s="1589"/>
      <c r="J248" s="1586"/>
      <c r="K248" s="1531"/>
      <c r="L248" s="1589"/>
      <c r="M248" s="1589"/>
      <c r="N248" s="1531"/>
      <c r="O248" s="1589"/>
      <c r="P248" s="1589"/>
      <c r="Q248" s="1531"/>
      <c r="R248" s="1589"/>
      <c r="S248" s="1589"/>
    </row>
    <row r="249" spans="1:19">
      <c r="A249" s="1528"/>
      <c r="B249" s="1528"/>
      <c r="C249" s="1601" t="s">
        <v>2634</v>
      </c>
      <c r="D249" s="1572" t="s">
        <v>683</v>
      </c>
      <c r="E249" s="1528"/>
      <c r="F249" s="1528"/>
      <c r="G249" s="1528"/>
      <c r="H249" s="1528"/>
      <c r="I249" s="1528"/>
      <c r="J249" s="1528"/>
      <c r="K249" s="1528"/>
      <c r="L249" s="1528"/>
      <c r="M249" s="1528"/>
      <c r="N249" s="1528"/>
      <c r="O249" s="1528"/>
      <c r="P249" s="1528"/>
      <c r="Q249" s="1528"/>
      <c r="R249" s="1528"/>
      <c r="S249" s="1528"/>
    </row>
    <row r="250" spans="1:19">
      <c r="A250" s="1528"/>
      <c r="B250" s="1528"/>
      <c r="C250" s="1528"/>
      <c r="D250" s="1528"/>
      <c r="E250" s="1528" t="s">
        <v>94</v>
      </c>
      <c r="F250" s="1528"/>
      <c r="G250" s="1528"/>
      <c r="H250" s="1528">
        <f>'Part II-Development Team'!H46</f>
        <v>0</v>
      </c>
      <c r="I250" s="1553"/>
      <c r="J250" s="1553"/>
      <c r="K250" s="1553"/>
      <c r="L250" s="1553"/>
      <c r="M250" s="1553"/>
      <c r="N250" s="1553"/>
      <c r="O250" s="1534" t="s">
        <v>2075</v>
      </c>
      <c r="P250" s="1534"/>
      <c r="Q250" s="1528">
        <f>'Part II-Development Team'!Q46</f>
        <v>0</v>
      </c>
      <c r="R250" s="1553"/>
      <c r="S250" s="1553"/>
    </row>
    <row r="251" spans="1:19">
      <c r="A251" s="1528"/>
      <c r="B251" s="1528"/>
      <c r="C251" s="1528"/>
      <c r="D251" s="1597"/>
      <c r="E251" s="1534" t="s">
        <v>1065</v>
      </c>
      <c r="F251" s="1537"/>
      <c r="G251" s="1528"/>
      <c r="H251" s="1528">
        <f>'Part II-Development Team'!H47</f>
        <v>0</v>
      </c>
      <c r="I251" s="1553"/>
      <c r="J251" s="1553"/>
      <c r="K251" s="1553"/>
      <c r="L251" s="1553"/>
      <c r="M251" s="1553"/>
      <c r="N251" s="1553"/>
      <c r="O251" s="1534" t="s">
        <v>1823</v>
      </c>
      <c r="P251" s="1528"/>
      <c r="Q251" s="1528">
        <f>'Part II-Development Team'!Q47</f>
        <v>0</v>
      </c>
      <c r="R251" s="1553"/>
      <c r="S251" s="1553"/>
    </row>
    <row r="252" spans="1:19">
      <c r="A252" s="1528"/>
      <c r="B252" s="1528"/>
      <c r="C252" s="1528"/>
      <c r="D252" s="1597"/>
      <c r="E252" s="1534" t="s">
        <v>648</v>
      </c>
      <c r="F252" s="1528"/>
      <c r="G252" s="1528"/>
      <c r="H252" s="1528">
        <f>'Part II-Development Team'!H48</f>
        <v>0</v>
      </c>
      <c r="I252" s="1553"/>
      <c r="J252" s="1553"/>
      <c r="K252" s="1531" t="s">
        <v>2832</v>
      </c>
      <c r="L252" s="1528">
        <f>'Part II-Development Team'!L48</f>
        <v>0</v>
      </c>
      <c r="M252" s="1553"/>
      <c r="N252" s="1553"/>
      <c r="O252" s="1534" t="s">
        <v>1879</v>
      </c>
      <c r="P252" s="1528"/>
      <c r="Q252" s="1540">
        <f>'Part II-Development Team'!Q48</f>
        <v>0</v>
      </c>
      <c r="R252" s="1540"/>
      <c r="S252" s="1540"/>
    </row>
    <row r="253" spans="1:19">
      <c r="A253" s="1528"/>
      <c r="B253" s="1528"/>
      <c r="C253" s="1528"/>
      <c r="D253" s="1528"/>
      <c r="E253" s="1534" t="s">
        <v>1875</v>
      </c>
      <c r="F253" s="1528"/>
      <c r="G253" s="1528"/>
      <c r="H253" s="1531">
        <f>'Part II-Development Team'!H49</f>
        <v>0</v>
      </c>
      <c r="I253" s="1528"/>
      <c r="J253" s="1528"/>
      <c r="K253" s="1531" t="s">
        <v>2319</v>
      </c>
      <c r="L253" s="1542">
        <f>'Part II-Development Team'!L49</f>
        <v>0</v>
      </c>
      <c r="M253" s="1553"/>
      <c r="N253" s="1528"/>
      <c r="O253" s="1534" t="s">
        <v>2064</v>
      </c>
      <c r="P253" s="1528"/>
      <c r="Q253" s="1540">
        <f>'Part II-Development Team'!Q49</f>
        <v>0</v>
      </c>
      <c r="R253" s="1540"/>
      <c r="S253" s="1540"/>
    </row>
    <row r="254" spans="1:19">
      <c r="A254" s="1528"/>
      <c r="B254" s="1528"/>
      <c r="C254" s="1528"/>
      <c r="D254" s="1597"/>
      <c r="E254" s="1534" t="s">
        <v>2070</v>
      </c>
      <c r="F254" s="1528"/>
      <c r="G254" s="1528"/>
      <c r="H254" s="1540">
        <f>'Part II-Development Team'!H50</f>
        <v>0</v>
      </c>
      <c r="I254" s="1540"/>
      <c r="J254" s="1539">
        <f>'Part II-Development Team'!J50</f>
        <v>0</v>
      </c>
      <c r="K254" s="1531" t="s">
        <v>2069</v>
      </c>
      <c r="L254" s="1544">
        <f>'Part II-Development Team'!L50</f>
        <v>0</v>
      </c>
      <c r="M254" s="1544"/>
      <c r="N254" s="1544"/>
      <c r="O254" s="1544"/>
      <c r="P254" s="1544"/>
      <c r="Q254" s="1544"/>
      <c r="R254" s="1544"/>
      <c r="S254" s="1544"/>
    </row>
    <row r="255" spans="1:19">
      <c r="A255" s="1533"/>
      <c r="B255" s="1533"/>
      <c r="C255" s="1533"/>
      <c r="D255" s="1533"/>
      <c r="E255" s="1533"/>
      <c r="F255" s="1533"/>
      <c r="G255" s="1533"/>
      <c r="H255" s="1533"/>
      <c r="I255" s="1533"/>
      <c r="J255" s="1533"/>
      <c r="K255" s="1533"/>
      <c r="L255" s="1533"/>
      <c r="M255" s="1533"/>
      <c r="N255" s="1533"/>
      <c r="O255" s="1533"/>
      <c r="P255" s="1533"/>
      <c r="Q255" s="1533"/>
      <c r="R255" s="1533"/>
      <c r="S255" s="1533"/>
    </row>
    <row r="256" spans="1:19">
      <c r="A256" s="1511" t="s">
        <v>777</v>
      </c>
      <c r="B256" s="1511" t="s">
        <v>684</v>
      </c>
      <c r="C256" s="1528"/>
      <c r="D256" s="1528"/>
      <c r="E256" s="1528"/>
      <c r="F256" s="1511"/>
      <c r="G256" s="1531"/>
      <c r="H256" s="1531"/>
      <c r="I256" s="1531"/>
      <c r="J256" s="1528"/>
      <c r="K256" s="1528"/>
      <c r="L256" s="1528"/>
      <c r="M256" s="1528"/>
      <c r="N256" s="1528"/>
      <c r="O256" s="1528"/>
      <c r="P256" s="1528"/>
      <c r="Q256" s="1528"/>
      <c r="R256" s="1528"/>
      <c r="S256" s="1528"/>
    </row>
    <row r="257" spans="1:19">
      <c r="A257" s="1511"/>
      <c r="B257" s="1511"/>
      <c r="C257" s="1528"/>
      <c r="D257" s="1528"/>
      <c r="E257" s="1528"/>
      <c r="F257" s="1511"/>
      <c r="G257" s="1531"/>
      <c r="H257" s="1540"/>
      <c r="I257" s="1540"/>
      <c r="J257" s="1540"/>
      <c r="K257" s="1531"/>
      <c r="L257" s="1540"/>
      <c r="M257" s="1540"/>
      <c r="N257" s="1531"/>
      <c r="O257" s="1540"/>
      <c r="P257" s="1540"/>
      <c r="Q257" s="1531"/>
      <c r="R257" s="1540"/>
      <c r="S257" s="1540"/>
    </row>
    <row r="258" spans="1:19">
      <c r="A258" s="1528"/>
      <c r="B258" s="1511" t="s">
        <v>2068</v>
      </c>
      <c r="C258" s="1511" t="s">
        <v>296</v>
      </c>
      <c r="D258" s="1528"/>
      <c r="E258" s="1528"/>
      <c r="F258" s="1528"/>
      <c r="G258" s="1528"/>
      <c r="H258" s="1528" t="str">
        <f>'Part II-Development Team'!H54</f>
        <v>Prestwick Development Company, LLC</v>
      </c>
      <c r="I258" s="1553"/>
      <c r="J258" s="1553"/>
      <c r="K258" s="1553"/>
      <c r="L258" s="1553"/>
      <c r="M258" s="1553"/>
      <c r="N258" s="1553"/>
      <c r="O258" s="1534" t="s">
        <v>2075</v>
      </c>
      <c r="P258" s="1534"/>
      <c r="Q258" s="1528" t="str">
        <f>'Part II-Development Team'!Q54</f>
        <v>Ken Blankenship</v>
      </c>
      <c r="R258" s="1553"/>
      <c r="S258" s="1553"/>
    </row>
    <row r="259" spans="1:19">
      <c r="A259" s="1528"/>
      <c r="B259" s="1528"/>
      <c r="C259" s="1528"/>
      <c r="D259" s="1597"/>
      <c r="E259" s="1534" t="s">
        <v>1065</v>
      </c>
      <c r="F259" s="1537"/>
      <c r="G259" s="1528"/>
      <c r="H259" s="1528" t="str">
        <f>'Part II-Development Team'!H55</f>
        <v>3715 Northside Pkwy, Bldg 200, Ste 175</v>
      </c>
      <c r="I259" s="1553"/>
      <c r="J259" s="1553"/>
      <c r="K259" s="1553"/>
      <c r="L259" s="1553"/>
      <c r="M259" s="1553"/>
      <c r="N259" s="1553"/>
      <c r="O259" s="1534" t="s">
        <v>1823</v>
      </c>
      <c r="P259" s="1528"/>
      <c r="Q259" s="1528" t="str">
        <f>'Part II-Development Team'!Q55</f>
        <v>Manager</v>
      </c>
      <c r="R259" s="1553"/>
      <c r="S259" s="1553"/>
    </row>
    <row r="260" spans="1:19">
      <c r="A260" s="1528"/>
      <c r="B260" s="1528"/>
      <c r="C260" s="1528"/>
      <c r="D260" s="1597"/>
      <c r="E260" s="1534" t="s">
        <v>648</v>
      </c>
      <c r="F260" s="1528"/>
      <c r="G260" s="1528"/>
      <c r="H260" s="1528" t="str">
        <f>'Part II-Development Team'!H56</f>
        <v>Atlanta</v>
      </c>
      <c r="I260" s="1553"/>
      <c r="J260" s="1553"/>
      <c r="K260" s="1531" t="s">
        <v>2832</v>
      </c>
      <c r="L260" s="1528" t="str">
        <f>'Part II-Development Team'!L56</f>
        <v>www.prestwickcompanies.com</v>
      </c>
      <c r="M260" s="1553"/>
      <c r="N260" s="1553"/>
      <c r="O260" s="1534" t="s">
        <v>1879</v>
      </c>
      <c r="P260" s="1528"/>
      <c r="Q260" s="1540">
        <f>'Part II-Development Team'!Q56</f>
        <v>4049493873</v>
      </c>
      <c r="R260" s="1540"/>
      <c r="S260" s="1540"/>
    </row>
    <row r="261" spans="1:19">
      <c r="A261" s="1528"/>
      <c r="B261" s="1528"/>
      <c r="C261" s="1528"/>
      <c r="D261" s="1528"/>
      <c r="E261" s="1534" t="s">
        <v>1875</v>
      </c>
      <c r="F261" s="1528"/>
      <c r="G261" s="1528"/>
      <c r="H261" s="1531" t="str">
        <f>'Part II-Development Team'!H57</f>
        <v>GA</v>
      </c>
      <c r="I261" s="1528"/>
      <c r="J261" s="1528"/>
      <c r="K261" s="1531" t="s">
        <v>2319</v>
      </c>
      <c r="L261" s="1542">
        <f>'Part II-Development Team'!L57</f>
        <v>303272800</v>
      </c>
      <c r="M261" s="1553"/>
      <c r="N261" s="1528"/>
      <c r="O261" s="1534" t="s">
        <v>2064</v>
      </c>
      <c r="P261" s="1528"/>
      <c r="Q261" s="1540">
        <f>'Part II-Development Team'!Q57</f>
        <v>7708619049</v>
      </c>
      <c r="R261" s="1540"/>
      <c r="S261" s="1540"/>
    </row>
    <row r="262" spans="1:19">
      <c r="A262" s="1528"/>
      <c r="B262" s="1528"/>
      <c r="C262" s="1528"/>
      <c r="D262" s="1597"/>
      <c r="E262" s="1534" t="s">
        <v>2070</v>
      </c>
      <c r="F262" s="1528"/>
      <c r="G262" s="1528"/>
      <c r="H262" s="1540">
        <f>'Part II-Development Team'!H58</f>
        <v>4049493873</v>
      </c>
      <c r="I262" s="1540"/>
      <c r="J262" s="1539">
        <f>'Part II-Development Team'!J58</f>
        <v>0</v>
      </c>
      <c r="K262" s="1531" t="s">
        <v>2069</v>
      </c>
      <c r="L262" s="1544" t="str">
        <f>'Part II-Development Team'!L58</f>
        <v>ken@prestwickcompanies.com</v>
      </c>
      <c r="M262" s="1544"/>
      <c r="N262" s="1544"/>
      <c r="O262" s="1544"/>
      <c r="P262" s="1544"/>
      <c r="Q262" s="1544"/>
      <c r="R262" s="1544"/>
      <c r="S262" s="1544"/>
    </row>
    <row r="263" spans="1:19">
      <c r="A263" s="1528"/>
      <c r="B263" s="1528"/>
      <c r="C263" s="1528"/>
      <c r="D263" s="1597"/>
      <c r="E263" s="1528"/>
      <c r="F263" s="1528"/>
      <c r="G263" s="1534"/>
      <c r="H263" s="1540"/>
      <c r="I263" s="1540"/>
      <c r="J263" s="1540"/>
      <c r="K263" s="1531"/>
      <c r="L263" s="1540"/>
      <c r="M263" s="1540"/>
      <c r="N263" s="1531"/>
      <c r="O263" s="1540"/>
      <c r="P263" s="1540"/>
      <c r="Q263" s="1531"/>
      <c r="R263" s="1540"/>
      <c r="S263" s="1540"/>
    </row>
    <row r="264" spans="1:19">
      <c r="A264" s="1528"/>
      <c r="B264" s="1511" t="s">
        <v>2071</v>
      </c>
      <c r="C264" s="1511" t="s">
        <v>297</v>
      </c>
      <c r="D264" s="1528"/>
      <c r="E264" s="1528"/>
      <c r="F264" s="1528"/>
      <c r="G264" s="1528"/>
      <c r="H264" s="1528">
        <f>'Part II-Development Team'!H60</f>
        <v>0</v>
      </c>
      <c r="I264" s="1553"/>
      <c r="J264" s="1553"/>
      <c r="K264" s="1553"/>
      <c r="L264" s="1553"/>
      <c r="M264" s="1553"/>
      <c r="N264" s="1553"/>
      <c r="O264" s="1534" t="s">
        <v>2075</v>
      </c>
      <c r="P264" s="1534"/>
      <c r="Q264" s="1528">
        <f>'Part II-Development Team'!Q60</f>
        <v>0</v>
      </c>
      <c r="R264" s="1553"/>
      <c r="S264" s="1553"/>
    </row>
    <row r="265" spans="1:19">
      <c r="A265" s="1528"/>
      <c r="B265" s="1528"/>
      <c r="C265" s="1528"/>
      <c r="D265" s="1597"/>
      <c r="E265" s="1534" t="s">
        <v>1065</v>
      </c>
      <c r="F265" s="1537"/>
      <c r="G265" s="1528"/>
      <c r="H265" s="1528">
        <f>'Part II-Development Team'!H61</f>
        <v>0</v>
      </c>
      <c r="I265" s="1553"/>
      <c r="J265" s="1553"/>
      <c r="K265" s="1553"/>
      <c r="L265" s="1553"/>
      <c r="M265" s="1553"/>
      <c r="N265" s="1553"/>
      <c r="O265" s="1534" t="s">
        <v>1823</v>
      </c>
      <c r="P265" s="1528"/>
      <c r="Q265" s="1528">
        <f>'Part II-Development Team'!Q61</f>
        <v>0</v>
      </c>
      <c r="R265" s="1553"/>
      <c r="S265" s="1553"/>
    </row>
    <row r="266" spans="1:19">
      <c r="A266" s="1528"/>
      <c r="B266" s="1528"/>
      <c r="C266" s="1528"/>
      <c r="D266" s="1597"/>
      <c r="E266" s="1534" t="s">
        <v>648</v>
      </c>
      <c r="F266" s="1528"/>
      <c r="G266" s="1528"/>
      <c r="H266" s="1528">
        <f>'Part II-Development Team'!H62</f>
        <v>0</v>
      </c>
      <c r="I266" s="1553"/>
      <c r="J266" s="1553"/>
      <c r="K266" s="1531" t="s">
        <v>2832</v>
      </c>
      <c r="L266" s="1528">
        <f>'Part II-Development Team'!L62</f>
        <v>0</v>
      </c>
      <c r="M266" s="1553"/>
      <c r="N266" s="1553"/>
      <c r="O266" s="1534" t="s">
        <v>1879</v>
      </c>
      <c r="P266" s="1528"/>
      <c r="Q266" s="1540">
        <f>'Part II-Development Team'!Q62</f>
        <v>0</v>
      </c>
      <c r="R266" s="1540"/>
      <c r="S266" s="1540"/>
    </row>
    <row r="267" spans="1:19">
      <c r="A267" s="1528"/>
      <c r="B267" s="1528"/>
      <c r="C267" s="1528"/>
      <c r="D267" s="1528"/>
      <c r="E267" s="1534" t="s">
        <v>1875</v>
      </c>
      <c r="F267" s="1528"/>
      <c r="G267" s="1528"/>
      <c r="H267" s="1531">
        <f>'Part II-Development Team'!H63</f>
        <v>0</v>
      </c>
      <c r="I267" s="1528"/>
      <c r="J267" s="1528"/>
      <c r="K267" s="1531" t="s">
        <v>2319</v>
      </c>
      <c r="L267" s="1542">
        <f>'Part II-Development Team'!L63</f>
        <v>0</v>
      </c>
      <c r="M267" s="1553"/>
      <c r="N267" s="1528"/>
      <c r="O267" s="1534" t="s">
        <v>2064</v>
      </c>
      <c r="P267" s="1528"/>
      <c r="Q267" s="1540">
        <f>'Part II-Development Team'!Q63</f>
        <v>0</v>
      </c>
      <c r="R267" s="1540"/>
      <c r="S267" s="1540"/>
    </row>
    <row r="268" spans="1:19">
      <c r="A268" s="1528"/>
      <c r="B268" s="1528"/>
      <c r="C268" s="1528"/>
      <c r="D268" s="1597"/>
      <c r="E268" s="1534" t="s">
        <v>2070</v>
      </c>
      <c r="F268" s="1528"/>
      <c r="G268" s="1528"/>
      <c r="H268" s="1540">
        <f>'Part II-Development Team'!H64</f>
        <v>0</v>
      </c>
      <c r="I268" s="1540"/>
      <c r="J268" s="1539">
        <f>'Part II-Development Team'!J64</f>
        <v>0</v>
      </c>
      <c r="K268" s="1531" t="s">
        <v>2069</v>
      </c>
      <c r="L268" s="1544">
        <f>'Part II-Development Team'!L64</f>
        <v>0</v>
      </c>
      <c r="M268" s="1544"/>
      <c r="N268" s="1544"/>
      <c r="O268" s="1544"/>
      <c r="P268" s="1544"/>
      <c r="Q268" s="1544"/>
      <c r="R268" s="1544"/>
      <c r="S268" s="1544"/>
    </row>
    <row r="269" spans="1:19">
      <c r="A269" s="1528"/>
      <c r="B269" s="1528"/>
      <c r="C269" s="1528"/>
      <c r="D269" s="1597"/>
      <c r="E269" s="1528"/>
      <c r="F269" s="1528"/>
      <c r="G269" s="1534"/>
      <c r="H269" s="1540"/>
      <c r="I269" s="1540"/>
      <c r="J269" s="1540"/>
      <c r="K269" s="1531"/>
      <c r="L269" s="1540"/>
      <c r="M269" s="1540"/>
      <c r="N269" s="1531"/>
      <c r="O269" s="1540"/>
      <c r="P269" s="1540"/>
      <c r="Q269" s="1531"/>
      <c r="R269" s="1540"/>
      <c r="S269" s="1540"/>
    </row>
    <row r="270" spans="1:19">
      <c r="A270" s="1528"/>
      <c r="B270" s="1511" t="s">
        <v>786</v>
      </c>
      <c r="C270" s="1511" t="s">
        <v>1594</v>
      </c>
      <c r="D270" s="1528"/>
      <c r="E270" s="1528"/>
      <c r="F270" s="1528"/>
      <c r="G270" s="1528"/>
      <c r="H270" s="1528">
        <f>'Part II-Development Team'!H66</f>
        <v>0</v>
      </c>
      <c r="I270" s="1553"/>
      <c r="J270" s="1553"/>
      <c r="K270" s="1553"/>
      <c r="L270" s="1553"/>
      <c r="M270" s="1553"/>
      <c r="N270" s="1553"/>
      <c r="O270" s="1534" t="s">
        <v>2075</v>
      </c>
      <c r="P270" s="1534"/>
      <c r="Q270" s="1528">
        <f>'Part II-Development Team'!Q66</f>
        <v>0</v>
      </c>
      <c r="R270" s="1553"/>
      <c r="S270" s="1553"/>
    </row>
    <row r="271" spans="1:19">
      <c r="A271" s="1528"/>
      <c r="B271" s="1528"/>
      <c r="C271" s="1528"/>
      <c r="D271" s="1597"/>
      <c r="E271" s="1534" t="s">
        <v>1065</v>
      </c>
      <c r="F271" s="1537"/>
      <c r="G271" s="1528"/>
      <c r="H271" s="1528">
        <f>'Part II-Development Team'!H67</f>
        <v>0</v>
      </c>
      <c r="I271" s="1553"/>
      <c r="J271" s="1553"/>
      <c r="K271" s="1553"/>
      <c r="L271" s="1553"/>
      <c r="M271" s="1553"/>
      <c r="N271" s="1553"/>
      <c r="O271" s="1534" t="s">
        <v>1823</v>
      </c>
      <c r="P271" s="1528"/>
      <c r="Q271" s="1528">
        <f>'Part II-Development Team'!Q67</f>
        <v>0</v>
      </c>
      <c r="R271" s="1553"/>
      <c r="S271" s="1553"/>
    </row>
    <row r="272" spans="1:19">
      <c r="A272" s="1528"/>
      <c r="B272" s="1528"/>
      <c r="C272" s="1528"/>
      <c r="D272" s="1597"/>
      <c r="E272" s="1534" t="s">
        <v>648</v>
      </c>
      <c r="F272" s="1528"/>
      <c r="G272" s="1528"/>
      <c r="H272" s="1528">
        <f>'Part II-Development Team'!H68</f>
        <v>0</v>
      </c>
      <c r="I272" s="1553"/>
      <c r="J272" s="1553"/>
      <c r="K272" s="1531" t="s">
        <v>2832</v>
      </c>
      <c r="L272" s="1528">
        <f>'Part II-Development Team'!L68</f>
        <v>0</v>
      </c>
      <c r="M272" s="1553"/>
      <c r="N272" s="1553"/>
      <c r="O272" s="1534" t="s">
        <v>1879</v>
      </c>
      <c r="P272" s="1528"/>
      <c r="Q272" s="1540">
        <f>'Part II-Development Team'!Q68</f>
        <v>0</v>
      </c>
      <c r="R272" s="1540"/>
      <c r="S272" s="1540"/>
    </row>
    <row r="273" spans="1:19">
      <c r="A273" s="1528"/>
      <c r="B273" s="1528"/>
      <c r="C273" s="1528"/>
      <c r="D273" s="1528"/>
      <c r="E273" s="1534" t="s">
        <v>1875</v>
      </c>
      <c r="F273" s="1528"/>
      <c r="G273" s="1528"/>
      <c r="H273" s="1531">
        <f>'Part II-Development Team'!H69</f>
        <v>0</v>
      </c>
      <c r="I273" s="1528"/>
      <c r="J273" s="1528"/>
      <c r="K273" s="1531" t="s">
        <v>2319</v>
      </c>
      <c r="L273" s="1542">
        <f>'Part II-Development Team'!L69</f>
        <v>0</v>
      </c>
      <c r="M273" s="1553"/>
      <c r="N273" s="1528"/>
      <c r="O273" s="1534" t="s">
        <v>2064</v>
      </c>
      <c r="P273" s="1528"/>
      <c r="Q273" s="1540">
        <f>'Part II-Development Team'!Q69</f>
        <v>0</v>
      </c>
      <c r="R273" s="1540"/>
      <c r="S273" s="1540"/>
    </row>
    <row r="274" spans="1:19">
      <c r="A274" s="1528"/>
      <c r="B274" s="1528"/>
      <c r="C274" s="1528"/>
      <c r="D274" s="1597"/>
      <c r="E274" s="1534" t="s">
        <v>2070</v>
      </c>
      <c r="F274" s="1528"/>
      <c r="G274" s="1528"/>
      <c r="H274" s="1540">
        <f>'Part II-Development Team'!H70</f>
        <v>0</v>
      </c>
      <c r="I274" s="1540"/>
      <c r="J274" s="1539">
        <f>'Part II-Development Team'!J70</f>
        <v>0</v>
      </c>
      <c r="K274" s="1531" t="s">
        <v>2069</v>
      </c>
      <c r="L274" s="1544">
        <f>'Part II-Development Team'!L70</f>
        <v>0</v>
      </c>
      <c r="M274" s="1544"/>
      <c r="N274" s="1544"/>
      <c r="O274" s="1544"/>
      <c r="P274" s="1544"/>
      <c r="Q274" s="1544"/>
      <c r="R274" s="1544"/>
      <c r="S274" s="1544"/>
    </row>
    <row r="275" spans="1:19">
      <c r="A275" s="1533"/>
      <c r="B275" s="1533"/>
      <c r="C275" s="1533"/>
      <c r="D275" s="1533"/>
      <c r="E275" s="1533"/>
      <c r="F275" s="1533"/>
      <c r="G275" s="1533"/>
      <c r="H275" s="1540"/>
      <c r="I275" s="1540"/>
      <c r="J275" s="1540"/>
      <c r="K275" s="1531"/>
      <c r="L275" s="1540"/>
      <c r="M275" s="1540"/>
      <c r="N275" s="1531"/>
      <c r="O275" s="1540"/>
      <c r="P275" s="1540"/>
      <c r="Q275" s="1531"/>
      <c r="R275" s="1540"/>
      <c r="S275" s="1540"/>
    </row>
    <row r="276" spans="1:19">
      <c r="A276" s="1528"/>
      <c r="B276" s="1511" t="s">
        <v>2203</v>
      </c>
      <c r="C276" s="1511" t="s">
        <v>298</v>
      </c>
      <c r="D276" s="1528"/>
      <c r="E276" s="1528"/>
      <c r="F276" s="1528"/>
      <c r="G276" s="1528"/>
      <c r="H276" s="1528">
        <f>'Part II-Development Team'!H72</f>
        <v>0</v>
      </c>
      <c r="I276" s="1553"/>
      <c r="J276" s="1553"/>
      <c r="K276" s="1553"/>
      <c r="L276" s="1553"/>
      <c r="M276" s="1553"/>
      <c r="N276" s="1553"/>
      <c r="O276" s="1534" t="s">
        <v>2075</v>
      </c>
      <c r="P276" s="1534"/>
      <c r="Q276" s="1528">
        <f>'Part II-Development Team'!Q72</f>
        <v>0</v>
      </c>
      <c r="R276" s="1553"/>
      <c r="S276" s="1553"/>
    </row>
    <row r="277" spans="1:19">
      <c r="A277" s="1528"/>
      <c r="B277" s="1528"/>
      <c r="C277" s="1528"/>
      <c r="D277" s="1597"/>
      <c r="E277" s="1534" t="s">
        <v>1065</v>
      </c>
      <c r="F277" s="1537"/>
      <c r="G277" s="1528"/>
      <c r="H277" s="1528">
        <f>'Part II-Development Team'!H73</f>
        <v>0</v>
      </c>
      <c r="I277" s="1553"/>
      <c r="J277" s="1553"/>
      <c r="K277" s="1553"/>
      <c r="L277" s="1553"/>
      <c r="M277" s="1553"/>
      <c r="N277" s="1553"/>
      <c r="O277" s="1534" t="s">
        <v>1823</v>
      </c>
      <c r="P277" s="1528"/>
      <c r="Q277" s="1528">
        <f>'Part II-Development Team'!Q73</f>
        <v>0</v>
      </c>
      <c r="R277" s="1553"/>
      <c r="S277" s="1553"/>
    </row>
    <row r="278" spans="1:19">
      <c r="A278" s="1528"/>
      <c r="B278" s="1528"/>
      <c r="C278" s="1528"/>
      <c r="D278" s="1597"/>
      <c r="E278" s="1534" t="s">
        <v>648</v>
      </c>
      <c r="F278" s="1528"/>
      <c r="G278" s="1528"/>
      <c r="H278" s="1528">
        <f>'Part II-Development Team'!H74</f>
        <v>0</v>
      </c>
      <c r="I278" s="1553"/>
      <c r="J278" s="1553"/>
      <c r="K278" s="1531" t="s">
        <v>2832</v>
      </c>
      <c r="L278" s="1528">
        <f>'Part II-Development Team'!L74</f>
        <v>0</v>
      </c>
      <c r="M278" s="1553"/>
      <c r="N278" s="1553"/>
      <c r="O278" s="1534" t="s">
        <v>1879</v>
      </c>
      <c r="P278" s="1528"/>
      <c r="Q278" s="1540">
        <f>'Part II-Development Team'!Q74</f>
        <v>0</v>
      </c>
      <c r="R278" s="1540"/>
      <c r="S278" s="1540"/>
    </row>
    <row r="279" spans="1:19">
      <c r="A279" s="1528"/>
      <c r="B279" s="1528"/>
      <c r="C279" s="1528"/>
      <c r="D279" s="1528"/>
      <c r="E279" s="1534" t="s">
        <v>1875</v>
      </c>
      <c r="F279" s="1528"/>
      <c r="G279" s="1528"/>
      <c r="H279" s="1531">
        <f>'Part II-Development Team'!H75</f>
        <v>0</v>
      </c>
      <c r="I279" s="1528"/>
      <c r="J279" s="1528"/>
      <c r="K279" s="1531" t="s">
        <v>2319</v>
      </c>
      <c r="L279" s="1542">
        <f>'Part II-Development Team'!L75</f>
        <v>0</v>
      </c>
      <c r="M279" s="1553"/>
      <c r="N279" s="1528"/>
      <c r="O279" s="1534" t="s">
        <v>2064</v>
      </c>
      <c r="P279" s="1528"/>
      <c r="Q279" s="1540">
        <f>'Part II-Development Team'!Q75</f>
        <v>0</v>
      </c>
      <c r="R279" s="1540"/>
      <c r="S279" s="1540"/>
    </row>
    <row r="280" spans="1:19">
      <c r="A280" s="1528"/>
      <c r="B280" s="1528"/>
      <c r="C280" s="1528"/>
      <c r="D280" s="1597"/>
      <c r="E280" s="1534" t="s">
        <v>2070</v>
      </c>
      <c r="F280" s="1528"/>
      <c r="G280" s="1528"/>
      <c r="H280" s="1540">
        <f>'Part II-Development Team'!H76</f>
        <v>0</v>
      </c>
      <c r="I280" s="1540"/>
      <c r="J280" s="1539">
        <f>'Part II-Development Team'!J76</f>
        <v>0</v>
      </c>
      <c r="K280" s="1531" t="s">
        <v>2069</v>
      </c>
      <c r="L280" s="1544">
        <f>'Part II-Development Team'!L76</f>
        <v>0</v>
      </c>
      <c r="M280" s="1544"/>
      <c r="N280" s="1544"/>
      <c r="O280" s="1544"/>
      <c r="P280" s="1544"/>
      <c r="Q280" s="1544"/>
      <c r="R280" s="1544"/>
      <c r="S280" s="1544"/>
    </row>
    <row r="281" spans="1:19">
      <c r="A281" s="1533"/>
      <c r="B281" s="1533"/>
      <c r="C281" s="1533"/>
      <c r="D281" s="1533"/>
      <c r="E281" s="1533"/>
      <c r="F281" s="1533"/>
      <c r="G281" s="1533"/>
      <c r="H281" s="1533"/>
      <c r="I281" s="1533"/>
      <c r="J281" s="1533"/>
      <c r="K281" s="1533"/>
      <c r="L281" s="1533"/>
      <c r="M281" s="1533"/>
      <c r="N281" s="1533"/>
      <c r="O281" s="1533"/>
      <c r="P281" s="1533"/>
      <c r="Q281" s="1533"/>
      <c r="R281" s="1533"/>
      <c r="S281" s="1533"/>
    </row>
    <row r="282" spans="1:19">
      <c r="A282" s="1529" t="s">
        <v>779</v>
      </c>
      <c r="B282" s="1529" t="s">
        <v>299</v>
      </c>
      <c r="C282" s="1534"/>
      <c r="D282" s="1529"/>
      <c r="E282" s="1534"/>
      <c r="F282" s="1529"/>
      <c r="G282" s="1529"/>
      <c r="H282" s="1529"/>
      <c r="I282" s="1529"/>
      <c r="J282" s="1529"/>
      <c r="K282" s="1529"/>
      <c r="L282" s="1529"/>
      <c r="M282" s="1529"/>
      <c r="N282" s="1534"/>
      <c r="O282" s="1534"/>
      <c r="P282" s="1534"/>
      <c r="Q282" s="1534"/>
      <c r="R282" s="1534"/>
      <c r="S282" s="1534"/>
    </row>
    <row r="283" spans="1:19">
      <c r="A283" s="1529"/>
      <c r="B283" s="1529"/>
      <c r="C283" s="1534"/>
      <c r="D283" s="1529"/>
      <c r="E283" s="1534"/>
      <c r="F283" s="1529"/>
      <c r="G283" s="1529"/>
      <c r="H283" s="1540"/>
      <c r="I283" s="1540"/>
      <c r="J283" s="1540"/>
      <c r="K283" s="1531"/>
      <c r="L283" s="1540"/>
      <c r="M283" s="1540"/>
      <c r="N283" s="1531"/>
      <c r="O283" s="1540"/>
      <c r="P283" s="1540"/>
      <c r="Q283" s="1531"/>
      <c r="R283" s="1540"/>
      <c r="S283" s="1540"/>
    </row>
    <row r="284" spans="1:19">
      <c r="A284" s="1528"/>
      <c r="B284" s="1511" t="s">
        <v>2068</v>
      </c>
      <c r="C284" s="1511" t="s">
        <v>300</v>
      </c>
      <c r="D284" s="1528"/>
      <c r="E284" s="1528"/>
      <c r="F284" s="1528"/>
      <c r="G284" s="1528"/>
      <c r="H284" s="1528">
        <f>'Part II-Development Team'!H80</f>
        <v>0</v>
      </c>
      <c r="I284" s="1553"/>
      <c r="J284" s="1553"/>
      <c r="K284" s="1553"/>
      <c r="L284" s="1553"/>
      <c r="M284" s="1553"/>
      <c r="N284" s="1553"/>
      <c r="O284" s="1534" t="s">
        <v>2075</v>
      </c>
      <c r="P284" s="1534"/>
      <c r="Q284" s="1528">
        <f>'Part II-Development Team'!Q80</f>
        <v>0</v>
      </c>
      <c r="R284" s="1553"/>
      <c r="S284" s="1553"/>
    </row>
    <row r="285" spans="1:19">
      <c r="A285" s="1528"/>
      <c r="B285" s="1528"/>
      <c r="C285" s="1528"/>
      <c r="D285" s="1597"/>
      <c r="E285" s="1534" t="s">
        <v>1065</v>
      </c>
      <c r="F285" s="1537"/>
      <c r="G285" s="1528"/>
      <c r="H285" s="1528">
        <f>'Part II-Development Team'!H81</f>
        <v>0</v>
      </c>
      <c r="I285" s="1553"/>
      <c r="J285" s="1553"/>
      <c r="K285" s="1553"/>
      <c r="L285" s="1553"/>
      <c r="M285" s="1553"/>
      <c r="N285" s="1553"/>
      <c r="O285" s="1534" t="s">
        <v>1823</v>
      </c>
      <c r="P285" s="1528"/>
      <c r="Q285" s="1528">
        <f>'Part II-Development Team'!Q81</f>
        <v>0</v>
      </c>
      <c r="R285" s="1553"/>
      <c r="S285" s="1553"/>
    </row>
    <row r="286" spans="1:19">
      <c r="A286" s="1528"/>
      <c r="B286" s="1528"/>
      <c r="C286" s="1528"/>
      <c r="D286" s="1597"/>
      <c r="E286" s="1534" t="s">
        <v>648</v>
      </c>
      <c r="F286" s="1528"/>
      <c r="G286" s="1528"/>
      <c r="H286" s="1528">
        <f>'Part II-Development Team'!H82</f>
        <v>0</v>
      </c>
      <c r="I286" s="1553"/>
      <c r="J286" s="1553"/>
      <c r="K286" s="1531" t="s">
        <v>2832</v>
      </c>
      <c r="L286" s="1528">
        <f>'Part II-Development Team'!L82</f>
        <v>0</v>
      </c>
      <c r="M286" s="1553"/>
      <c r="N286" s="1553"/>
      <c r="O286" s="1534" t="s">
        <v>1879</v>
      </c>
      <c r="P286" s="1528"/>
      <c r="Q286" s="1540">
        <f>'Part II-Development Team'!Q82</f>
        <v>0</v>
      </c>
      <c r="R286" s="1540"/>
      <c r="S286" s="1540"/>
    </row>
    <row r="287" spans="1:19">
      <c r="A287" s="1528"/>
      <c r="B287" s="1528"/>
      <c r="C287" s="1528"/>
      <c r="D287" s="1528"/>
      <c r="E287" s="1534" t="s">
        <v>1875</v>
      </c>
      <c r="F287" s="1528"/>
      <c r="G287" s="1528"/>
      <c r="H287" s="1531">
        <f>'Part II-Development Team'!H83</f>
        <v>0</v>
      </c>
      <c r="I287" s="1528"/>
      <c r="J287" s="1528"/>
      <c r="K287" s="1531" t="s">
        <v>2319</v>
      </c>
      <c r="L287" s="1542">
        <f>'Part II-Development Team'!L83</f>
        <v>0</v>
      </c>
      <c r="M287" s="1553"/>
      <c r="N287" s="1528"/>
      <c r="O287" s="1534" t="s">
        <v>2064</v>
      </c>
      <c r="P287" s="1528"/>
      <c r="Q287" s="1540">
        <f>'Part II-Development Team'!Q83</f>
        <v>0</v>
      </c>
      <c r="R287" s="1540"/>
      <c r="S287" s="1540"/>
    </row>
    <row r="288" spans="1:19">
      <c r="A288" s="1528"/>
      <c r="B288" s="1528"/>
      <c r="C288" s="1528"/>
      <c r="D288" s="1597"/>
      <c r="E288" s="1534" t="s">
        <v>2070</v>
      </c>
      <c r="F288" s="1528"/>
      <c r="G288" s="1528"/>
      <c r="H288" s="1540">
        <f>'Part II-Development Team'!H84</f>
        <v>0</v>
      </c>
      <c r="I288" s="1540"/>
      <c r="J288" s="1539">
        <f>'Part II-Development Team'!J84</f>
        <v>0</v>
      </c>
      <c r="K288" s="1531" t="s">
        <v>2069</v>
      </c>
      <c r="L288" s="1544">
        <f>'Part II-Development Team'!L84</f>
        <v>0</v>
      </c>
      <c r="M288" s="1544"/>
      <c r="N288" s="1544"/>
      <c r="O288" s="1544"/>
      <c r="P288" s="1544"/>
      <c r="Q288" s="1544"/>
      <c r="R288" s="1544"/>
      <c r="S288" s="1544"/>
    </row>
    <row r="289" spans="1:19">
      <c r="A289" s="1533"/>
      <c r="B289" s="1533"/>
      <c r="C289" s="1533"/>
      <c r="D289" s="1533"/>
      <c r="E289" s="1533"/>
      <c r="F289" s="1533"/>
      <c r="G289" s="1533"/>
      <c r="H289" s="1540"/>
      <c r="I289" s="1540"/>
      <c r="J289" s="1540"/>
      <c r="K289" s="1531"/>
      <c r="L289" s="1540"/>
      <c r="M289" s="1540"/>
      <c r="N289" s="1531"/>
      <c r="O289" s="1540"/>
      <c r="P289" s="1540"/>
      <c r="Q289" s="1531"/>
      <c r="R289" s="1540"/>
      <c r="S289" s="1540"/>
    </row>
    <row r="290" spans="1:19">
      <c r="A290" s="1528"/>
      <c r="B290" s="1511" t="s">
        <v>2071</v>
      </c>
      <c r="C290" s="1511" t="s">
        <v>301</v>
      </c>
      <c r="D290" s="1528"/>
      <c r="E290" s="1528"/>
      <c r="F290" s="1528"/>
      <c r="G290" s="1528"/>
      <c r="H290" s="1528" t="str">
        <f>'Part II-Development Team'!H86</f>
        <v>Prestwick Construction Company, lLC</v>
      </c>
      <c r="I290" s="1553"/>
      <c r="J290" s="1553"/>
      <c r="K290" s="1553"/>
      <c r="L290" s="1553"/>
      <c r="M290" s="1553"/>
      <c r="N290" s="1553"/>
      <c r="O290" s="1534" t="s">
        <v>2075</v>
      </c>
      <c r="P290" s="1534"/>
      <c r="Q290" s="1528" t="str">
        <f>'Part II-Development Team'!Q86</f>
        <v>Ray Dotson</v>
      </c>
      <c r="R290" s="1553"/>
      <c r="S290" s="1553"/>
    </row>
    <row r="291" spans="1:19">
      <c r="A291" s="1528"/>
      <c r="B291" s="1528"/>
      <c r="C291" s="1528"/>
      <c r="D291" s="1597"/>
      <c r="E291" s="1534" t="s">
        <v>1065</v>
      </c>
      <c r="F291" s="1537"/>
      <c r="G291" s="1528"/>
      <c r="H291" s="1528" t="str">
        <f>'Part II-Development Team'!H87</f>
        <v>3715 Northside Pkwy Bldg 200 Ste 175</v>
      </c>
      <c r="I291" s="1553"/>
      <c r="J291" s="1553"/>
      <c r="K291" s="1553"/>
      <c r="L291" s="1553"/>
      <c r="M291" s="1553"/>
      <c r="N291" s="1553"/>
      <c r="O291" s="1534" t="s">
        <v>1823</v>
      </c>
      <c r="P291" s="1528"/>
      <c r="Q291" s="1528" t="str">
        <f>'Part II-Development Team'!Q87</f>
        <v>President</v>
      </c>
      <c r="R291" s="1553"/>
      <c r="S291" s="1553"/>
    </row>
    <row r="292" spans="1:19">
      <c r="A292" s="1528"/>
      <c r="B292" s="1528"/>
      <c r="C292" s="1528"/>
      <c r="D292" s="1597"/>
      <c r="E292" s="1534" t="s">
        <v>648</v>
      </c>
      <c r="F292" s="1528"/>
      <c r="G292" s="1528"/>
      <c r="H292" s="1528" t="str">
        <f>'Part II-Development Team'!H88</f>
        <v>Atlanta</v>
      </c>
      <c r="I292" s="1553"/>
      <c r="J292" s="1553"/>
      <c r="K292" s="1531" t="s">
        <v>2832</v>
      </c>
      <c r="L292" s="1528" t="str">
        <f>'Part II-Development Team'!L88</f>
        <v>www.prestwickcompanies.com</v>
      </c>
      <c r="M292" s="1553"/>
      <c r="N292" s="1553"/>
      <c r="O292" s="1534" t="s">
        <v>1879</v>
      </c>
      <c r="P292" s="1528"/>
      <c r="Q292" s="1540">
        <f>'Part II-Development Team'!Q88</f>
        <v>4049493882</v>
      </c>
      <c r="R292" s="1540"/>
      <c r="S292" s="1540"/>
    </row>
    <row r="293" spans="1:19">
      <c r="A293" s="1528"/>
      <c r="B293" s="1528"/>
      <c r="C293" s="1528"/>
      <c r="D293" s="1528"/>
      <c r="E293" s="1534" t="s">
        <v>1875</v>
      </c>
      <c r="F293" s="1528"/>
      <c r="G293" s="1528"/>
      <c r="H293" s="1531" t="str">
        <f>'Part II-Development Team'!H89</f>
        <v>GA</v>
      </c>
      <c r="I293" s="1528"/>
      <c r="J293" s="1528"/>
      <c r="K293" s="1531" t="s">
        <v>2319</v>
      </c>
      <c r="L293" s="1542">
        <f>'Part II-Development Team'!L89</f>
        <v>303272800</v>
      </c>
      <c r="M293" s="1553"/>
      <c r="N293" s="1528"/>
      <c r="O293" s="1534" t="s">
        <v>2064</v>
      </c>
      <c r="P293" s="1528"/>
      <c r="Q293" s="1540">
        <f>'Part II-Development Team'!Q89</f>
        <v>4043761063</v>
      </c>
      <c r="R293" s="1540"/>
      <c r="S293" s="1540"/>
    </row>
    <row r="294" spans="1:19">
      <c r="A294" s="1528"/>
      <c r="B294" s="1528"/>
      <c r="C294" s="1528"/>
      <c r="D294" s="1597"/>
      <c r="E294" s="1534" t="s">
        <v>2070</v>
      </c>
      <c r="F294" s="1528"/>
      <c r="G294" s="1528"/>
      <c r="H294" s="1540">
        <f>'Part II-Development Team'!H90</f>
        <v>4049493882</v>
      </c>
      <c r="I294" s="1540"/>
      <c r="J294" s="1539">
        <f>'Part II-Development Team'!J90</f>
        <v>0</v>
      </c>
      <c r="K294" s="1531" t="s">
        <v>2069</v>
      </c>
      <c r="L294" s="1544" t="str">
        <f>'Part II-Development Team'!L90</f>
        <v>ray@prestwickcompanies.com</v>
      </c>
      <c r="M294" s="1544"/>
      <c r="N294" s="1544"/>
      <c r="O294" s="1544"/>
      <c r="P294" s="1544"/>
      <c r="Q294" s="1544"/>
      <c r="R294" s="1544"/>
      <c r="S294" s="1544"/>
    </row>
    <row r="295" spans="1:19">
      <c r="A295" s="1533"/>
      <c r="B295" s="1533"/>
      <c r="C295" s="1533"/>
      <c r="D295" s="1533"/>
      <c r="E295" s="1533"/>
      <c r="F295" s="1533"/>
      <c r="G295" s="1533"/>
      <c r="H295" s="1540"/>
      <c r="I295" s="1540"/>
      <c r="J295" s="1540"/>
      <c r="K295" s="1531"/>
      <c r="L295" s="1540"/>
      <c r="M295" s="1540"/>
      <c r="N295" s="1531"/>
      <c r="O295" s="1540"/>
      <c r="P295" s="1540"/>
      <c r="Q295" s="1531"/>
      <c r="R295" s="1540"/>
      <c r="S295" s="1540"/>
    </row>
    <row r="296" spans="1:19">
      <c r="A296" s="1528"/>
      <c r="B296" s="1511" t="s">
        <v>786</v>
      </c>
      <c r="C296" s="1511" t="s">
        <v>302</v>
      </c>
      <c r="D296" s="1528"/>
      <c r="E296" s="1528"/>
      <c r="F296" s="1533"/>
      <c r="G296" s="1528"/>
      <c r="H296" s="1528" t="str">
        <f>'Part II-Development Team'!H92</f>
        <v>LEDIC Management Company</v>
      </c>
      <c r="I296" s="1553"/>
      <c r="J296" s="1553"/>
      <c r="K296" s="1553"/>
      <c r="L296" s="1553"/>
      <c r="M296" s="1553"/>
      <c r="N296" s="1553"/>
      <c r="O296" s="1534" t="s">
        <v>2075</v>
      </c>
      <c r="P296" s="1534"/>
      <c r="Q296" s="1528" t="str">
        <f>'Part II-Development Team'!Q92</f>
        <v>Terri Benskin</v>
      </c>
      <c r="R296" s="1553"/>
      <c r="S296" s="1553"/>
    </row>
    <row r="297" spans="1:19">
      <c r="A297" s="1528"/>
      <c r="B297" s="1528"/>
      <c r="C297" s="1528"/>
      <c r="D297" s="1597"/>
      <c r="E297" s="1534" t="s">
        <v>1065</v>
      </c>
      <c r="F297" s="1537"/>
      <c r="G297" s="1528"/>
      <c r="H297" s="1528" t="str">
        <f>'Part II-Development Team'!H93</f>
        <v>2650 Thousand Oaks Blvd</v>
      </c>
      <c r="I297" s="1553"/>
      <c r="J297" s="1553"/>
      <c r="K297" s="1553"/>
      <c r="L297" s="1553"/>
      <c r="M297" s="1553"/>
      <c r="N297" s="1553"/>
      <c r="O297" s="1534" t="s">
        <v>1823</v>
      </c>
      <c r="P297" s="1528"/>
      <c r="Q297" s="1528" t="str">
        <f>'Part II-Development Team'!Q93</f>
        <v>COO</v>
      </c>
      <c r="R297" s="1553"/>
      <c r="S297" s="1553"/>
    </row>
    <row r="298" spans="1:19">
      <c r="A298" s="1528"/>
      <c r="B298" s="1528"/>
      <c r="C298" s="1528"/>
      <c r="D298" s="1597"/>
      <c r="E298" s="1534" t="s">
        <v>648</v>
      </c>
      <c r="F298" s="1528"/>
      <c r="G298" s="1528"/>
      <c r="H298" s="1528" t="str">
        <f>'Part II-Development Team'!H94</f>
        <v>Atlanta</v>
      </c>
      <c r="I298" s="1553"/>
      <c r="J298" s="1553"/>
      <c r="K298" s="1531" t="s">
        <v>2832</v>
      </c>
      <c r="L298" s="1528" t="str">
        <f>'Part II-Development Team'!L94</f>
        <v>www.ledic.com</v>
      </c>
      <c r="M298" s="1553"/>
      <c r="N298" s="1553"/>
      <c r="O298" s="1534" t="s">
        <v>1879</v>
      </c>
      <c r="P298" s="1528"/>
      <c r="Q298" s="1540">
        <f>'Part II-Development Team'!Q94</f>
        <v>9014357720</v>
      </c>
      <c r="R298" s="1540"/>
      <c r="S298" s="1540"/>
    </row>
    <row r="299" spans="1:19">
      <c r="A299" s="1528"/>
      <c r="B299" s="1528"/>
      <c r="C299" s="1528"/>
      <c r="D299" s="1597"/>
      <c r="E299" s="1534" t="s">
        <v>1875</v>
      </c>
      <c r="F299" s="1528"/>
      <c r="G299" s="1528"/>
      <c r="H299" s="1531" t="str">
        <f>'Part II-Development Team'!H95</f>
        <v>TN</v>
      </c>
      <c r="I299" s="1528"/>
      <c r="J299" s="1528"/>
      <c r="K299" s="1531" t="s">
        <v>2319</v>
      </c>
      <c r="L299" s="1542">
        <f>'Part II-Development Team'!L95</f>
        <v>381182409</v>
      </c>
      <c r="M299" s="1553"/>
      <c r="N299" s="1528"/>
      <c r="O299" s="1534" t="s">
        <v>2064</v>
      </c>
      <c r="P299" s="1528"/>
      <c r="Q299" s="1540">
        <f>'Part II-Development Team'!Q95</f>
        <v>9015089195</v>
      </c>
      <c r="R299" s="1540"/>
      <c r="S299" s="1540"/>
    </row>
    <row r="300" spans="1:19">
      <c r="A300" s="1528"/>
      <c r="B300" s="1528"/>
      <c r="C300" s="1528"/>
      <c r="D300" s="1597"/>
      <c r="E300" s="1534" t="s">
        <v>2070</v>
      </c>
      <c r="F300" s="1528"/>
      <c r="G300" s="1528"/>
      <c r="H300" s="1540">
        <f>'Part II-Development Team'!H96</f>
        <v>9014357720</v>
      </c>
      <c r="I300" s="1540"/>
      <c r="J300" s="1539">
        <f>'Part II-Development Team'!J96</f>
        <v>0</v>
      </c>
      <c r="K300" s="1531" t="s">
        <v>2069</v>
      </c>
      <c r="L300" s="1544" t="str">
        <f>'Part II-Development Team'!L96</f>
        <v>terri.benskin@ledic.com</v>
      </c>
      <c r="M300" s="1544"/>
      <c r="N300" s="1544"/>
      <c r="O300" s="1544"/>
      <c r="P300" s="1544"/>
      <c r="Q300" s="1544"/>
      <c r="R300" s="1544"/>
      <c r="S300" s="1544"/>
    </row>
    <row r="301" spans="1:19">
      <c r="A301" s="1533"/>
      <c r="B301" s="1533"/>
      <c r="C301" s="1533"/>
      <c r="D301" s="1533"/>
      <c r="E301" s="1533"/>
      <c r="F301" s="1533"/>
      <c r="G301" s="1533"/>
      <c r="H301" s="1540"/>
      <c r="I301" s="1540"/>
      <c r="J301" s="1540"/>
      <c r="K301" s="1531"/>
      <c r="L301" s="1540"/>
      <c r="M301" s="1540"/>
      <c r="N301" s="1531"/>
      <c r="O301" s="1540"/>
      <c r="P301" s="1540"/>
      <c r="Q301" s="1531"/>
      <c r="R301" s="1540"/>
      <c r="S301" s="1540"/>
    </row>
    <row r="302" spans="1:19">
      <c r="A302" s="1528"/>
      <c r="B302" s="1511" t="s">
        <v>2203</v>
      </c>
      <c r="C302" s="1511" t="s">
        <v>303</v>
      </c>
      <c r="D302" s="1528"/>
      <c r="E302" s="1528"/>
      <c r="F302" s="1528"/>
      <c r="G302" s="1528"/>
      <c r="H302" s="1528" t="str">
        <f>'Part II-Development Team'!H98</f>
        <v>Arnall Golden Gregory</v>
      </c>
      <c r="I302" s="1553"/>
      <c r="J302" s="1553"/>
      <c r="K302" s="1553"/>
      <c r="L302" s="1553"/>
      <c r="M302" s="1553"/>
      <c r="N302" s="1553"/>
      <c r="O302" s="1534" t="s">
        <v>2075</v>
      </c>
      <c r="P302" s="1534"/>
      <c r="Q302" s="1528" t="str">
        <f>'Part II-Development Team'!Q98</f>
        <v>Jeff Adams</v>
      </c>
      <c r="R302" s="1553"/>
      <c r="S302" s="1553"/>
    </row>
    <row r="303" spans="1:19">
      <c r="A303" s="1528"/>
      <c r="B303" s="1528"/>
      <c r="C303" s="1528"/>
      <c r="D303" s="1597"/>
      <c r="E303" s="1534" t="s">
        <v>1065</v>
      </c>
      <c r="F303" s="1537"/>
      <c r="G303" s="1528"/>
      <c r="H303" s="1528" t="str">
        <f>'Part II-Development Team'!H99</f>
        <v>171 17th Street</v>
      </c>
      <c r="I303" s="1553"/>
      <c r="J303" s="1553"/>
      <c r="K303" s="1553"/>
      <c r="L303" s="1553"/>
      <c r="M303" s="1553"/>
      <c r="N303" s="1553"/>
      <c r="O303" s="1534" t="s">
        <v>1823</v>
      </c>
      <c r="P303" s="1528"/>
      <c r="Q303" s="1528" t="str">
        <f>'Part II-Development Team'!Q99</f>
        <v>Partner</v>
      </c>
      <c r="R303" s="1553"/>
      <c r="S303" s="1553"/>
    </row>
    <row r="304" spans="1:19">
      <c r="A304" s="1528"/>
      <c r="B304" s="1528"/>
      <c r="C304" s="1528"/>
      <c r="D304" s="1597"/>
      <c r="E304" s="1534" t="s">
        <v>648</v>
      </c>
      <c r="F304" s="1528"/>
      <c r="G304" s="1528"/>
      <c r="H304" s="1528" t="str">
        <f>'Part II-Development Team'!H100</f>
        <v>Atlanta</v>
      </c>
      <c r="I304" s="1553"/>
      <c r="J304" s="1553"/>
      <c r="K304" s="1531" t="s">
        <v>2832</v>
      </c>
      <c r="L304" s="1528" t="str">
        <f>'Part II-Development Team'!L100</f>
        <v>www.agg.com</v>
      </c>
      <c r="M304" s="1553"/>
      <c r="N304" s="1553"/>
      <c r="O304" s="1534" t="s">
        <v>1879</v>
      </c>
      <c r="P304" s="1528"/>
      <c r="Q304" s="1540">
        <f>'Part II-Development Team'!Q100</f>
        <v>4048737014</v>
      </c>
      <c r="R304" s="1540"/>
      <c r="S304" s="1540"/>
    </row>
    <row r="305" spans="1:19">
      <c r="A305" s="1528"/>
      <c r="B305" s="1528"/>
      <c r="C305" s="1528"/>
      <c r="D305" s="1597"/>
      <c r="E305" s="1534" t="s">
        <v>1875</v>
      </c>
      <c r="F305" s="1528"/>
      <c r="G305" s="1528"/>
      <c r="H305" s="1531" t="str">
        <f>'Part II-Development Team'!H101</f>
        <v>GA</v>
      </c>
      <c r="I305" s="1528"/>
      <c r="J305" s="1528"/>
      <c r="K305" s="1531" t="s">
        <v>2319</v>
      </c>
      <c r="L305" s="1542">
        <f>'Part II-Development Team'!L101</f>
        <v>303631031</v>
      </c>
      <c r="M305" s="1553"/>
      <c r="N305" s="1528"/>
      <c r="O305" s="1534" t="s">
        <v>2064</v>
      </c>
      <c r="P305" s="1528"/>
      <c r="Q305" s="1540">
        <f>'Part II-Development Team'!Q101</f>
        <v>4042340004</v>
      </c>
      <c r="R305" s="1540"/>
      <c r="S305" s="1540"/>
    </row>
    <row r="306" spans="1:19">
      <c r="A306" s="1533"/>
      <c r="B306" s="1533"/>
      <c r="C306" s="1533"/>
      <c r="D306" s="1533"/>
      <c r="E306" s="1534" t="s">
        <v>2070</v>
      </c>
      <c r="F306" s="1528"/>
      <c r="G306" s="1528"/>
      <c r="H306" s="1540">
        <f>'Part II-Development Team'!H102</f>
        <v>4048737014</v>
      </c>
      <c r="I306" s="1540"/>
      <c r="J306" s="1539">
        <f>'Part II-Development Team'!J102</f>
        <v>0</v>
      </c>
      <c r="K306" s="1531" t="s">
        <v>2069</v>
      </c>
      <c r="L306" s="1544" t="str">
        <f>'Part II-Development Team'!L102</f>
        <v>jeffadams@agg.com</v>
      </c>
      <c r="M306" s="1544"/>
      <c r="N306" s="1544"/>
      <c r="O306" s="1544"/>
      <c r="P306" s="1544"/>
      <c r="Q306" s="1544"/>
      <c r="R306" s="1544"/>
      <c r="S306" s="1544"/>
    </row>
    <row r="307" spans="1:19">
      <c r="A307" s="1533"/>
      <c r="B307" s="1533"/>
      <c r="C307" s="1533"/>
      <c r="D307" s="1533"/>
      <c r="E307" s="1534"/>
      <c r="F307" s="1528"/>
      <c r="G307" s="1528"/>
      <c r="H307" s="1528"/>
      <c r="I307" s="1528"/>
      <c r="J307" s="1528"/>
      <c r="K307" s="1528"/>
      <c r="L307" s="1528"/>
      <c r="M307" s="1528"/>
      <c r="N307" s="1528"/>
      <c r="O307" s="1528"/>
      <c r="P307" s="1528"/>
      <c r="Q307" s="1531"/>
      <c r="R307" s="1531"/>
      <c r="S307" s="1533"/>
    </row>
    <row r="308" spans="1:19">
      <c r="A308" s="1533"/>
      <c r="B308" s="1533"/>
      <c r="C308" s="1533"/>
      <c r="D308" s="1533"/>
      <c r="E308" s="1534"/>
      <c r="F308" s="1528"/>
      <c r="G308" s="1528"/>
      <c r="H308" s="1540"/>
      <c r="I308" s="1540"/>
      <c r="J308" s="1540"/>
      <c r="K308" s="1531"/>
      <c r="L308" s="1540"/>
      <c r="M308" s="1540"/>
      <c r="N308" s="1531"/>
      <c r="O308" s="1540"/>
      <c r="P308" s="1540"/>
      <c r="Q308" s="1531"/>
      <c r="R308" s="1540"/>
      <c r="S308" s="1540"/>
    </row>
    <row r="309" spans="1:19">
      <c r="A309" s="1528"/>
      <c r="B309" s="1511" t="s">
        <v>1811</v>
      </c>
      <c r="C309" s="1511" t="s">
        <v>304</v>
      </c>
      <c r="D309" s="1528"/>
      <c r="E309" s="1528"/>
      <c r="F309" s="1528"/>
      <c r="G309" s="1528"/>
      <c r="H309" s="1528" t="str">
        <f>'Part II-Development Team'!H105</f>
        <v>Cohn Reznick</v>
      </c>
      <c r="I309" s="1553"/>
      <c r="J309" s="1553"/>
      <c r="K309" s="1553"/>
      <c r="L309" s="1553"/>
      <c r="M309" s="1553"/>
      <c r="N309" s="1553"/>
      <c r="O309" s="1534" t="s">
        <v>2075</v>
      </c>
      <c r="P309" s="1534"/>
      <c r="Q309" s="1528" t="str">
        <f>'Part II-Development Team'!Q105</f>
        <v>Timothy Kemper</v>
      </c>
      <c r="R309" s="1553"/>
      <c r="S309" s="1553"/>
    </row>
    <row r="310" spans="1:19">
      <c r="A310" s="1528"/>
      <c r="B310" s="1528"/>
      <c r="C310" s="1528"/>
      <c r="D310" s="1597"/>
      <c r="E310" s="1534" t="s">
        <v>1065</v>
      </c>
      <c r="F310" s="1537"/>
      <c r="G310" s="1528"/>
      <c r="H310" s="1528" t="str">
        <f>'Part II-Development Team'!H106</f>
        <v>2560 Lenox Road, Suite 2800</v>
      </c>
      <c r="I310" s="1553"/>
      <c r="J310" s="1553"/>
      <c r="K310" s="1553"/>
      <c r="L310" s="1553"/>
      <c r="M310" s="1553"/>
      <c r="N310" s="1553"/>
      <c r="O310" s="1534" t="s">
        <v>1823</v>
      </c>
      <c r="P310" s="1528"/>
      <c r="Q310" s="1528" t="str">
        <f>'Part II-Development Team'!Q106</f>
        <v>Parnter</v>
      </c>
      <c r="R310" s="1553"/>
      <c r="S310" s="1553"/>
    </row>
    <row r="311" spans="1:19">
      <c r="A311" s="1528"/>
      <c r="B311" s="1528"/>
      <c r="C311" s="1528"/>
      <c r="D311" s="1597"/>
      <c r="E311" s="1534" t="s">
        <v>648</v>
      </c>
      <c r="F311" s="1528"/>
      <c r="G311" s="1528"/>
      <c r="H311" s="1528" t="str">
        <f>'Part II-Development Team'!H107</f>
        <v>Atlanta</v>
      </c>
      <c r="I311" s="1553"/>
      <c r="J311" s="1553"/>
      <c r="K311" s="1531" t="s">
        <v>2832</v>
      </c>
      <c r="L311" s="1528" t="str">
        <f>'Part II-Development Team'!L107</f>
        <v>www.cohnreznick</v>
      </c>
      <c r="M311" s="1553"/>
      <c r="N311" s="1553"/>
      <c r="O311" s="1534" t="s">
        <v>1879</v>
      </c>
      <c r="P311" s="1528"/>
      <c r="Q311" s="1540">
        <f>'Part II-Development Team'!Q107</f>
        <v>4048479447</v>
      </c>
      <c r="R311" s="1540"/>
      <c r="S311" s="1540"/>
    </row>
    <row r="312" spans="1:19">
      <c r="A312" s="1528"/>
      <c r="B312" s="1528"/>
      <c r="C312" s="1528"/>
      <c r="D312" s="1597"/>
      <c r="E312" s="1534" t="s">
        <v>1875</v>
      </c>
      <c r="F312" s="1528"/>
      <c r="G312" s="1528"/>
      <c r="H312" s="1531" t="str">
        <f>'Part II-Development Team'!H108</f>
        <v>GA</v>
      </c>
      <c r="I312" s="1528"/>
      <c r="J312" s="1528"/>
      <c r="K312" s="1531" t="s">
        <v>2319</v>
      </c>
      <c r="L312" s="1542">
        <f>'Part II-Development Team'!L108</f>
        <v>303264726</v>
      </c>
      <c r="M312" s="1553"/>
      <c r="N312" s="1528"/>
      <c r="O312" s="1534" t="s">
        <v>2064</v>
      </c>
      <c r="P312" s="1528"/>
      <c r="Q312" s="1540">
        <f>'Part II-Development Team'!Q108</f>
        <v>6785760400</v>
      </c>
      <c r="R312" s="1540"/>
      <c r="S312" s="1540"/>
    </row>
    <row r="313" spans="1:19">
      <c r="A313" s="1533"/>
      <c r="B313" s="1533"/>
      <c r="C313" s="1533"/>
      <c r="D313" s="1533"/>
      <c r="E313" s="1534" t="s">
        <v>2070</v>
      </c>
      <c r="F313" s="1528"/>
      <c r="G313" s="1528"/>
      <c r="H313" s="1540">
        <f>'Part II-Development Team'!H109</f>
        <v>4048479447</v>
      </c>
      <c r="I313" s="1540"/>
      <c r="J313" s="1539">
        <f>'Part II-Development Team'!J109</f>
        <v>0</v>
      </c>
      <c r="K313" s="1531" t="s">
        <v>2069</v>
      </c>
      <c r="L313" s="1544" t="str">
        <f>'Part II-Development Team'!L109</f>
        <v>timothy.kemper@cohnreznick.com</v>
      </c>
      <c r="M313" s="1544"/>
      <c r="N313" s="1544"/>
      <c r="O313" s="1544"/>
      <c r="P313" s="1544"/>
      <c r="Q313" s="1544"/>
      <c r="R313" s="1544"/>
      <c r="S313" s="1544"/>
    </row>
    <row r="314" spans="1:19">
      <c r="A314" s="1533"/>
      <c r="B314" s="1533"/>
      <c r="C314" s="1533"/>
      <c r="D314" s="1533"/>
      <c r="E314" s="1534"/>
      <c r="F314" s="1528"/>
      <c r="G314" s="1528"/>
      <c r="H314" s="1540"/>
      <c r="I314" s="1540"/>
      <c r="J314" s="1540"/>
      <c r="K314" s="1531"/>
      <c r="L314" s="1540"/>
      <c r="M314" s="1540"/>
      <c r="N314" s="1531"/>
      <c r="O314" s="1540"/>
      <c r="P314" s="1540"/>
      <c r="Q314" s="1531"/>
      <c r="R314" s="1540"/>
      <c r="S314" s="1540"/>
    </row>
    <row r="315" spans="1:19">
      <c r="A315" s="1528"/>
      <c r="B315" s="1511" t="s">
        <v>1812</v>
      </c>
      <c r="C315" s="1511" t="s">
        <v>305</v>
      </c>
      <c r="D315" s="1528"/>
      <c r="E315" s="1528"/>
      <c r="F315" s="1528"/>
      <c r="G315" s="1528"/>
      <c r="H315" s="1528" t="str">
        <f>'Part II-Development Team'!H111</f>
        <v>Geheber Lewis Associates LLC</v>
      </c>
      <c r="I315" s="1553"/>
      <c r="J315" s="1553"/>
      <c r="K315" s="1553"/>
      <c r="L315" s="1553"/>
      <c r="M315" s="1553"/>
      <c r="N315" s="1553"/>
      <c r="O315" s="1534" t="s">
        <v>2075</v>
      </c>
      <c r="P315" s="1534"/>
      <c r="Q315" s="1528" t="str">
        <f>'Part II-Development Team'!Q111</f>
        <v>Fred Geheber</v>
      </c>
      <c r="R315" s="1553"/>
      <c r="S315" s="1553"/>
    </row>
    <row r="316" spans="1:19">
      <c r="A316" s="1528"/>
      <c r="B316" s="1528"/>
      <c r="C316" s="1528"/>
      <c r="D316" s="1597"/>
      <c r="E316" s="1534" t="s">
        <v>1065</v>
      </c>
      <c r="F316" s="1537"/>
      <c r="G316" s="1528"/>
      <c r="H316" s="1528" t="str">
        <f>'Part II-Development Team'!H112</f>
        <v>643 11th Street</v>
      </c>
      <c r="I316" s="1553"/>
      <c r="J316" s="1553"/>
      <c r="K316" s="1553"/>
      <c r="L316" s="1553"/>
      <c r="M316" s="1553"/>
      <c r="N316" s="1553"/>
      <c r="O316" s="1534" t="s">
        <v>1823</v>
      </c>
      <c r="P316" s="1528"/>
      <c r="Q316" s="1528" t="str">
        <f>'Part II-Development Team'!Q112</f>
        <v>Partner</v>
      </c>
      <c r="R316" s="1553"/>
      <c r="S316" s="1553"/>
    </row>
    <row r="317" spans="1:19">
      <c r="A317" s="1528"/>
      <c r="B317" s="1528"/>
      <c r="C317" s="1528"/>
      <c r="D317" s="1597"/>
      <c r="E317" s="1534" t="s">
        <v>648</v>
      </c>
      <c r="F317" s="1528"/>
      <c r="G317" s="1528"/>
      <c r="H317" s="1528" t="str">
        <f>'Part II-Development Team'!H113</f>
        <v>Atlanta</v>
      </c>
      <c r="I317" s="1553"/>
      <c r="J317" s="1553"/>
      <c r="K317" s="1531" t="s">
        <v>2832</v>
      </c>
      <c r="L317" s="1528" t="str">
        <f>'Part II-Development Team'!L113</f>
        <v>www.glatl.com</v>
      </c>
      <c r="M317" s="1553"/>
      <c r="N317" s="1553"/>
      <c r="O317" s="1534" t="s">
        <v>1879</v>
      </c>
      <c r="P317" s="1528"/>
      <c r="Q317" s="1540">
        <f>'Part II-Development Team'!Q113</f>
        <v>4042281958</v>
      </c>
      <c r="R317" s="1540"/>
      <c r="S317" s="1540"/>
    </row>
    <row r="318" spans="1:19">
      <c r="A318" s="1528"/>
      <c r="B318" s="1528"/>
      <c r="C318" s="1528"/>
      <c r="D318" s="1597"/>
      <c r="E318" s="1534" t="s">
        <v>1875</v>
      </c>
      <c r="F318" s="1528"/>
      <c r="G318" s="1528"/>
      <c r="H318" s="1531" t="str">
        <f>'Part II-Development Team'!H114</f>
        <v>GA</v>
      </c>
      <c r="I318" s="1528"/>
      <c r="J318" s="1528"/>
      <c r="K318" s="1531" t="s">
        <v>2319</v>
      </c>
      <c r="L318" s="1542">
        <f>'Part II-Development Team'!L114</f>
        <v>303180000</v>
      </c>
      <c r="M318" s="1553"/>
      <c r="N318" s="1528"/>
      <c r="O318" s="1534" t="s">
        <v>2064</v>
      </c>
      <c r="P318" s="1528"/>
      <c r="Q318" s="1540">
        <f>'Part II-Development Team'!Q114</f>
        <v>4047979944</v>
      </c>
      <c r="R318" s="1540"/>
      <c r="S318" s="1540"/>
    </row>
    <row r="319" spans="1:19">
      <c r="A319" s="1528"/>
      <c r="B319" s="1528"/>
      <c r="C319" s="1528"/>
      <c r="D319" s="1597"/>
      <c r="E319" s="1534" t="s">
        <v>2070</v>
      </c>
      <c r="F319" s="1528"/>
      <c r="G319" s="1528"/>
      <c r="H319" s="1540">
        <f>'Part II-Development Team'!H115</f>
        <v>4042281958</v>
      </c>
      <c r="I319" s="1540"/>
      <c r="J319" s="1539">
        <f>'Part II-Development Team'!J115</f>
        <v>0</v>
      </c>
      <c r="K319" s="1531" t="s">
        <v>2069</v>
      </c>
      <c r="L319" s="1544" t="str">
        <f>'Part II-Development Team'!L115</f>
        <v>fgeheber@glaatl.com</v>
      </c>
      <c r="M319" s="1544"/>
      <c r="N319" s="1544"/>
      <c r="O319" s="1544"/>
      <c r="P319" s="1544"/>
      <c r="Q319" s="1544"/>
      <c r="R319" s="1544"/>
      <c r="S319" s="1544"/>
    </row>
    <row r="320" spans="1:19">
      <c r="A320" s="1533"/>
      <c r="B320" s="1533"/>
      <c r="C320" s="1533"/>
      <c r="D320" s="1533"/>
      <c r="E320" s="1533"/>
      <c r="F320" s="1533"/>
      <c r="G320" s="1533"/>
      <c r="H320" s="1533"/>
      <c r="I320" s="1533"/>
      <c r="J320" s="1533"/>
      <c r="K320" s="1533"/>
      <c r="L320" s="1533"/>
      <c r="M320" s="1533"/>
      <c r="N320" s="1533"/>
      <c r="O320" s="1533"/>
      <c r="P320" s="1533"/>
      <c r="Q320" s="1533"/>
      <c r="R320" s="1533"/>
      <c r="S320" s="1533"/>
    </row>
    <row r="321" spans="1:19">
      <c r="A321" s="1511" t="s">
        <v>1868</v>
      </c>
      <c r="B321" s="1511" t="s">
        <v>2703</v>
      </c>
      <c r="C321" s="1528"/>
      <c r="D321" s="1528"/>
      <c r="E321" s="1528"/>
      <c r="F321" s="1511"/>
      <c r="G321" s="1531"/>
      <c r="H321" s="1531"/>
      <c r="I321" s="1531"/>
      <c r="J321" s="1531"/>
      <c r="K321" s="1531"/>
      <c r="L321" s="1531"/>
      <c r="M321" s="1531"/>
      <c r="N321" s="1531"/>
      <c r="O321" s="1531"/>
      <c r="P321" s="1531"/>
      <c r="Q321" s="1531"/>
      <c r="R321" s="1528"/>
      <c r="S321" s="1528"/>
    </row>
    <row r="322" spans="1:19">
      <c r="A322" s="1528"/>
      <c r="B322" s="1511" t="s">
        <v>2068</v>
      </c>
      <c r="C322" s="1511" t="s">
        <v>4553</v>
      </c>
      <c r="D322" s="1528"/>
      <c r="E322" s="1528"/>
      <c r="F322" s="1528"/>
      <c r="G322" s="1528"/>
      <c r="H322" s="1528">
        <f>'Part II-Development Team'!H118</f>
        <v>0</v>
      </c>
      <c r="I322" s="1528"/>
      <c r="J322" s="1528"/>
      <c r="K322" s="1531" t="s">
        <v>2572</v>
      </c>
      <c r="L322" s="1528">
        <f>'Part II-Development Team'!L118</f>
        <v>0</v>
      </c>
      <c r="M322" s="1553"/>
      <c r="N322" s="1553"/>
      <c r="O322" s="1534" t="s">
        <v>4112</v>
      </c>
      <c r="P322" s="1528"/>
      <c r="Q322" s="1528">
        <f>'Part II-Development Team'!Q118</f>
        <v>0</v>
      </c>
      <c r="R322" s="1553"/>
      <c r="S322" s="1553"/>
    </row>
    <row r="323" spans="1:19">
      <c r="A323" s="1528"/>
      <c r="B323" s="1528"/>
      <c r="C323" s="1528"/>
      <c r="D323" s="1597"/>
      <c r="E323" s="1534" t="s">
        <v>1065</v>
      </c>
      <c r="F323" s="1537"/>
      <c r="G323" s="1528"/>
      <c r="H323" s="1528">
        <f>'Part II-Development Team'!H119</f>
        <v>0</v>
      </c>
      <c r="I323" s="1553"/>
      <c r="J323" s="1553"/>
      <c r="K323" s="1553"/>
      <c r="L323" s="1553"/>
      <c r="M323" s="1553"/>
      <c r="N323" s="1553"/>
      <c r="O323" s="1534" t="s">
        <v>648</v>
      </c>
      <c r="P323" s="1528"/>
      <c r="Q323" s="1528">
        <f>'Part II-Development Team'!Q119</f>
        <v>0</v>
      </c>
      <c r="R323" s="1553"/>
      <c r="S323" s="1553"/>
    </row>
    <row r="324" spans="1:19">
      <c r="A324" s="1528"/>
      <c r="B324" s="1528"/>
      <c r="C324" s="1528"/>
      <c r="D324" s="1597"/>
      <c r="E324" s="1534" t="s">
        <v>1875</v>
      </c>
      <c r="F324" s="1528"/>
      <c r="G324" s="1528"/>
      <c r="H324" s="1531">
        <f>'Part II-Development Team'!H120</f>
        <v>0</v>
      </c>
      <c r="I324" s="1531" t="s">
        <v>2319</v>
      </c>
      <c r="J324" s="1542">
        <f>'Part II-Development Team'!J120</f>
        <v>0</v>
      </c>
      <c r="K324" s="1553"/>
      <c r="L324" s="1531" t="s">
        <v>2069</v>
      </c>
      <c r="M324" s="1544">
        <f>'Part II-Development Team'!M120</f>
        <v>0</v>
      </c>
      <c r="N324" s="1544"/>
      <c r="O324" s="1544"/>
      <c r="P324" s="1544"/>
      <c r="Q324" s="1544"/>
      <c r="R324" s="1544"/>
      <c r="S324" s="1544"/>
    </row>
    <row r="325" spans="1:19">
      <c r="A325" s="1533"/>
      <c r="B325" s="1511" t="s">
        <v>2071</v>
      </c>
      <c r="C325" s="1511" t="s">
        <v>3084</v>
      </c>
      <c r="D325" s="1533"/>
      <c r="E325" s="1533"/>
      <c r="F325" s="1533"/>
      <c r="G325" s="1533"/>
      <c r="H325" s="1526"/>
      <c r="I325" s="1526"/>
      <c r="J325" s="1526"/>
      <c r="K325" s="1526"/>
      <c r="L325" s="1526"/>
      <c r="M325" s="1526"/>
      <c r="N325" s="1526"/>
      <c r="O325" s="1526"/>
      <c r="P325" s="1526"/>
      <c r="Q325" s="1526"/>
      <c r="R325" s="1526"/>
      <c r="S325" s="1526"/>
    </row>
    <row r="326" spans="1:19" ht="12.75" customHeight="1">
      <c r="A326" s="1526" t="s">
        <v>3834</v>
      </c>
      <c r="B326" s="1526"/>
      <c r="C326" s="1526"/>
      <c r="D326" s="1526"/>
      <c r="E326" s="1526"/>
      <c r="F326" s="1539" t="s">
        <v>2609</v>
      </c>
      <c r="G326" s="1582" t="s">
        <v>3965</v>
      </c>
      <c r="H326" s="1582"/>
      <c r="I326" s="1582"/>
      <c r="J326" s="1582"/>
      <c r="K326" s="1582"/>
      <c r="L326" s="1582"/>
      <c r="M326" s="1582"/>
      <c r="N326" s="1582"/>
      <c r="O326" s="1582"/>
      <c r="P326" s="1582"/>
      <c r="Q326" s="1582"/>
      <c r="R326" s="1582"/>
      <c r="S326" s="1582"/>
    </row>
    <row r="327" spans="1:19" ht="12.75" customHeight="1">
      <c r="A327" s="1528"/>
      <c r="B327" s="1587"/>
      <c r="C327" s="1602" t="s">
        <v>2072</v>
      </c>
      <c r="D327" s="1526" t="s">
        <v>3085</v>
      </c>
      <c r="E327" s="1526"/>
      <c r="F327" s="1603" t="str">
        <f>'Part II-Development Team'!F123</f>
        <v>Yes</v>
      </c>
      <c r="G327" s="1604" t="str">
        <f>'Part II-Development Team'!G123</f>
        <v>The members of the General Parntner entity, Capital View Senior Residences GP, LLC are also members of Prestwick Construction Company, LLC.</v>
      </c>
      <c r="H327" s="1604"/>
      <c r="I327" s="1604"/>
      <c r="J327" s="1604"/>
      <c r="K327" s="1604"/>
      <c r="L327" s="1604"/>
      <c r="M327" s="1604"/>
      <c r="N327" s="1604"/>
      <c r="O327" s="1604"/>
      <c r="P327" s="1604"/>
      <c r="Q327" s="1604"/>
      <c r="R327" s="1604"/>
      <c r="S327" s="1604"/>
    </row>
    <row r="328" spans="1:19" ht="12.75" customHeight="1">
      <c r="A328" s="1528"/>
      <c r="B328" s="1587"/>
      <c r="C328" s="1602" t="s">
        <v>2074</v>
      </c>
      <c r="D328" s="1526" t="s">
        <v>3184</v>
      </c>
      <c r="E328" s="1526"/>
      <c r="F328" s="1603" t="str">
        <f>'Part II-Development Team'!F124</f>
        <v>No</v>
      </c>
      <c r="G328" s="1604">
        <f>'Part II-Development Team'!G124</f>
        <v>0</v>
      </c>
      <c r="H328" s="1604"/>
      <c r="I328" s="1604"/>
      <c r="J328" s="1604"/>
      <c r="K328" s="1604"/>
      <c r="L328" s="1604"/>
      <c r="M328" s="1604"/>
      <c r="N328" s="1604"/>
      <c r="O328" s="1604"/>
      <c r="P328" s="1604"/>
      <c r="Q328" s="1604"/>
      <c r="R328" s="1604"/>
      <c r="S328" s="1604"/>
    </row>
    <row r="329" spans="1:19" ht="12.75" customHeight="1">
      <c r="A329" s="1528"/>
      <c r="B329" s="1587"/>
      <c r="C329" s="1602" t="s">
        <v>2634</v>
      </c>
      <c r="D329" s="1526" t="s">
        <v>3156</v>
      </c>
      <c r="E329" s="1526"/>
      <c r="F329" s="1603" t="str">
        <f>'Part II-Development Team'!F125</f>
        <v>Yes</v>
      </c>
      <c r="G329" s="1604" t="str">
        <f>'Part II-Development Team'!G125</f>
        <v>The members of the General Parntner entity, Capital View Senior Residences GP, LLC are also members of Prestwick Construction Company, LLC.</v>
      </c>
      <c r="H329" s="1604"/>
      <c r="I329" s="1604"/>
      <c r="J329" s="1604"/>
      <c r="K329" s="1604"/>
      <c r="L329" s="1604"/>
      <c r="M329" s="1604"/>
      <c r="N329" s="1604"/>
      <c r="O329" s="1604"/>
      <c r="P329" s="1604"/>
      <c r="Q329" s="1604"/>
      <c r="R329" s="1604"/>
      <c r="S329" s="1604"/>
    </row>
    <row r="330" spans="1:19" ht="12.75" customHeight="1">
      <c r="A330" s="1528"/>
      <c r="B330" s="1587"/>
      <c r="C330" s="1602" t="s">
        <v>1277</v>
      </c>
      <c r="D330" s="1526" t="s">
        <v>3086</v>
      </c>
      <c r="E330" s="1526"/>
      <c r="F330" s="1603" t="str">
        <f>'Part II-Development Team'!F126</f>
        <v>No</v>
      </c>
      <c r="G330" s="1604">
        <f>'Part II-Development Team'!G126</f>
        <v>0</v>
      </c>
      <c r="H330" s="1604"/>
      <c r="I330" s="1604"/>
      <c r="J330" s="1604"/>
      <c r="K330" s="1604"/>
      <c r="L330" s="1604"/>
      <c r="M330" s="1604"/>
      <c r="N330" s="1604"/>
      <c r="O330" s="1604"/>
      <c r="P330" s="1604"/>
      <c r="Q330" s="1604"/>
      <c r="R330" s="1604"/>
      <c r="S330" s="1604"/>
    </row>
    <row r="331" spans="1:19" ht="12.75" customHeight="1">
      <c r="A331" s="1528"/>
      <c r="B331" s="1587"/>
      <c r="C331" s="1602" t="s">
        <v>1278</v>
      </c>
      <c r="D331" s="1526" t="s">
        <v>3936</v>
      </c>
      <c r="E331" s="1526"/>
      <c r="F331" s="1603" t="str">
        <f>'Part II-Development Team'!F127</f>
        <v>No</v>
      </c>
      <c r="G331" s="1604">
        <f>'Part II-Development Team'!G127</f>
        <v>0</v>
      </c>
      <c r="H331" s="1604"/>
      <c r="I331" s="1604"/>
      <c r="J331" s="1604"/>
      <c r="K331" s="1604"/>
      <c r="L331" s="1604"/>
      <c r="M331" s="1604"/>
      <c r="N331" s="1604"/>
      <c r="O331" s="1604"/>
      <c r="P331" s="1604"/>
      <c r="Q331" s="1604"/>
      <c r="R331" s="1604"/>
      <c r="S331" s="1604"/>
    </row>
    <row r="332" spans="1:19" ht="12.75" customHeight="1">
      <c r="A332" s="1528"/>
      <c r="B332" s="1587"/>
      <c r="C332" s="1602" t="s">
        <v>1965</v>
      </c>
      <c r="D332" s="1526" t="s">
        <v>3937</v>
      </c>
      <c r="E332" s="1526"/>
      <c r="F332" s="1603" t="str">
        <f>'Part II-Development Team'!F128</f>
        <v>No</v>
      </c>
      <c r="G332" s="1604">
        <f>'Part II-Development Team'!G128</f>
        <v>0</v>
      </c>
      <c r="H332" s="1604"/>
      <c r="I332" s="1604"/>
      <c r="J332" s="1604"/>
      <c r="K332" s="1604"/>
      <c r="L332" s="1604"/>
      <c r="M332" s="1604"/>
      <c r="N332" s="1604"/>
      <c r="O332" s="1604"/>
      <c r="P332" s="1604"/>
      <c r="Q332" s="1604"/>
      <c r="R332" s="1604"/>
      <c r="S332" s="1604"/>
    </row>
    <row r="333" spans="1:19" ht="12.75" customHeight="1">
      <c r="A333" s="1528"/>
      <c r="B333" s="1587"/>
      <c r="C333" s="1602" t="s">
        <v>527</v>
      </c>
      <c r="D333" s="1526" t="s">
        <v>3087</v>
      </c>
      <c r="E333" s="1526"/>
      <c r="F333" s="1603" t="str">
        <f>'Part II-Development Team'!F129</f>
        <v>No</v>
      </c>
      <c r="G333" s="1604">
        <f>'Part II-Development Team'!G129</f>
        <v>0</v>
      </c>
      <c r="H333" s="1604"/>
      <c r="I333" s="1604"/>
      <c r="J333" s="1604"/>
      <c r="K333" s="1604"/>
      <c r="L333" s="1604"/>
      <c r="M333" s="1604"/>
      <c r="N333" s="1604"/>
      <c r="O333" s="1604"/>
      <c r="P333" s="1604"/>
      <c r="Q333" s="1604"/>
      <c r="R333" s="1604"/>
      <c r="S333" s="1604"/>
    </row>
    <row r="334" spans="1:19">
      <c r="A334" s="1528"/>
      <c r="B334" s="1587"/>
      <c r="C334" s="1602" t="s">
        <v>528</v>
      </c>
      <c r="D334" s="1526" t="s">
        <v>1669</v>
      </c>
      <c r="E334" s="1526"/>
      <c r="F334" s="1603" t="str">
        <f>'Part II-Development Team'!F130</f>
        <v>No</v>
      </c>
      <c r="G334" s="1604">
        <f>'Part II-Development Team'!G130</f>
        <v>0</v>
      </c>
      <c r="H334" s="1604"/>
      <c r="I334" s="1604"/>
      <c r="J334" s="1604"/>
      <c r="K334" s="1604"/>
      <c r="L334" s="1604"/>
      <c r="M334" s="1604"/>
      <c r="N334" s="1604"/>
      <c r="O334" s="1604"/>
      <c r="P334" s="1604"/>
      <c r="Q334" s="1604"/>
      <c r="R334" s="1604"/>
      <c r="S334" s="1604"/>
    </row>
    <row r="335" spans="1:19">
      <c r="A335" s="1511" t="s">
        <v>1868</v>
      </c>
      <c r="B335" s="1511" t="s">
        <v>4554</v>
      </c>
      <c r="C335" s="1528"/>
      <c r="D335" s="1528"/>
      <c r="E335" s="1528"/>
      <c r="F335" s="1511"/>
      <c r="G335" s="1531"/>
      <c r="H335" s="1531"/>
      <c r="I335" s="1531"/>
      <c r="J335" s="1531"/>
      <c r="K335" s="1531"/>
      <c r="L335" s="1531"/>
      <c r="M335" s="1531"/>
      <c r="N335" s="1531"/>
      <c r="O335" s="1531"/>
      <c r="P335" s="1531"/>
      <c r="Q335" s="1531"/>
      <c r="R335" s="1528"/>
      <c r="S335" s="1528"/>
    </row>
    <row r="336" spans="1:19">
      <c r="A336" s="1511"/>
      <c r="B336" s="1511"/>
      <c r="C336" s="1528"/>
      <c r="D336" s="1528"/>
      <c r="E336" s="1528"/>
      <c r="F336" s="1511"/>
      <c r="G336" s="1531"/>
      <c r="H336" s="1531"/>
      <c r="I336" s="1531"/>
      <c r="J336" s="1531"/>
      <c r="K336" s="1531"/>
      <c r="L336" s="1531"/>
      <c r="M336" s="1531"/>
      <c r="N336" s="1531"/>
      <c r="O336" s="1531"/>
      <c r="P336" s="1531"/>
      <c r="Q336" s="1531"/>
      <c r="R336" s="1528"/>
      <c r="S336" s="1528"/>
    </row>
    <row r="337" spans="1:19">
      <c r="A337" s="1533"/>
      <c r="B337" s="1511" t="s">
        <v>786</v>
      </c>
      <c r="C337" s="1511" t="s">
        <v>3088</v>
      </c>
      <c r="D337" s="1533"/>
      <c r="E337" s="1533"/>
      <c r="F337" s="1533"/>
      <c r="G337" s="1533"/>
      <c r="H337" s="1533"/>
      <c r="I337" s="1533"/>
      <c r="J337" s="1533"/>
      <c r="K337" s="1533"/>
      <c r="L337" s="1533"/>
      <c r="M337" s="1533"/>
      <c r="N337" s="1533"/>
      <c r="O337" s="1533"/>
      <c r="P337" s="1533"/>
      <c r="Q337" s="1533"/>
      <c r="R337" s="1533"/>
      <c r="S337" s="1533"/>
    </row>
    <row r="338" spans="1:19" ht="12.75" customHeight="1">
      <c r="A338" s="1526" t="s">
        <v>670</v>
      </c>
      <c r="B338" s="1526"/>
      <c r="C338" s="1526"/>
      <c r="D338" s="1526"/>
      <c r="E338" s="1526" t="s">
        <v>3840</v>
      </c>
      <c r="F338" s="1605"/>
      <c r="G338" s="1605"/>
      <c r="H338" s="1605"/>
      <c r="I338" s="1605"/>
      <c r="J338" s="1526" t="s">
        <v>3841</v>
      </c>
      <c r="K338" s="1605" t="s">
        <v>4555</v>
      </c>
      <c r="L338" s="1605" t="s">
        <v>4556</v>
      </c>
      <c r="M338" s="1605" t="s">
        <v>4557</v>
      </c>
      <c r="N338" s="1605"/>
      <c r="O338" s="1605"/>
      <c r="P338" s="1605"/>
      <c r="Q338" s="1605"/>
      <c r="R338" s="1605"/>
      <c r="S338" s="1605"/>
    </row>
    <row r="339" spans="1:19">
      <c r="A339" s="1526"/>
      <c r="B339" s="1526"/>
      <c r="C339" s="1526"/>
      <c r="D339" s="1526"/>
      <c r="E339" s="1605"/>
      <c r="F339" s="1605"/>
      <c r="G339" s="1605"/>
      <c r="H339" s="1605"/>
      <c r="I339" s="1605"/>
      <c r="J339" s="1526"/>
      <c r="K339" s="1605"/>
      <c r="L339" s="1605"/>
      <c r="M339" s="1605"/>
      <c r="N339" s="1605"/>
      <c r="O339" s="1605"/>
      <c r="P339" s="1605"/>
      <c r="Q339" s="1605"/>
      <c r="R339" s="1605"/>
      <c r="S339" s="1605"/>
    </row>
    <row r="340" spans="1:19">
      <c r="A340" s="1526"/>
      <c r="B340" s="1526"/>
      <c r="C340" s="1526"/>
      <c r="D340" s="1526"/>
      <c r="E340" s="1528"/>
      <c r="F340" s="1585"/>
      <c r="G340" s="1585"/>
      <c r="H340" s="1585"/>
      <c r="I340" s="1605"/>
      <c r="J340" s="1526"/>
      <c r="K340" s="1605"/>
      <c r="L340" s="1605"/>
      <c r="M340" s="1605"/>
      <c r="N340" s="1605"/>
      <c r="O340" s="1605"/>
      <c r="P340" s="1605"/>
      <c r="Q340" s="1605"/>
      <c r="R340" s="1605"/>
      <c r="S340" s="1605"/>
    </row>
    <row r="341" spans="1:19" ht="12.75" customHeight="1">
      <c r="A341" s="1526"/>
      <c r="B341" s="1526"/>
      <c r="C341" s="1526"/>
      <c r="D341" s="1526"/>
      <c r="E341" s="1606" t="s">
        <v>3903</v>
      </c>
      <c r="F341" s="1606"/>
      <c r="G341" s="1606"/>
      <c r="H341" s="1606"/>
      <c r="I341" s="1605"/>
      <c r="J341" s="1526"/>
      <c r="K341" s="1605"/>
      <c r="L341" s="1605"/>
      <c r="M341" s="1605"/>
      <c r="N341" s="1605"/>
      <c r="O341" s="1605"/>
      <c r="P341" s="1605"/>
      <c r="Q341" s="1605"/>
      <c r="R341" s="1605"/>
      <c r="S341" s="1605"/>
    </row>
    <row r="342" spans="1:19" ht="12.75" customHeight="1">
      <c r="A342" s="1526"/>
      <c r="B342" s="1526"/>
      <c r="C342" s="1526"/>
      <c r="D342" s="1526"/>
      <c r="E342" s="1606"/>
      <c r="F342" s="1606"/>
      <c r="G342" s="1606"/>
      <c r="H342" s="1606"/>
      <c r="I342" s="1607" t="s">
        <v>2609</v>
      </c>
      <c r="J342" s="1526"/>
      <c r="K342" s="1605"/>
      <c r="L342" s="1605"/>
      <c r="M342" s="1539" t="s">
        <v>2609</v>
      </c>
      <c r="N342" s="1553" t="s">
        <v>3207</v>
      </c>
      <c r="O342" s="1553"/>
      <c r="P342" s="1553"/>
      <c r="Q342" s="1553"/>
      <c r="R342" s="1553"/>
      <c r="S342" s="1553"/>
    </row>
    <row r="343" spans="1:19" ht="12.75" customHeight="1">
      <c r="A343" s="1526" t="s">
        <v>3835</v>
      </c>
      <c r="B343" s="1526"/>
      <c r="C343" s="1526"/>
      <c r="D343" s="1526"/>
      <c r="E343" s="1604">
        <f>'Part II-Development Team'!E139</f>
        <v>0</v>
      </c>
      <c r="F343" s="1604"/>
      <c r="G343" s="1604"/>
      <c r="H343" s="1604"/>
      <c r="I343" s="1603" t="str">
        <f>'Part II-Development Team'!I139</f>
        <v>No</v>
      </c>
      <c r="J343" s="1603" t="str">
        <f>'Part II-Development Team'!J139</f>
        <v>No</v>
      </c>
      <c r="K343" s="1608" t="str">
        <f>'Part II-Development Team'!K139</f>
        <v>For Profit</v>
      </c>
      <c r="L343" s="1609">
        <f>'Part II-Development Team'!L139</f>
        <v>1E-4</v>
      </c>
      <c r="M343" s="1603" t="str">
        <f>'Part II-Development Team'!M139</f>
        <v>Yes</v>
      </c>
      <c r="N343" s="1604" t="str">
        <f>'Part II-Development Team'!N139</f>
        <v>Members of Prestwick Development Company, LLC are also members of both the GP entity and members of Prestwick Construction Company, LLC,  the contractor for the project.</v>
      </c>
      <c r="O343" s="1604"/>
      <c r="P343" s="1604"/>
      <c r="Q343" s="1604"/>
      <c r="R343" s="1604"/>
      <c r="S343" s="1604"/>
    </row>
    <row r="344" spans="1:19" ht="12.75" customHeight="1">
      <c r="A344" s="1526" t="s">
        <v>3836</v>
      </c>
      <c r="B344" s="1526"/>
      <c r="C344" s="1526"/>
      <c r="D344" s="1526"/>
      <c r="E344" s="1604">
        <f>'Part II-Development Team'!E140</f>
        <v>0</v>
      </c>
      <c r="F344" s="1604"/>
      <c r="G344" s="1604"/>
      <c r="H344" s="1604"/>
      <c r="I344" s="1603">
        <f>'Part II-Development Team'!I140</f>
        <v>0</v>
      </c>
      <c r="J344" s="1603">
        <f>'Part II-Development Team'!J140</f>
        <v>0</v>
      </c>
      <c r="K344" s="1608">
        <f>'Part II-Development Team'!K140</f>
        <v>0</v>
      </c>
      <c r="L344" s="1609">
        <f>'Part II-Development Team'!L140</f>
        <v>0</v>
      </c>
      <c r="M344" s="1603">
        <f>'Part II-Development Team'!M140</f>
        <v>0</v>
      </c>
      <c r="N344" s="1604">
        <f>'Part II-Development Team'!N140</f>
        <v>0</v>
      </c>
      <c r="O344" s="1604"/>
      <c r="P344" s="1604"/>
      <c r="Q344" s="1604"/>
      <c r="R344" s="1604"/>
      <c r="S344" s="1604"/>
    </row>
    <row r="345" spans="1:19" ht="12.75" customHeight="1">
      <c r="A345" s="1526" t="s">
        <v>3837</v>
      </c>
      <c r="B345" s="1526"/>
      <c r="C345" s="1526"/>
      <c r="D345" s="1526"/>
      <c r="E345" s="1604">
        <f>'Part II-Development Team'!E141</f>
        <v>0</v>
      </c>
      <c r="F345" s="1604"/>
      <c r="G345" s="1604"/>
      <c r="H345" s="1604"/>
      <c r="I345" s="1603">
        <f>'Part II-Development Team'!I141</f>
        <v>0</v>
      </c>
      <c r="J345" s="1603">
        <f>'Part II-Development Team'!J141</f>
        <v>0</v>
      </c>
      <c r="K345" s="1608">
        <f>'Part II-Development Team'!K141</f>
        <v>0</v>
      </c>
      <c r="L345" s="1609">
        <f>'Part II-Development Team'!L141</f>
        <v>0</v>
      </c>
      <c r="M345" s="1603">
        <f>'Part II-Development Team'!M141</f>
        <v>0</v>
      </c>
      <c r="N345" s="1604">
        <f>'Part II-Development Team'!N141</f>
        <v>0</v>
      </c>
      <c r="O345" s="1604"/>
      <c r="P345" s="1604"/>
      <c r="Q345" s="1604"/>
      <c r="R345" s="1604"/>
      <c r="S345" s="1604"/>
    </row>
    <row r="346" spans="1:19" ht="12.75" customHeight="1">
      <c r="A346" s="1526" t="s">
        <v>3838</v>
      </c>
      <c r="B346" s="1526"/>
      <c r="C346" s="1526"/>
      <c r="D346" s="1526"/>
      <c r="E346" s="1604">
        <f>'Part II-Development Team'!E142</f>
        <v>0</v>
      </c>
      <c r="F346" s="1604"/>
      <c r="G346" s="1604"/>
      <c r="H346" s="1604"/>
      <c r="I346" s="1603" t="str">
        <f>'Part II-Development Team'!I142</f>
        <v>No</v>
      </c>
      <c r="J346" s="1603" t="str">
        <f>'Part II-Development Team'!J142</f>
        <v>No</v>
      </c>
      <c r="K346" s="1608" t="str">
        <f>'Part II-Development Team'!K142</f>
        <v>For Profit</v>
      </c>
      <c r="L346" s="1609">
        <f>'Part II-Development Team'!L142</f>
        <v>0.99980000000000002</v>
      </c>
      <c r="M346" s="1603" t="str">
        <f>'Part II-Development Team'!M142</f>
        <v>No</v>
      </c>
      <c r="N346" s="1604">
        <f>'Part II-Development Team'!N142</f>
        <v>0</v>
      </c>
      <c r="O346" s="1604"/>
      <c r="P346" s="1604"/>
      <c r="Q346" s="1604"/>
      <c r="R346" s="1604"/>
      <c r="S346" s="1604"/>
    </row>
    <row r="347" spans="1:19" ht="12.75" customHeight="1">
      <c r="A347" s="1526" t="s">
        <v>3839</v>
      </c>
      <c r="B347" s="1526"/>
      <c r="C347" s="1526"/>
      <c r="D347" s="1526"/>
      <c r="E347" s="1604">
        <f>'Part II-Development Team'!E143</f>
        <v>0</v>
      </c>
      <c r="F347" s="1604"/>
      <c r="G347" s="1604"/>
      <c r="H347" s="1604"/>
      <c r="I347" s="1603" t="str">
        <f>'Part II-Development Team'!I143</f>
        <v>No</v>
      </c>
      <c r="J347" s="1603" t="str">
        <f>'Part II-Development Team'!J143</f>
        <v>No</v>
      </c>
      <c r="K347" s="1608" t="str">
        <f>'Part II-Development Team'!K143</f>
        <v>For Profit</v>
      </c>
      <c r="L347" s="1609">
        <f>'Part II-Development Team'!L143</f>
        <v>1E-4</v>
      </c>
      <c r="M347" s="1603" t="str">
        <f>'Part II-Development Team'!M143</f>
        <v>No</v>
      </c>
      <c r="N347" s="1604">
        <f>'Part II-Development Team'!N143</f>
        <v>0</v>
      </c>
      <c r="O347" s="1604"/>
      <c r="P347" s="1604"/>
      <c r="Q347" s="1604"/>
      <c r="R347" s="1604"/>
      <c r="S347" s="1604"/>
    </row>
    <row r="348" spans="1:19" ht="12.75" customHeight="1">
      <c r="A348" s="1526" t="s">
        <v>3177</v>
      </c>
      <c r="B348" s="1526"/>
      <c r="C348" s="1526"/>
      <c r="D348" s="1526"/>
      <c r="E348" s="1604">
        <f>'Part II-Development Team'!E144</f>
        <v>0</v>
      </c>
      <c r="F348" s="1604"/>
      <c r="G348" s="1604"/>
      <c r="H348" s="1604"/>
      <c r="I348" s="1603">
        <f>'Part II-Development Team'!I144</f>
        <v>0</v>
      </c>
      <c r="J348" s="1603">
        <f>'Part II-Development Team'!J144</f>
        <v>0</v>
      </c>
      <c r="K348" s="1608">
        <f>'Part II-Development Team'!K144</f>
        <v>0</v>
      </c>
      <c r="L348" s="1609">
        <f>'Part II-Development Team'!L144</f>
        <v>0</v>
      </c>
      <c r="M348" s="1603">
        <f>'Part II-Development Team'!M144</f>
        <v>0</v>
      </c>
      <c r="N348" s="1604">
        <f>'Part II-Development Team'!N144</f>
        <v>0</v>
      </c>
      <c r="O348" s="1604"/>
      <c r="P348" s="1604"/>
      <c r="Q348" s="1604"/>
      <c r="R348" s="1604"/>
      <c r="S348" s="1604"/>
    </row>
    <row r="349" spans="1:19" ht="191.25">
      <c r="A349" s="1526" t="s">
        <v>685</v>
      </c>
      <c r="B349" s="1526"/>
      <c r="C349" s="1526"/>
      <c r="D349" s="1526"/>
      <c r="E349" s="1604">
        <f>'Part II-Development Team'!E145</f>
        <v>0</v>
      </c>
      <c r="F349" s="1604"/>
      <c r="G349" s="1604"/>
      <c r="H349" s="1604"/>
      <c r="I349" s="1603" t="str">
        <f>'Part II-Development Team'!I145</f>
        <v>No</v>
      </c>
      <c r="J349" s="1603" t="str">
        <f>'Part II-Development Team'!J145</f>
        <v>No</v>
      </c>
      <c r="K349" s="1608" t="str">
        <f>'Part II-Development Team'!K145</f>
        <v>For Profit</v>
      </c>
      <c r="L349" s="1609">
        <f>'Part II-Development Team'!L145</f>
        <v>0</v>
      </c>
      <c r="M349" s="1603" t="str">
        <f>'Part II-Development Team'!M145</f>
        <v>Yes</v>
      </c>
      <c r="N349" s="1604" t="str">
        <f>'Part II-Development Team'!N145</f>
        <v>Members of Prestwick Development Company, LLC are also members of both the GP entity and members of Prestwick Construction Company, LLC,  the contractor for the project.</v>
      </c>
      <c r="O349" s="1604"/>
      <c r="P349" s="1604"/>
      <c r="Q349" s="1604"/>
      <c r="R349" s="1604"/>
      <c r="S349" s="1604"/>
    </row>
    <row r="350" spans="1:19" ht="12.75" customHeight="1">
      <c r="A350" s="1526" t="s">
        <v>3178</v>
      </c>
      <c r="B350" s="1526"/>
      <c r="C350" s="1526"/>
      <c r="D350" s="1526"/>
      <c r="E350" s="1604">
        <f>'Part II-Development Team'!E146</f>
        <v>0</v>
      </c>
      <c r="F350" s="1604"/>
      <c r="G350" s="1604"/>
      <c r="H350" s="1604"/>
      <c r="I350" s="1603">
        <f>'Part II-Development Team'!I146</f>
        <v>0</v>
      </c>
      <c r="J350" s="1603">
        <f>'Part II-Development Team'!J146</f>
        <v>0</v>
      </c>
      <c r="K350" s="1608">
        <f>'Part II-Development Team'!K146</f>
        <v>0</v>
      </c>
      <c r="L350" s="1609">
        <f>'Part II-Development Team'!L146</f>
        <v>0</v>
      </c>
      <c r="M350" s="1603">
        <f>'Part II-Development Team'!M146</f>
        <v>0</v>
      </c>
      <c r="N350" s="1604">
        <f>'Part II-Development Team'!N146</f>
        <v>0</v>
      </c>
      <c r="O350" s="1604"/>
      <c r="P350" s="1604"/>
      <c r="Q350" s="1604"/>
      <c r="R350" s="1604"/>
      <c r="S350" s="1604"/>
    </row>
    <row r="351" spans="1:19" ht="12.75" customHeight="1">
      <c r="A351" s="1526" t="s">
        <v>3179</v>
      </c>
      <c r="B351" s="1526"/>
      <c r="C351" s="1526"/>
      <c r="D351" s="1526"/>
      <c r="E351" s="1604">
        <f>'Part II-Development Team'!E147</f>
        <v>0</v>
      </c>
      <c r="F351" s="1604"/>
      <c r="G351" s="1604"/>
      <c r="H351" s="1604"/>
      <c r="I351" s="1603">
        <f>'Part II-Development Team'!I147</f>
        <v>0</v>
      </c>
      <c r="J351" s="1603">
        <f>'Part II-Development Team'!J147</f>
        <v>0</v>
      </c>
      <c r="K351" s="1608">
        <f>'Part II-Development Team'!K147</f>
        <v>0</v>
      </c>
      <c r="L351" s="1609">
        <f>'Part II-Development Team'!L147</f>
        <v>0</v>
      </c>
      <c r="M351" s="1603">
        <f>'Part II-Development Team'!M147</f>
        <v>0</v>
      </c>
      <c r="N351" s="1604">
        <f>'Part II-Development Team'!N147</f>
        <v>0</v>
      </c>
      <c r="O351" s="1604"/>
      <c r="P351" s="1604"/>
      <c r="Q351" s="1604"/>
      <c r="R351" s="1604"/>
      <c r="S351" s="1604"/>
    </row>
    <row r="352" spans="1:19" ht="12.75" customHeight="1">
      <c r="A352" s="1526" t="s">
        <v>3181</v>
      </c>
      <c r="B352" s="1526"/>
      <c r="C352" s="1526"/>
      <c r="D352" s="1526"/>
      <c r="E352" s="1604">
        <f>'Part II-Development Team'!E148</f>
        <v>0</v>
      </c>
      <c r="F352" s="1604"/>
      <c r="G352" s="1604"/>
      <c r="H352" s="1604"/>
      <c r="I352" s="1603">
        <f>'Part II-Development Team'!I148</f>
        <v>0</v>
      </c>
      <c r="J352" s="1603">
        <f>'Part II-Development Team'!J148</f>
        <v>0</v>
      </c>
      <c r="K352" s="1608">
        <f>'Part II-Development Team'!K148</f>
        <v>0</v>
      </c>
      <c r="L352" s="1609">
        <f>'Part II-Development Team'!L148</f>
        <v>0</v>
      </c>
      <c r="M352" s="1603">
        <f>'Part II-Development Team'!M148</f>
        <v>0</v>
      </c>
      <c r="N352" s="1604">
        <f>'Part II-Development Team'!N148</f>
        <v>0</v>
      </c>
      <c r="O352" s="1604"/>
      <c r="P352" s="1604"/>
      <c r="Q352" s="1604"/>
      <c r="R352" s="1604"/>
      <c r="S352" s="1604"/>
    </row>
    <row r="353" spans="1:19" ht="12.75" customHeight="1">
      <c r="A353" s="1526" t="s">
        <v>3180</v>
      </c>
      <c r="B353" s="1526"/>
      <c r="C353" s="1526"/>
      <c r="D353" s="1526"/>
      <c r="E353" s="1604">
        <f>'Part II-Development Team'!E149</f>
        <v>0</v>
      </c>
      <c r="F353" s="1604"/>
      <c r="G353" s="1604"/>
      <c r="H353" s="1604"/>
      <c r="I353" s="1603">
        <f>'Part II-Development Team'!I149</f>
        <v>0</v>
      </c>
      <c r="J353" s="1603">
        <f>'Part II-Development Team'!J149</f>
        <v>0</v>
      </c>
      <c r="K353" s="1608">
        <f>'Part II-Development Team'!K149</f>
        <v>0</v>
      </c>
      <c r="L353" s="1609">
        <f>'Part II-Development Team'!L149</f>
        <v>0</v>
      </c>
      <c r="M353" s="1603">
        <f>'Part II-Development Team'!M149</f>
        <v>0</v>
      </c>
      <c r="N353" s="1604">
        <f>'Part II-Development Team'!N149</f>
        <v>0</v>
      </c>
      <c r="O353" s="1604"/>
      <c r="P353" s="1604"/>
      <c r="Q353" s="1604"/>
      <c r="R353" s="1604"/>
      <c r="S353" s="1604"/>
    </row>
    <row r="354" spans="1:19" ht="191.25">
      <c r="A354" s="1526" t="s">
        <v>1595</v>
      </c>
      <c r="B354" s="1526"/>
      <c r="C354" s="1526"/>
      <c r="D354" s="1526"/>
      <c r="E354" s="1604">
        <f>'Part II-Development Team'!E150</f>
        <v>0</v>
      </c>
      <c r="F354" s="1604"/>
      <c r="G354" s="1604"/>
      <c r="H354" s="1604"/>
      <c r="I354" s="1603" t="str">
        <f>'Part II-Development Team'!I150</f>
        <v>No</v>
      </c>
      <c r="J354" s="1603" t="str">
        <f>'Part II-Development Team'!J150</f>
        <v>No</v>
      </c>
      <c r="K354" s="1608" t="str">
        <f>'Part II-Development Team'!K150</f>
        <v>For Profit</v>
      </c>
      <c r="L354" s="1609">
        <f>'Part II-Development Team'!L150</f>
        <v>0</v>
      </c>
      <c r="M354" s="1603" t="str">
        <f>'Part II-Development Team'!M150</f>
        <v>Yes</v>
      </c>
      <c r="N354" s="1604" t="str">
        <f>'Part II-Development Team'!N150</f>
        <v>Members of Prestwick Construction Company, LLC are also members of both the GP entity and members of Prestwick Construction Company, LLC,  the contractor for the project.</v>
      </c>
      <c r="O354" s="1604"/>
      <c r="P354" s="1604"/>
      <c r="Q354" s="1604"/>
      <c r="R354" s="1604"/>
      <c r="S354" s="1604"/>
    </row>
    <row r="355" spans="1:19" ht="12.75" customHeight="1">
      <c r="A355" s="1526" t="s">
        <v>3182</v>
      </c>
      <c r="B355" s="1526"/>
      <c r="C355" s="1526"/>
      <c r="D355" s="1526"/>
      <c r="E355" s="1604">
        <f>'Part II-Development Team'!E151</f>
        <v>0</v>
      </c>
      <c r="F355" s="1604"/>
      <c r="G355" s="1604"/>
      <c r="H355" s="1604"/>
      <c r="I355" s="1603" t="str">
        <f>'Part II-Development Team'!I151</f>
        <v>No</v>
      </c>
      <c r="J355" s="1603" t="str">
        <f>'Part II-Development Team'!J151</f>
        <v>No</v>
      </c>
      <c r="K355" s="1608" t="str">
        <f>'Part II-Development Team'!K151</f>
        <v>For Profit</v>
      </c>
      <c r="L355" s="1609">
        <f>'Part II-Development Team'!L151</f>
        <v>0</v>
      </c>
      <c r="M355" s="1603" t="str">
        <f>'Part II-Development Team'!M151</f>
        <v>No</v>
      </c>
      <c r="N355" s="1604">
        <f>'Part II-Development Team'!N151</f>
        <v>0</v>
      </c>
      <c r="O355" s="1604"/>
      <c r="P355" s="1604"/>
      <c r="Q355" s="1604"/>
      <c r="R355" s="1604"/>
      <c r="S355" s="1604"/>
    </row>
    <row r="356" spans="1:19">
      <c r="A356" s="1528"/>
      <c r="B356" s="1528"/>
      <c r="C356" s="1528"/>
      <c r="D356" s="1528"/>
      <c r="E356" s="1528"/>
      <c r="F356" s="1528"/>
      <c r="G356" s="1511"/>
      <c r="H356" s="1511"/>
      <c r="I356" s="1511"/>
      <c r="J356" s="1531"/>
      <c r="K356" s="1575" t="s">
        <v>564</v>
      </c>
      <c r="L356" s="1610">
        <f>SUM(L343:S355)</f>
        <v>1</v>
      </c>
      <c r="M356" s="1531"/>
      <c r="N356" s="1528"/>
      <c r="O356" s="1528"/>
      <c r="P356" s="1533"/>
      <c r="Q356" s="1528"/>
      <c r="R356" s="1528"/>
      <c r="S356" s="1528"/>
    </row>
    <row r="357" spans="1:19">
      <c r="A357" s="1570" t="s">
        <v>1870</v>
      </c>
      <c r="B357" s="1572"/>
      <c r="C357" s="1570" t="s">
        <v>599</v>
      </c>
      <c r="D357" s="1533"/>
      <c r="E357" s="1533"/>
      <c r="F357" s="1533"/>
      <c r="G357" s="1533"/>
      <c r="H357" s="1533"/>
      <c r="I357" s="1533"/>
      <c r="J357" s="1533"/>
      <c r="K357" s="1533"/>
      <c r="L357" s="1533"/>
      <c r="M357" s="1533"/>
      <c r="N357" s="1570" t="s">
        <v>555</v>
      </c>
      <c r="O357" s="1570" t="s">
        <v>81</v>
      </c>
      <c r="P357" s="1533"/>
      <c r="Q357" s="1533"/>
      <c r="R357" s="1533"/>
      <c r="S357" s="1533"/>
    </row>
    <row r="358" spans="1:19" ht="13.5">
      <c r="A358" s="1596">
        <f>'Part II-Development Team'!A154</f>
        <v>0</v>
      </c>
      <c r="B358" s="1596"/>
      <c r="C358" s="1596"/>
      <c r="D358" s="1596"/>
      <c r="E358" s="1596"/>
      <c r="F358" s="1596"/>
      <c r="G358" s="1596"/>
      <c r="H358" s="1596"/>
      <c r="I358" s="1596"/>
      <c r="J358" s="1596"/>
      <c r="K358" s="1596"/>
      <c r="L358" s="1596"/>
      <c r="M358" s="1596"/>
      <c r="N358" s="1596">
        <f>'Part II-Development Team'!N154</f>
        <v>0</v>
      </c>
      <c r="O358" s="1596"/>
      <c r="P358" s="1596"/>
      <c r="Q358" s="1596"/>
      <c r="R358" s="1596"/>
      <c r="S358" s="1596"/>
    </row>
    <row r="364" spans="1:19">
      <c r="A364" s="1511" t="str">
        <f>CONCATENATE("DRAFT PART THREE - SOURCES OF FUNDS","  -  ",'Part I-Project Information'!$O$4," ",'Part I-Project Information'!$F$24,", ",'Part I-Project Information'!$F$28,", ",'Part I-Project Information'!$J$29," County")</f>
        <v>DRAFT PART THREE - SOURCES OF FUNDS  -  2016-508 Gateway Capitol View, Atlanta, Fulton County</v>
      </c>
      <c r="B364" s="1511"/>
      <c r="C364" s="1511"/>
      <c r="D364" s="1511"/>
      <c r="E364" s="1511"/>
      <c r="F364" s="1511"/>
      <c r="G364" s="1511"/>
      <c r="H364" s="1511"/>
      <c r="I364" s="1511"/>
      <c r="J364" s="1511"/>
      <c r="K364" s="1511"/>
      <c r="L364" s="1511"/>
      <c r="M364" s="1511"/>
      <c r="N364" s="1511"/>
      <c r="O364" s="1511"/>
      <c r="P364" s="1511"/>
      <c r="Q364" s="1511"/>
    </row>
    <row r="365" spans="1:19">
      <c r="A365" s="1533"/>
      <c r="B365" s="1533"/>
      <c r="C365" s="1533"/>
      <c r="D365" s="1533"/>
      <c r="E365" s="1533"/>
      <c r="F365" s="1533"/>
      <c r="G365" s="1533"/>
      <c r="H365" s="1533"/>
      <c r="I365" s="1533"/>
      <c r="J365" s="1533"/>
      <c r="K365" s="1533"/>
      <c r="L365" s="1533"/>
      <c r="M365" s="1533"/>
      <c r="N365" s="1533"/>
      <c r="O365" s="1533"/>
      <c r="P365" s="1533"/>
      <c r="Q365" s="1533"/>
    </row>
    <row r="366" spans="1:19" ht="13.5">
      <c r="A366" s="1511" t="s">
        <v>646</v>
      </c>
      <c r="B366" s="1570" t="s">
        <v>2589</v>
      </c>
      <c r="C366" s="1528"/>
      <c r="D366" s="1528"/>
      <c r="E366" s="1528"/>
      <c r="F366" s="1528"/>
      <c r="G366" s="1528"/>
      <c r="H366" s="1538"/>
      <c r="I366" s="1538"/>
      <c r="J366" s="1528"/>
      <c r="K366" s="1538"/>
      <c r="L366" s="1538"/>
      <c r="M366" s="1528"/>
      <c r="N366" s="1528"/>
      <c r="O366" s="1538"/>
      <c r="P366" s="1538"/>
      <c r="Q366" s="1538"/>
    </row>
    <row r="367" spans="1:19" ht="13.5">
      <c r="A367" s="1570"/>
      <c r="B367" s="1527"/>
      <c r="C367" s="1570"/>
      <c r="D367" s="1528"/>
      <c r="E367" s="1528"/>
      <c r="F367" s="1528"/>
      <c r="G367" s="1528"/>
      <c r="H367" s="1538"/>
      <c r="I367" s="1538"/>
      <c r="J367" s="1538"/>
      <c r="K367" s="1538"/>
      <c r="L367" s="1538"/>
      <c r="M367" s="1538"/>
      <c r="N367" s="1538"/>
      <c r="O367" s="1538"/>
      <c r="P367" s="1538"/>
      <c r="Q367" s="1538"/>
    </row>
    <row r="368" spans="1:19" ht="13.5">
      <c r="A368" s="1527"/>
      <c r="B368" s="1531" t="str">
        <f>'Part III-Sources of Funds'!B5</f>
        <v>Yes</v>
      </c>
      <c r="C368" s="1534" t="s">
        <v>2506</v>
      </c>
      <c r="D368" s="1528"/>
      <c r="E368" s="1538"/>
      <c r="F368" s="1538"/>
      <c r="G368" s="1538"/>
      <c r="H368" s="1531" t="str">
        <f>'Part III-Sources of Funds'!H5</f>
        <v>No</v>
      </c>
      <c r="I368" s="1534" t="s">
        <v>1603</v>
      </c>
      <c r="J368" s="1538"/>
      <c r="K368" s="1538"/>
      <c r="L368" s="1531" t="str">
        <f>'Part III-Sources of Funds'!L5</f>
        <v>No</v>
      </c>
      <c r="M368" s="1534" t="s">
        <v>4481</v>
      </c>
      <c r="N368" s="1538"/>
      <c r="O368" s="1538"/>
      <c r="P368" s="1538"/>
      <c r="Q368" s="1538"/>
    </row>
    <row r="369" spans="1:17" ht="13.5">
      <c r="A369" s="1527"/>
      <c r="B369" s="1531" t="str">
        <f>'Part III-Sources of Funds'!B6</f>
        <v>No</v>
      </c>
      <c r="C369" s="1534" t="s">
        <v>575</v>
      </c>
      <c r="D369" s="1528"/>
      <c r="E369" s="1538"/>
      <c r="F369" s="1538"/>
      <c r="G369" s="1538"/>
      <c r="H369" s="1531">
        <f>'Part III-Sources of Funds'!H6</f>
        <v>0</v>
      </c>
      <c r="I369" s="1534" t="s">
        <v>574</v>
      </c>
      <c r="J369" s="1538"/>
      <c r="K369" s="1538"/>
      <c r="L369" s="1531" t="str">
        <f>'Part III-Sources of Funds'!L6</f>
        <v>Yes</v>
      </c>
      <c r="M369" s="1534" t="s">
        <v>2709</v>
      </c>
      <c r="N369" s="1538"/>
      <c r="O369" s="1538"/>
      <c r="P369" s="1538"/>
      <c r="Q369" s="1587"/>
    </row>
    <row r="370" spans="1:17" ht="13.5">
      <c r="A370" s="1528"/>
      <c r="B370" s="1531" t="str">
        <f>'Part III-Sources of Funds'!B7</f>
        <v>Yes</v>
      </c>
      <c r="C370" s="1534" t="s">
        <v>4452</v>
      </c>
      <c r="D370" s="1538"/>
      <c r="E370" s="1581">
        <f>'Part III-Sources of Funds'!E7</f>
        <v>13175000</v>
      </c>
      <c r="F370" s="1581"/>
      <c r="G370" s="1538"/>
      <c r="H370" s="1531" t="str">
        <f>'Part III-Sources of Funds'!H7</f>
        <v>No</v>
      </c>
      <c r="I370" s="1534" t="s">
        <v>4480</v>
      </c>
      <c r="J370" s="1538"/>
      <c r="K370" s="1538"/>
      <c r="L370" s="1531" t="str">
        <f>'Part III-Sources of Funds'!L7</f>
        <v>No</v>
      </c>
      <c r="M370" s="1534" t="s">
        <v>4488</v>
      </c>
      <c r="N370" s="1538"/>
      <c r="O370" s="1538"/>
      <c r="P370" s="1538"/>
      <c r="Q370" s="1538"/>
    </row>
    <row r="371" spans="1:17" ht="13.5">
      <c r="A371" s="1527"/>
      <c r="B371" s="1531">
        <f>'Part III-Sources of Funds'!B8</f>
        <v>0</v>
      </c>
      <c r="C371" s="1534" t="s">
        <v>1880</v>
      </c>
      <c r="D371" s="1528"/>
      <c r="E371" s="1538"/>
      <c r="F371" s="1538"/>
      <c r="G371" s="1538"/>
      <c r="H371" s="1531" t="str">
        <f>'Part III-Sources of Funds'!H8</f>
        <v>No</v>
      </c>
      <c r="I371" s="1528" t="s">
        <v>2710</v>
      </c>
      <c r="J371" s="1538"/>
      <c r="K371" s="1538"/>
      <c r="L371" s="1531" t="str">
        <f>'Part III-Sources of Funds'!L8</f>
        <v>No</v>
      </c>
      <c r="M371" s="1528" t="s">
        <v>2701</v>
      </c>
      <c r="N371" s="1538"/>
      <c r="O371" s="1538"/>
      <c r="P371" s="1538"/>
      <c r="Q371" s="1538"/>
    </row>
    <row r="372" spans="1:17" ht="13.5">
      <c r="A372" s="1527"/>
      <c r="B372" s="1531">
        <f>'Part III-Sources of Funds'!B9</f>
        <v>0</v>
      </c>
      <c r="C372" s="1534" t="s">
        <v>576</v>
      </c>
      <c r="D372" s="1538"/>
      <c r="E372" s="1538"/>
      <c r="F372" s="1538"/>
      <c r="G372" s="1538"/>
      <c r="H372" s="1531" t="str">
        <f>'Part III-Sources of Funds'!H9</f>
        <v>No</v>
      </c>
      <c r="I372" s="1528" t="s">
        <v>2708</v>
      </c>
      <c r="J372" s="1538"/>
      <c r="K372" s="1538"/>
      <c r="L372" s="1531" t="str">
        <f>'Part III-Sources of Funds'!L9</f>
        <v>No</v>
      </c>
      <c r="M372" s="1553" t="s">
        <v>2702</v>
      </c>
      <c r="N372" s="1538"/>
      <c r="O372" s="1538"/>
      <c r="P372" s="1528"/>
      <c r="Q372" s="1528"/>
    </row>
    <row r="373" spans="1:17" ht="13.5" customHeight="1">
      <c r="A373" s="1527"/>
      <c r="B373" s="1531" t="str">
        <f>'Part III-Sources of Funds'!B10</f>
        <v>Yes</v>
      </c>
      <c r="C373" s="1534" t="s">
        <v>4558</v>
      </c>
      <c r="D373" s="1528"/>
      <c r="E373" s="1581">
        <f>'Part III-Sources of Funds'!E10</f>
        <v>3000000</v>
      </c>
      <c r="F373" s="1581"/>
      <c r="G373" s="1611"/>
      <c r="H373" s="1531" t="str">
        <f>'Part III-Sources of Funds'!H10</f>
        <v>No</v>
      </c>
      <c r="I373" s="1526" t="s">
        <v>3025</v>
      </c>
      <c r="J373" s="1526"/>
      <c r="K373" s="1538"/>
      <c r="L373" s="1531" t="str">
        <f>'Part III-Sources of Funds'!L10</f>
        <v>No</v>
      </c>
      <c r="M373" s="1538" t="str">
        <f>'Part III-Sources of Funds'!M10</f>
        <v>Other Type of Funding - describe type/program here</v>
      </c>
      <c r="N373" s="1538"/>
      <c r="O373" s="1538"/>
      <c r="P373" s="1538"/>
      <c r="Q373" s="1538"/>
    </row>
    <row r="374" spans="1:17" ht="13.5">
      <c r="A374" s="1527"/>
      <c r="B374" s="1531">
        <f>'Part III-Sources of Funds'!B11</f>
        <v>0</v>
      </c>
      <c r="C374" s="1534" t="s">
        <v>4486</v>
      </c>
      <c r="D374" s="1538"/>
      <c r="E374" s="1538"/>
      <c r="F374" s="1538"/>
      <c r="G374" s="1538"/>
      <c r="H374" s="1538"/>
      <c r="I374" s="1526"/>
      <c r="J374" s="1526"/>
      <c r="K374" s="1538"/>
      <c r="L374" s="1538"/>
      <c r="M374" s="1538" t="str">
        <f>'Part III-Sources of Funds'!M11</f>
        <v>Specify Administrator of Other Funding Type here</v>
      </c>
      <c r="N374" s="1538"/>
      <c r="O374" s="1538"/>
      <c r="P374" s="1538"/>
      <c r="Q374" s="1538"/>
    </row>
    <row r="375" spans="1:17" ht="13.5">
      <c r="A375" s="1527"/>
      <c r="B375" s="1527"/>
      <c r="C375" s="1538" t="s">
        <v>4487</v>
      </c>
      <c r="D375" s="1538"/>
      <c r="E375" s="1538" t="str">
        <f>'Part III-Sources of Funds'!E12</f>
        <v>Specify Other HOME Source here</v>
      </c>
      <c r="F375" s="1538"/>
      <c r="G375" s="1538"/>
      <c r="H375" s="1538"/>
      <c r="I375" s="1538"/>
      <c r="J375" s="1538"/>
      <c r="K375" s="1538"/>
      <c r="L375" s="1538"/>
      <c r="M375" s="1538"/>
      <c r="N375" s="1538"/>
      <c r="O375" s="1538"/>
      <c r="P375" s="1538"/>
      <c r="Q375" s="1538"/>
    </row>
    <row r="376" spans="1:17" ht="13.5">
      <c r="A376" s="1527"/>
      <c r="B376" s="1538"/>
      <c r="C376" s="1538" t="s">
        <v>4489</v>
      </c>
      <c r="D376" s="1538"/>
      <c r="E376" s="1581">
        <f>'Part III-Sources of Funds'!E13</f>
        <v>0</v>
      </c>
      <c r="F376" s="1581"/>
      <c r="G376" s="1538"/>
      <c r="H376" s="1538"/>
      <c r="I376" s="1538"/>
      <c r="J376" s="1538"/>
      <c r="K376" s="1538"/>
      <c r="L376" s="1538"/>
      <c r="M376" s="1538"/>
      <c r="N376" s="1538"/>
      <c r="O376" s="1538"/>
      <c r="P376" s="1538"/>
      <c r="Q376" s="1528"/>
    </row>
    <row r="377" spans="1:17" ht="13.5">
      <c r="A377" s="1527"/>
      <c r="B377" s="1538" t="s">
        <v>4491</v>
      </c>
      <c r="C377" s="1528"/>
      <c r="D377" s="1528"/>
      <c r="E377" s="1528"/>
      <c r="F377" s="1528"/>
      <c r="G377" s="1528"/>
      <c r="H377" s="1528"/>
      <c r="I377" s="1528"/>
      <c r="J377" s="1528"/>
      <c r="K377" s="1528"/>
      <c r="L377" s="1528"/>
      <c r="M377" s="1553"/>
      <c r="N377" s="1528"/>
      <c r="O377" s="1528"/>
      <c r="P377" s="1528"/>
      <c r="Q377" s="1528"/>
    </row>
    <row r="378" spans="1:17" ht="13.5">
      <c r="A378" s="1527"/>
      <c r="B378" s="1538"/>
      <c r="C378" s="1538"/>
      <c r="D378" s="1538"/>
      <c r="E378" s="1538"/>
      <c r="F378" s="1538"/>
      <c r="G378" s="1538"/>
      <c r="H378" s="1538"/>
      <c r="I378" s="1538"/>
      <c r="J378" s="1538"/>
      <c r="K378" s="1538"/>
      <c r="L378" s="1528"/>
      <c r="M378" s="1553"/>
      <c r="N378" s="1528"/>
      <c r="O378" s="1528"/>
      <c r="P378" s="1528"/>
      <c r="Q378" s="1528"/>
    </row>
    <row r="379" spans="1:17" ht="13.5">
      <c r="A379" s="1511" t="s">
        <v>777</v>
      </c>
      <c r="B379" s="1529" t="s">
        <v>2437</v>
      </c>
      <c r="C379" s="1528"/>
      <c r="D379" s="1528"/>
      <c r="E379" s="1528"/>
      <c r="F379" s="1528"/>
      <c r="G379" s="1528"/>
      <c r="H379" s="1538"/>
      <c r="I379" s="1538"/>
      <c r="J379" s="1511"/>
      <c r="K379" s="1528"/>
      <c r="L379" s="1528"/>
      <c r="M379" s="1528"/>
      <c r="N379" s="1528"/>
      <c r="O379" s="1528"/>
      <c r="P379" s="1528"/>
      <c r="Q379" s="1528"/>
    </row>
    <row r="380" spans="1:17" ht="13.5">
      <c r="A380" s="1511"/>
      <c r="B380" s="1529"/>
      <c r="C380" s="1528"/>
      <c r="D380" s="1594"/>
      <c r="E380" s="1594"/>
      <c r="F380" s="1594"/>
      <c r="G380" s="1594"/>
      <c r="H380" s="1594"/>
      <c r="I380" s="1594"/>
      <c r="J380" s="1594"/>
      <c r="K380" s="1528"/>
      <c r="L380" s="1528"/>
      <c r="M380" s="1528"/>
      <c r="N380" s="1531"/>
      <c r="O380" s="1531"/>
      <c r="P380" s="1528"/>
      <c r="Q380" s="1528"/>
    </row>
    <row r="381" spans="1:17">
      <c r="A381" s="1528"/>
      <c r="B381" s="1534" t="s">
        <v>1952</v>
      </c>
      <c r="C381" s="1528"/>
      <c r="D381" s="1528"/>
      <c r="E381" s="1528"/>
      <c r="F381" s="1528"/>
      <c r="G381" s="1528"/>
      <c r="H381" s="1528" t="s">
        <v>1353</v>
      </c>
      <c r="I381" s="1528"/>
      <c r="J381" s="1528"/>
      <c r="K381" s="1528"/>
      <c r="L381" s="1528" t="s">
        <v>2076</v>
      </c>
      <c r="M381" s="1528"/>
      <c r="N381" s="1528" t="s">
        <v>1573</v>
      </c>
      <c r="O381" s="1528"/>
      <c r="P381" s="1528" t="s">
        <v>1699</v>
      </c>
      <c r="Q381" s="1528"/>
    </row>
    <row r="382" spans="1:17">
      <c r="A382" s="1528"/>
      <c r="B382" s="1528" t="s">
        <v>1658</v>
      </c>
      <c r="C382" s="1528"/>
      <c r="D382" s="1528"/>
      <c r="E382" s="1528"/>
      <c r="F382" s="1528"/>
      <c r="G382" s="1528"/>
      <c r="H382" s="1528" t="str">
        <f>'Part III-Sources of Funds'!H19</f>
        <v>Community and Southern Bank</v>
      </c>
      <c r="I382" s="1528"/>
      <c r="J382" s="1528"/>
      <c r="K382" s="1528"/>
      <c r="L382" s="1551">
        <f>'Part III-Sources of Funds'!L19</f>
        <v>13175000</v>
      </c>
      <c r="M382" s="1551"/>
      <c r="N382" s="1612">
        <f>'Part III-Sources of Funds'!N19</f>
        <v>4.4999999999999998E-2</v>
      </c>
      <c r="O382" s="1612"/>
      <c r="P382" s="1613">
        <f>'Part III-Sources of Funds'!P19</f>
        <v>24</v>
      </c>
      <c r="Q382" s="1613"/>
    </row>
    <row r="383" spans="1:17">
      <c r="A383" s="1528"/>
      <c r="B383" s="1528" t="s">
        <v>1659</v>
      </c>
      <c r="C383" s="1528"/>
      <c r="D383" s="1528"/>
      <c r="E383" s="1528"/>
      <c r="F383" s="1528"/>
      <c r="G383" s="1528"/>
      <c r="H383" s="1528" t="str">
        <f>'Part III-Sources of Funds'!H20</f>
        <v>DCA HOME LOAN</v>
      </c>
      <c r="I383" s="1528"/>
      <c r="J383" s="1528"/>
      <c r="K383" s="1528"/>
      <c r="L383" s="1551">
        <f>'Part III-Sources of Funds'!L20</f>
        <v>3000000</v>
      </c>
      <c r="M383" s="1551"/>
      <c r="N383" s="1612">
        <f>'Part III-Sources of Funds'!N20</f>
        <v>0</v>
      </c>
      <c r="O383" s="1612"/>
      <c r="P383" s="1613">
        <f>'Part III-Sources of Funds'!P20</f>
        <v>24</v>
      </c>
      <c r="Q383" s="1613"/>
    </row>
    <row r="384" spans="1:17">
      <c r="A384" s="1528"/>
      <c r="B384" s="1528" t="s">
        <v>1660</v>
      </c>
      <c r="C384" s="1528"/>
      <c r="D384" s="1528"/>
      <c r="E384" s="1528"/>
      <c r="F384" s="1528"/>
      <c r="G384" s="1528"/>
      <c r="H384" s="1528">
        <f>'Part III-Sources of Funds'!H21</f>
        <v>0</v>
      </c>
      <c r="I384" s="1528"/>
      <c r="J384" s="1528"/>
      <c r="K384" s="1528"/>
      <c r="L384" s="1551">
        <f>'Part III-Sources of Funds'!L21</f>
        <v>0</v>
      </c>
      <c r="M384" s="1551"/>
      <c r="N384" s="1612">
        <f>'Part III-Sources of Funds'!N21</f>
        <v>0</v>
      </c>
      <c r="O384" s="1612"/>
      <c r="P384" s="1613">
        <f>'Part III-Sources of Funds'!P21</f>
        <v>0</v>
      </c>
      <c r="Q384" s="1613"/>
    </row>
    <row r="385" spans="1:17">
      <c r="A385" s="1528"/>
      <c r="B385" s="1528" t="s">
        <v>2304</v>
      </c>
      <c r="C385" s="1528"/>
      <c r="D385" s="1528"/>
      <c r="E385" s="1528"/>
      <c r="F385" s="1528"/>
      <c r="G385" s="1528"/>
      <c r="H385" s="1528">
        <f>'Part III-Sources of Funds'!H22</f>
        <v>0</v>
      </c>
      <c r="I385" s="1528"/>
      <c r="J385" s="1528"/>
      <c r="K385" s="1528"/>
      <c r="L385" s="1551">
        <f>'Part III-Sources of Funds'!L22</f>
        <v>0</v>
      </c>
      <c r="M385" s="1551"/>
      <c r="N385" s="1612"/>
      <c r="O385" s="1612"/>
      <c r="P385" s="1528"/>
      <c r="Q385" s="1528"/>
    </row>
    <row r="386" spans="1:17" ht="13.5">
      <c r="A386" s="1528"/>
      <c r="B386" s="1528" t="s">
        <v>840</v>
      </c>
      <c r="C386" s="1528"/>
      <c r="D386" s="1528"/>
      <c r="E386" s="1528"/>
      <c r="F386" s="1538"/>
      <c r="G386" s="1538"/>
      <c r="H386" s="1528">
        <f>'Part III-Sources of Funds'!H23</f>
        <v>0</v>
      </c>
      <c r="I386" s="1528"/>
      <c r="J386" s="1528"/>
      <c r="K386" s="1528"/>
      <c r="L386" s="1551">
        <f>'Part III-Sources of Funds'!L23</f>
        <v>0</v>
      </c>
      <c r="M386" s="1551"/>
      <c r="N386" s="1612"/>
      <c r="O386" s="1612"/>
      <c r="P386" s="1528"/>
      <c r="Q386" s="1528"/>
    </row>
    <row r="387" spans="1:17" ht="13.5">
      <c r="A387" s="1528"/>
      <c r="B387" s="1528" t="s">
        <v>671</v>
      </c>
      <c r="C387" s="1528"/>
      <c r="D387" s="1528"/>
      <c r="E387" s="1528"/>
      <c r="F387" s="1538"/>
      <c r="G387" s="1538"/>
      <c r="H387" s="1528">
        <f>'Part III-Sources of Funds'!H24</f>
        <v>0</v>
      </c>
      <c r="I387" s="1528"/>
      <c r="J387" s="1528"/>
      <c r="K387" s="1528"/>
      <c r="L387" s="1551">
        <f>'Part III-Sources of Funds'!L24</f>
        <v>0</v>
      </c>
      <c r="M387" s="1551"/>
      <c r="N387" s="1612"/>
      <c r="O387" s="1612"/>
      <c r="P387" s="1528"/>
      <c r="Q387" s="1528"/>
    </row>
    <row r="388" spans="1:17" ht="13.5">
      <c r="A388" s="1528"/>
      <c r="B388" s="1528" t="s">
        <v>841</v>
      </c>
      <c r="C388" s="1528"/>
      <c r="D388" s="1528"/>
      <c r="E388" s="1528"/>
      <c r="F388" s="1538"/>
      <c r="G388" s="1538"/>
      <c r="H388" s="1528" t="str">
        <f>'Part III-Sources of Funds'!H25</f>
        <v>Direct Tax Credits</v>
      </c>
      <c r="I388" s="1528"/>
      <c r="J388" s="1528"/>
      <c r="K388" s="1528"/>
      <c r="L388" s="1551">
        <f>'Part III-Sources of Funds'!L25</f>
        <v>5825271</v>
      </c>
      <c r="M388" s="1551"/>
      <c r="N388" s="1528"/>
      <c r="O388" s="1528"/>
      <c r="P388" s="1528"/>
      <c r="Q388" s="1528"/>
    </row>
    <row r="389" spans="1:17" ht="13.5">
      <c r="A389" s="1528"/>
      <c r="B389" s="1528" t="s">
        <v>842</v>
      </c>
      <c r="C389" s="1528"/>
      <c r="D389" s="1528"/>
      <c r="E389" s="1528"/>
      <c r="F389" s="1538"/>
      <c r="G389" s="1538"/>
      <c r="H389" s="1528" t="str">
        <f>'Part III-Sources of Funds'!H26</f>
        <v>Direct Tax Credits</v>
      </c>
      <c r="I389" s="1528"/>
      <c r="J389" s="1528"/>
      <c r="K389" s="1528"/>
      <c r="L389" s="1551">
        <f>'Part III-Sources of Funds'!L26</f>
        <v>3051637</v>
      </c>
      <c r="M389" s="1551"/>
      <c r="N389" s="1528"/>
      <c r="O389" s="1538"/>
      <c r="P389" s="1538"/>
      <c r="Q389" s="1528"/>
    </row>
    <row r="390" spans="1:17" ht="13.5">
      <c r="A390" s="1528"/>
      <c r="B390" s="1528" t="s">
        <v>254</v>
      </c>
      <c r="C390" s="1528"/>
      <c r="D390" s="1528">
        <f>'Part III-Sources of Funds'!D27</f>
        <v>0</v>
      </c>
      <c r="E390" s="1528"/>
      <c r="F390" s="1528"/>
      <c r="G390" s="1528"/>
      <c r="H390" s="1528">
        <f>'Part III-Sources of Funds'!H27</f>
        <v>0</v>
      </c>
      <c r="I390" s="1528"/>
      <c r="J390" s="1528"/>
      <c r="K390" s="1528"/>
      <c r="L390" s="1551">
        <f>'Part III-Sources of Funds'!L27</f>
        <v>0</v>
      </c>
      <c r="M390" s="1551"/>
      <c r="N390" s="1528"/>
      <c r="O390" s="1538"/>
      <c r="P390" s="1538"/>
      <c r="Q390" s="1528"/>
    </row>
    <row r="391" spans="1:17" ht="13.5">
      <c r="A391" s="1528"/>
      <c r="B391" s="1528" t="s">
        <v>254</v>
      </c>
      <c r="C391" s="1528"/>
      <c r="D391" s="1528">
        <f>'Part III-Sources of Funds'!D28</f>
        <v>0</v>
      </c>
      <c r="E391" s="1528"/>
      <c r="F391" s="1528"/>
      <c r="G391" s="1528"/>
      <c r="H391" s="1528">
        <f>'Part III-Sources of Funds'!H28</f>
        <v>0</v>
      </c>
      <c r="I391" s="1528"/>
      <c r="J391" s="1528"/>
      <c r="K391" s="1528"/>
      <c r="L391" s="1551">
        <f>'Part III-Sources of Funds'!L28</f>
        <v>0</v>
      </c>
      <c r="M391" s="1551"/>
      <c r="N391" s="1528"/>
      <c r="O391" s="1538"/>
      <c r="P391" s="1538"/>
      <c r="Q391" s="1538"/>
    </row>
    <row r="392" spans="1:17" ht="13.5">
      <c r="A392" s="1528"/>
      <c r="B392" s="1528" t="s">
        <v>254</v>
      </c>
      <c r="C392" s="1528"/>
      <c r="D392" s="1528">
        <f>'Part III-Sources of Funds'!D29</f>
        <v>0</v>
      </c>
      <c r="E392" s="1528"/>
      <c r="F392" s="1528"/>
      <c r="G392" s="1528"/>
      <c r="H392" s="1528">
        <f>'Part III-Sources of Funds'!H29</f>
        <v>0</v>
      </c>
      <c r="I392" s="1528"/>
      <c r="J392" s="1528"/>
      <c r="K392" s="1528"/>
      <c r="L392" s="1551">
        <f>'Part III-Sources of Funds'!L29</f>
        <v>0</v>
      </c>
      <c r="M392" s="1551"/>
      <c r="N392" s="1528"/>
      <c r="O392" s="1538"/>
      <c r="P392" s="1538"/>
      <c r="Q392" s="1538"/>
    </row>
    <row r="393" spans="1:17" ht="13.5">
      <c r="A393" s="1528"/>
      <c r="B393" s="1529" t="s">
        <v>1354</v>
      </c>
      <c r="C393" s="1528"/>
      <c r="D393" s="1528"/>
      <c r="E393" s="1528"/>
      <c r="F393" s="1528"/>
      <c r="G393" s="1528"/>
      <c r="H393" s="1528"/>
      <c r="I393" s="1528"/>
      <c r="J393" s="1538"/>
      <c r="K393" s="1538"/>
      <c r="L393" s="1614">
        <f>SUM(L382:L392)</f>
        <v>25051908</v>
      </c>
      <c r="M393" s="1614"/>
      <c r="N393" s="1533"/>
      <c r="O393" s="1538"/>
      <c r="P393" s="1538"/>
      <c r="Q393" s="1538"/>
    </row>
    <row r="394" spans="1:17" ht="13.5">
      <c r="A394" s="1528"/>
      <c r="B394" s="1534" t="s">
        <v>1355</v>
      </c>
      <c r="C394" s="1528"/>
      <c r="D394" s="1528"/>
      <c r="E394" s="1528"/>
      <c r="F394" s="1528"/>
      <c r="G394" s="1528"/>
      <c r="H394" s="1528"/>
      <c r="I394" s="1528"/>
      <c r="J394" s="1538"/>
      <c r="K394" s="1538"/>
      <c r="L394" s="161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21140504.5</v>
      </c>
      <c r="M394" s="1614"/>
      <c r="N394" s="1582"/>
      <c r="O394" s="1538"/>
      <c r="P394" s="1538"/>
      <c r="Q394" s="1538"/>
    </row>
    <row r="395" spans="1:17" ht="13.5">
      <c r="A395" s="1528"/>
      <c r="B395" s="1534" t="s">
        <v>2245</v>
      </c>
      <c r="C395" s="1528"/>
      <c r="D395" s="1528"/>
      <c r="E395" s="1528"/>
      <c r="F395" s="1528"/>
      <c r="G395" s="1528"/>
      <c r="H395" s="1528"/>
      <c r="I395" s="1528"/>
      <c r="J395" s="1538"/>
      <c r="K395" s="1538"/>
      <c r="L395" s="1615">
        <f>L393-L394</f>
        <v>3911403.5</v>
      </c>
      <c r="M395" s="1615"/>
      <c r="N395" s="1582"/>
      <c r="O395" s="1538"/>
      <c r="P395" s="1538"/>
      <c r="Q395" s="1538"/>
    </row>
    <row r="396" spans="1:17" ht="13.5">
      <c r="A396" s="1570"/>
      <c r="B396" s="1529"/>
      <c r="C396" s="1533"/>
      <c r="D396" s="1533"/>
      <c r="E396" s="1533"/>
      <c r="F396" s="1533"/>
      <c r="G396" s="1533"/>
      <c r="H396" s="1533"/>
      <c r="I396" s="1533"/>
      <c r="J396" s="1533"/>
      <c r="K396" s="1533"/>
      <c r="L396" s="1533"/>
      <c r="M396" s="1531"/>
      <c r="N396" s="1531"/>
      <c r="O396" s="1616"/>
      <c r="P396" s="1616"/>
      <c r="Q396" s="1616"/>
    </row>
    <row r="397" spans="1:17" ht="13.5">
      <c r="A397" s="1511" t="s">
        <v>779</v>
      </c>
      <c r="B397" s="1529" t="s">
        <v>839</v>
      </c>
      <c r="C397" s="1533"/>
      <c r="D397" s="1533"/>
      <c r="E397" s="1533"/>
      <c r="F397" s="1533"/>
      <c r="G397" s="1533"/>
      <c r="H397" s="1533"/>
      <c r="I397" s="1533"/>
      <c r="J397" s="1533"/>
      <c r="K397" s="1533"/>
      <c r="L397" s="1533"/>
      <c r="M397" s="1531"/>
      <c r="N397" s="1531"/>
      <c r="O397" s="1533"/>
      <c r="P397" s="1616"/>
      <c r="Q397" s="1616"/>
    </row>
    <row r="398" spans="1:17" ht="13.5" customHeight="1">
      <c r="A398" s="1528"/>
      <c r="B398" s="1528"/>
      <c r="C398" s="1528"/>
      <c r="D398" s="1528"/>
      <c r="E398" s="1528"/>
      <c r="F398" s="1531"/>
      <c r="G398" s="1531"/>
      <c r="H398" s="1528"/>
      <c r="I398" s="1528"/>
      <c r="J398" s="1538"/>
      <c r="K398" s="1539" t="s">
        <v>2187</v>
      </c>
      <c r="L398" s="1531" t="s">
        <v>1351</v>
      </c>
      <c r="M398" s="1531" t="s">
        <v>1356</v>
      </c>
      <c r="N398" s="1582" t="s">
        <v>36</v>
      </c>
      <c r="O398" s="1582"/>
      <c r="P398" s="1531"/>
      <c r="Q398" s="1511"/>
    </row>
    <row r="399" spans="1:17">
      <c r="A399" s="1528"/>
      <c r="B399" s="1534" t="s">
        <v>1952</v>
      </c>
      <c r="C399" s="1528"/>
      <c r="D399" s="1528"/>
      <c r="E399" s="1528" t="s">
        <v>1353</v>
      </c>
      <c r="F399" s="1528"/>
      <c r="G399" s="1528"/>
      <c r="H399" s="1528"/>
      <c r="I399" s="1528" t="s">
        <v>511</v>
      </c>
      <c r="J399" s="1528"/>
      <c r="K399" s="1531" t="s">
        <v>1884</v>
      </c>
      <c r="L399" s="1531" t="s">
        <v>2303</v>
      </c>
      <c r="M399" s="1531" t="s">
        <v>2303</v>
      </c>
      <c r="N399" s="1582"/>
      <c r="O399" s="1582"/>
      <c r="P399" s="1528" t="s">
        <v>76</v>
      </c>
      <c r="Q399" s="1528"/>
    </row>
    <row r="400" spans="1:17">
      <c r="A400" s="1528"/>
      <c r="B400" s="1528" t="s">
        <v>2714</v>
      </c>
      <c r="C400" s="1528"/>
      <c r="D400" s="1528"/>
      <c r="E400" s="1528" t="str">
        <f>'Part III-Sources of Funds'!E37</f>
        <v>Walker and Dunlap</v>
      </c>
      <c r="F400" s="1528"/>
      <c r="G400" s="1528"/>
      <c r="H400" s="1528"/>
      <c r="I400" s="1558">
        <f>'Part III-Sources of Funds'!I37</f>
        <v>6676515</v>
      </c>
      <c r="J400" s="1528"/>
      <c r="K400" s="1617">
        <f>'Part III-Sources of Funds'!K37</f>
        <v>4.1500000000000002E-2</v>
      </c>
      <c r="L400" s="1531">
        <f>'Part III-Sources of Funds'!L37</f>
        <v>18</v>
      </c>
      <c r="M400" s="1531">
        <f>'Part III-Sources of Funds'!M37</f>
        <v>35</v>
      </c>
      <c r="N400" s="1618">
        <f>'Part III-Sources of Funds'!N37</f>
        <v>361987.34381576651</v>
      </c>
      <c r="O400" s="1618"/>
      <c r="P400" s="1528" t="str">
        <f>'Part III-Sources of Funds'!P37</f>
        <v>Amortizing</v>
      </c>
      <c r="Q400" s="1528"/>
    </row>
    <row r="401" spans="1:17">
      <c r="A401" s="1528"/>
      <c r="B401" s="1528" t="s">
        <v>2715</v>
      </c>
      <c r="C401" s="1528"/>
      <c r="D401" s="1528"/>
      <c r="E401" s="1528" t="str">
        <f>'Part III-Sources of Funds'!E38</f>
        <v>DCA HOME Loan</v>
      </c>
      <c r="F401" s="1528"/>
      <c r="G401" s="1528"/>
      <c r="H401" s="1528"/>
      <c r="I401" s="1558">
        <f>'Part III-Sources of Funds'!I38</f>
        <v>3000000</v>
      </c>
      <c r="J401" s="1528"/>
      <c r="K401" s="1617">
        <f>'Part III-Sources of Funds'!K38</f>
        <v>0.01</v>
      </c>
      <c r="L401" s="1531">
        <f>'Part III-Sources of Funds'!L38</f>
        <v>18</v>
      </c>
      <c r="M401" s="1531">
        <f>'Part III-Sources of Funds'!M38</f>
        <v>35</v>
      </c>
      <c r="N401" s="1618">
        <f>'Part III-Sources of Funds'!N38</f>
        <v>101622.85161720682</v>
      </c>
      <c r="O401" s="1618"/>
      <c r="P401" s="1528" t="str">
        <f>'Part III-Sources of Funds'!P38</f>
        <v>Amortizing</v>
      </c>
      <c r="Q401" s="1528"/>
    </row>
    <row r="402" spans="1:17">
      <c r="A402" s="1528"/>
      <c r="B402" s="1528" t="s">
        <v>2716</v>
      </c>
      <c r="C402" s="1528"/>
      <c r="D402" s="1528"/>
      <c r="E402" s="1528">
        <f>'Part III-Sources of Funds'!E39</f>
        <v>0</v>
      </c>
      <c r="F402" s="1528"/>
      <c r="G402" s="1528"/>
      <c r="H402" s="1528"/>
      <c r="I402" s="1558">
        <f>'Part III-Sources of Funds'!I39</f>
        <v>0</v>
      </c>
      <c r="J402" s="1528"/>
      <c r="K402" s="1617">
        <f>'Part III-Sources of Funds'!K39</f>
        <v>0</v>
      </c>
      <c r="L402" s="1531">
        <f>'Part III-Sources of Funds'!L39</f>
        <v>0</v>
      </c>
      <c r="M402" s="1531">
        <f>'Part III-Sources of Funds'!M39</f>
        <v>0</v>
      </c>
      <c r="N402" s="1618" t="str">
        <f>'Part III-Sources of Funds'!N39</f>
        <v/>
      </c>
      <c r="O402" s="1618"/>
      <c r="P402" s="1528">
        <f>'Part III-Sources of Funds'!P39</f>
        <v>0</v>
      </c>
      <c r="Q402" s="1528"/>
    </row>
    <row r="403" spans="1:17">
      <c r="A403" s="1528"/>
      <c r="B403" s="1528" t="s">
        <v>778</v>
      </c>
      <c r="C403" s="1528">
        <f>'Part III-Sources of Funds'!C40</f>
        <v>0</v>
      </c>
      <c r="D403" s="1528"/>
      <c r="E403" s="1528">
        <f>'Part III-Sources of Funds'!E40</f>
        <v>0</v>
      </c>
      <c r="F403" s="1528"/>
      <c r="G403" s="1528"/>
      <c r="H403" s="1528"/>
      <c r="I403" s="1558">
        <f>'Part III-Sources of Funds'!I40</f>
        <v>0</v>
      </c>
      <c r="J403" s="1528"/>
      <c r="K403" s="1617">
        <f>'Part III-Sources of Funds'!K40</f>
        <v>0</v>
      </c>
      <c r="L403" s="1531">
        <f>'Part III-Sources of Funds'!L40</f>
        <v>0</v>
      </c>
      <c r="M403" s="1531">
        <f>'Part III-Sources of Funds'!M40</f>
        <v>0</v>
      </c>
      <c r="N403" s="1618" t="str">
        <f>'Part III-Sources of Funds'!N40</f>
        <v/>
      </c>
      <c r="O403" s="1618"/>
      <c r="P403" s="1528">
        <f>'Part III-Sources of Funds'!P40</f>
        <v>0</v>
      </c>
      <c r="Q403" s="1528"/>
    </row>
    <row r="404" spans="1:17">
      <c r="A404" s="1528"/>
      <c r="B404" s="1528" t="s">
        <v>2889</v>
      </c>
      <c r="C404" s="1528"/>
      <c r="D404" s="1528"/>
      <c r="E404" s="1528">
        <f>'Part III-Sources of Funds'!E41</f>
        <v>0</v>
      </c>
      <c r="F404" s="1528"/>
      <c r="G404" s="1528"/>
      <c r="H404" s="1528"/>
      <c r="I404" s="1558">
        <f>'Part III-Sources of Funds'!I41</f>
        <v>0</v>
      </c>
      <c r="J404" s="1528"/>
      <c r="K404" s="1617"/>
      <c r="L404" s="1531"/>
      <c r="M404" s="1531"/>
      <c r="N404" s="1618" t="str">
        <f t="shared" ref="N404" si="0">IF(OR(I404&lt;=0,I404=""),"",IF(P404="Amortizing",-PMT(K404/12,M404*12,I404,0,0)*12,""))</f>
        <v/>
      </c>
      <c r="O404" s="1618"/>
      <c r="P404" s="1528"/>
      <c r="Q404" s="1528"/>
    </row>
    <row r="405" spans="1:17">
      <c r="A405" s="1528"/>
      <c r="B405" s="1528" t="s">
        <v>238</v>
      </c>
      <c r="C405" s="1528"/>
      <c r="D405" s="1619">
        <f>'Part III-Sources of Funds'!D42</f>
        <v>0.166411</v>
      </c>
      <c r="E405" s="1528" t="str">
        <f>'Part III-Sources of Funds'!E42</f>
        <v>Prestwick</v>
      </c>
      <c r="F405" s="1528"/>
      <c r="G405" s="1528"/>
      <c r="H405" s="1528"/>
      <c r="I405" s="1558">
        <f>'Part III-Sources of Funds'!I42</f>
        <v>416027.5</v>
      </c>
      <c r="J405" s="1528"/>
      <c r="K405" s="1617">
        <f>'Part III-Sources of Funds'!K42</f>
        <v>0</v>
      </c>
      <c r="L405" s="1531">
        <f>'Part III-Sources of Funds'!L42</f>
        <v>10</v>
      </c>
      <c r="M405" s="1531">
        <f>'Part III-Sources of Funds'!M42</f>
        <v>10</v>
      </c>
      <c r="N405" s="1618">
        <f>'Part III-Sources of Funds'!N42</f>
        <v>41602.75</v>
      </c>
      <c r="O405" s="1618"/>
      <c r="P405" s="1528" t="str">
        <f>'Part III-Sources of Funds'!P42</f>
        <v>Amortizing</v>
      </c>
      <c r="Q405" s="1528"/>
    </row>
    <row r="406" spans="1:17">
      <c r="A406" s="1528"/>
      <c r="B406" s="1528" t="s">
        <v>2304</v>
      </c>
      <c r="C406" s="1528"/>
      <c r="D406" s="1528"/>
      <c r="E406" s="1528">
        <f>'Part III-Sources of Funds'!E43</f>
        <v>0</v>
      </c>
      <c r="F406" s="1528"/>
      <c r="G406" s="1528"/>
      <c r="H406" s="1528"/>
      <c r="I406" s="1558">
        <f>'Part III-Sources of Funds'!I43</f>
        <v>0</v>
      </c>
      <c r="J406" s="1528"/>
      <c r="K406" s="1528"/>
      <c r="L406" s="1528"/>
      <c r="M406" s="1528"/>
      <c r="N406" s="1528"/>
      <c r="O406" s="1528"/>
      <c r="P406" s="1528"/>
      <c r="Q406" s="1528"/>
    </row>
    <row r="407" spans="1:17" ht="13.5">
      <c r="A407" s="1528"/>
      <c r="B407" s="1528" t="s">
        <v>840</v>
      </c>
      <c r="C407" s="1528"/>
      <c r="D407" s="1528"/>
      <c r="E407" s="1528">
        <f>'Part III-Sources of Funds'!E44</f>
        <v>0</v>
      </c>
      <c r="F407" s="1528"/>
      <c r="G407" s="1528"/>
      <c r="H407" s="1528"/>
      <c r="I407" s="1558">
        <f>'Part III-Sources of Funds'!I44</f>
        <v>0</v>
      </c>
      <c r="J407" s="1528"/>
      <c r="K407" s="1538"/>
      <c r="L407" s="1620" t="s">
        <v>542</v>
      </c>
      <c r="M407" s="1620"/>
      <c r="N407" s="1621" t="s">
        <v>543</v>
      </c>
      <c r="O407" s="1621"/>
      <c r="P407" s="1531" t="s">
        <v>541</v>
      </c>
      <c r="Q407" s="1528"/>
    </row>
    <row r="408" spans="1:17" ht="13.5">
      <c r="A408" s="1528"/>
      <c r="B408" s="1528" t="s">
        <v>841</v>
      </c>
      <c r="C408" s="1528"/>
      <c r="D408" s="1528"/>
      <c r="E408" s="1528" t="str">
        <f>'Part III-Sources of Funds'!E45</f>
        <v>Direct Tax Credits</v>
      </c>
      <c r="F408" s="1528"/>
      <c r="G408" s="1528"/>
      <c r="H408" s="1528"/>
      <c r="I408" s="1558">
        <f>'Part III-Sources of Funds'!I45</f>
        <v>8961202</v>
      </c>
      <c r="J408" s="1528"/>
      <c r="K408" s="1538"/>
      <c r="L408" s="1622">
        <f>'Part IV-Uses of Funds'!$J$174*10*'Part IV-Uses of Funds'!$N$167</f>
        <v>8962096.5</v>
      </c>
      <c r="M408" s="1622"/>
      <c r="N408" s="1623">
        <f>I408-L408</f>
        <v>-894.5</v>
      </c>
      <c r="O408" s="1623"/>
      <c r="P408" s="1624" t="s">
        <v>2660</v>
      </c>
      <c r="Q408" s="1528"/>
    </row>
    <row r="409" spans="1:17" ht="13.5">
      <c r="A409" s="1528"/>
      <c r="B409" s="1528" t="s">
        <v>842</v>
      </c>
      <c r="C409" s="1528"/>
      <c r="D409" s="1528"/>
      <c r="E409" s="1528" t="str">
        <f>'Part III-Sources of Funds'!E46</f>
        <v>Direct Tax Credits</v>
      </c>
      <c r="F409" s="1528"/>
      <c r="G409" s="1528"/>
      <c r="H409" s="1528"/>
      <c r="I409" s="1558">
        <f>'Part III-Sources of Funds'!I46</f>
        <v>4694432</v>
      </c>
      <c r="J409" s="1528"/>
      <c r="K409" s="1538"/>
      <c r="L409" s="1622">
        <f>'Part IV-Uses of Funds'!$J$174*10*'Part IV-Uses of Funds'!$Q$167</f>
        <v>4694431.5</v>
      </c>
      <c r="M409" s="1622"/>
      <c r="N409" s="1623">
        <f>I409-L409</f>
        <v>0.5</v>
      </c>
      <c r="O409" s="1623"/>
      <c r="P409" s="1625">
        <f>I408/I418</f>
        <v>0.37734274039945764</v>
      </c>
      <c r="Q409" s="1528"/>
    </row>
    <row r="410" spans="1:17" ht="13.5">
      <c r="A410" s="1528"/>
      <c r="B410" s="1528" t="s">
        <v>1471</v>
      </c>
      <c r="C410" s="1528"/>
      <c r="D410" s="1528"/>
      <c r="E410" s="1528">
        <f>'Part III-Sources of Funds'!E47</f>
        <v>0</v>
      </c>
      <c r="F410" s="1528"/>
      <c r="G410" s="1528"/>
      <c r="H410" s="1528"/>
      <c r="I410" s="1558">
        <f>'Part III-Sources of Funds'!I47</f>
        <v>0</v>
      </c>
      <c r="J410" s="1528"/>
      <c r="K410" s="1538"/>
      <c r="L410" s="1538"/>
      <c r="M410" s="1538"/>
      <c r="N410" s="1538"/>
      <c r="O410" s="1538"/>
      <c r="P410" s="1625">
        <f>I409/I418</f>
        <v>0.19767547205150676</v>
      </c>
      <c r="Q410" s="1528"/>
    </row>
    <row r="411" spans="1:17" ht="13.5">
      <c r="A411" s="1528"/>
      <c r="B411" s="1528" t="s">
        <v>556</v>
      </c>
      <c r="C411" s="1528"/>
      <c r="D411" s="1528"/>
      <c r="E411" s="1528">
        <f>'Part III-Sources of Funds'!E48</f>
        <v>0</v>
      </c>
      <c r="F411" s="1528"/>
      <c r="G411" s="1528"/>
      <c r="H411" s="1528"/>
      <c r="I411" s="1558">
        <f>'Part III-Sources of Funds'!I48</f>
        <v>0</v>
      </c>
      <c r="J411" s="1528"/>
      <c r="K411" s="1528"/>
      <c r="L411" s="1538"/>
      <c r="M411" s="1538"/>
      <c r="N411" s="1538"/>
      <c r="O411" s="1538"/>
      <c r="P411" s="1625">
        <f>SUM(P409:P410)</f>
        <v>0.57501821245096441</v>
      </c>
      <c r="Q411" s="1528"/>
    </row>
    <row r="412" spans="1:17" ht="13.5">
      <c r="A412" s="1528"/>
      <c r="B412" s="1528" t="s">
        <v>1950</v>
      </c>
      <c r="C412" s="1528"/>
      <c r="D412" s="1528"/>
      <c r="E412" s="1528">
        <f>'Part III-Sources of Funds'!E49</f>
        <v>0</v>
      </c>
      <c r="F412" s="1528"/>
      <c r="G412" s="1528"/>
      <c r="H412" s="1528"/>
      <c r="I412" s="1558">
        <f>'Part III-Sources of Funds'!I49</f>
        <v>0</v>
      </c>
      <c r="J412" s="1528"/>
      <c r="K412" s="1538"/>
      <c r="L412" s="1538"/>
      <c r="M412" s="1538"/>
      <c r="N412" s="1626"/>
      <c r="O412" s="1626"/>
      <c r="P412" s="1626"/>
      <c r="Q412" s="1528"/>
    </row>
    <row r="413" spans="1:17" ht="13.5">
      <c r="A413" s="1528"/>
      <c r="B413" s="1528" t="s">
        <v>1951</v>
      </c>
      <c r="C413" s="1528"/>
      <c r="D413" s="1528"/>
      <c r="E413" s="1528">
        <f>'Part III-Sources of Funds'!E50</f>
        <v>0</v>
      </c>
      <c r="F413" s="1528"/>
      <c r="G413" s="1528"/>
      <c r="H413" s="1528"/>
      <c r="I413" s="1558">
        <f>'Part III-Sources of Funds'!I50</f>
        <v>0</v>
      </c>
      <c r="J413" s="1528"/>
      <c r="K413" s="1538"/>
      <c r="L413" s="1538"/>
      <c r="M413" s="1626"/>
      <c r="N413" s="1626"/>
      <c r="O413" s="1626"/>
      <c r="P413" s="1626"/>
      <c r="Q413" s="1528"/>
    </row>
    <row r="414" spans="1:17" ht="13.5">
      <c r="A414" s="1528"/>
      <c r="B414" s="1528" t="s">
        <v>778</v>
      </c>
      <c r="C414" s="1528">
        <f>'Part III-Sources of Funds'!C51</f>
        <v>0</v>
      </c>
      <c r="D414" s="1528"/>
      <c r="E414" s="1528">
        <f>'Part III-Sources of Funds'!E51</f>
        <v>0</v>
      </c>
      <c r="F414" s="1528"/>
      <c r="G414" s="1528"/>
      <c r="H414" s="1528"/>
      <c r="I414" s="1558">
        <f>'Part III-Sources of Funds'!I51</f>
        <v>0</v>
      </c>
      <c r="J414" s="1528"/>
      <c r="K414" s="1538"/>
      <c r="L414" s="1538"/>
      <c r="M414" s="1626"/>
      <c r="N414" s="1626"/>
      <c r="O414" s="1626"/>
      <c r="P414" s="1626"/>
      <c r="Q414" s="1528"/>
    </row>
    <row r="415" spans="1:17">
      <c r="A415" s="1528"/>
      <c r="B415" s="1528" t="s">
        <v>778</v>
      </c>
      <c r="C415" s="1528">
        <f>'Part III-Sources of Funds'!C52</f>
        <v>0</v>
      </c>
      <c r="D415" s="1528"/>
      <c r="E415" s="1528">
        <f>'Part III-Sources of Funds'!E52</f>
        <v>0</v>
      </c>
      <c r="F415" s="1528"/>
      <c r="G415" s="1528"/>
      <c r="H415" s="1528"/>
      <c r="I415" s="1558">
        <f>'Part III-Sources of Funds'!I52</f>
        <v>0</v>
      </c>
      <c r="J415" s="1528"/>
      <c r="K415" s="1528"/>
      <c r="L415" s="1531"/>
      <c r="M415" s="1626"/>
      <c r="N415" s="1626"/>
      <c r="O415" s="1626"/>
      <c r="P415" s="1626"/>
      <c r="Q415" s="1528"/>
    </row>
    <row r="416" spans="1:17">
      <c r="A416" s="1528"/>
      <c r="B416" s="1528" t="s">
        <v>778</v>
      </c>
      <c r="C416" s="1528">
        <f>'Part III-Sources of Funds'!C53</f>
        <v>0</v>
      </c>
      <c r="D416" s="1528"/>
      <c r="E416" s="1528">
        <f>'Part III-Sources of Funds'!E53</f>
        <v>0</v>
      </c>
      <c r="F416" s="1528"/>
      <c r="G416" s="1528"/>
      <c r="H416" s="1528"/>
      <c r="I416" s="1558">
        <f>'Part III-Sources of Funds'!I53</f>
        <v>0</v>
      </c>
      <c r="J416" s="1528"/>
      <c r="K416" s="1528"/>
      <c r="L416" s="1531"/>
      <c r="M416" s="1626"/>
      <c r="N416" s="1626"/>
      <c r="O416" s="1626"/>
      <c r="P416" s="1626"/>
      <c r="Q416" s="1528"/>
    </row>
    <row r="417" spans="1:24" ht="13.5">
      <c r="A417" s="1528"/>
      <c r="B417" s="1534" t="s">
        <v>2305</v>
      </c>
      <c r="C417" s="1528"/>
      <c r="D417" s="1528"/>
      <c r="E417" s="1528"/>
      <c r="F417" s="1528"/>
      <c r="G417" s="1528"/>
      <c r="H417" s="1538"/>
      <c r="I417" s="1614">
        <f>SUM(I400:J416)</f>
        <v>23748176.5</v>
      </c>
      <c r="J417" s="1614"/>
      <c r="K417" s="1528"/>
      <c r="L417" s="1531"/>
      <c r="M417" s="1626"/>
      <c r="N417" s="1626"/>
      <c r="O417" s="1626"/>
      <c r="P417" s="1626"/>
      <c r="Q417" s="1528"/>
    </row>
    <row r="418" spans="1:24" ht="13.5">
      <c r="A418" s="1528"/>
      <c r="B418" s="1534" t="s">
        <v>2306</v>
      </c>
      <c r="C418" s="1528"/>
      <c r="D418" s="1528"/>
      <c r="E418" s="1528"/>
      <c r="F418" s="1528"/>
      <c r="G418" s="1528"/>
      <c r="H418" s="1538"/>
      <c r="I418" s="1614">
        <f>'Part IV-Uses of Funds'!$G$131</f>
        <v>23748176.5</v>
      </c>
      <c r="J418" s="1614"/>
      <c r="K418" s="1528"/>
      <c r="L418" s="1531"/>
      <c r="M418" s="1626"/>
      <c r="N418" s="1626"/>
      <c r="O418" s="1626"/>
      <c r="P418" s="1626"/>
      <c r="Q418" s="1528"/>
    </row>
    <row r="419" spans="1:24" ht="13.5">
      <c r="A419" s="1528"/>
      <c r="B419" s="1534" t="s">
        <v>1591</v>
      </c>
      <c r="C419" s="1528"/>
      <c r="D419" s="1528"/>
      <c r="E419" s="1528"/>
      <c r="F419" s="1528"/>
      <c r="G419" s="1528"/>
      <c r="H419" s="1538"/>
      <c r="I419" s="1615">
        <f>I417-I418</f>
        <v>0</v>
      </c>
      <c r="J419" s="1615"/>
      <c r="K419" s="1528"/>
      <c r="L419" s="1531"/>
      <c r="M419" s="1626"/>
      <c r="N419" s="1626"/>
      <c r="O419" s="1626"/>
      <c r="P419" s="1626"/>
      <c r="Q419" s="1528"/>
    </row>
    <row r="420" spans="1:24">
      <c r="A420" s="1528" t="s">
        <v>3938</v>
      </c>
      <c r="B420" s="1534"/>
      <c r="C420" s="1528"/>
      <c r="D420" s="1528"/>
      <c r="E420" s="1528"/>
      <c r="F420" s="1528"/>
      <c r="G420" s="1528"/>
      <c r="H420" s="1627"/>
      <c r="I420" s="1627"/>
      <c r="J420" s="1533"/>
      <c r="K420" s="1528"/>
      <c r="L420" s="1531"/>
      <c r="M420" s="1626"/>
      <c r="N420" s="1626"/>
      <c r="O420" s="1626"/>
      <c r="P420" s="1626"/>
      <c r="Q420" s="1528"/>
    </row>
    <row r="421" spans="1:24">
      <c r="A421" s="1533"/>
      <c r="B421" s="1533"/>
      <c r="C421" s="1533"/>
      <c r="D421" s="1533"/>
      <c r="E421" s="1533"/>
      <c r="F421" s="1533"/>
      <c r="G421" s="1533"/>
      <c r="H421" s="1533"/>
      <c r="I421" s="1533"/>
      <c r="J421" s="1533"/>
      <c r="K421" s="1533"/>
      <c r="L421" s="1533"/>
      <c r="M421" s="1533"/>
      <c r="N421" s="1533"/>
      <c r="O421" s="1533"/>
      <c r="P421" s="1533"/>
      <c r="Q421" s="1533"/>
    </row>
    <row r="422" spans="1:24">
      <c r="A422" s="1511" t="s">
        <v>1868</v>
      </c>
      <c r="B422" s="1511" t="s">
        <v>599</v>
      </c>
      <c r="C422" s="1533"/>
      <c r="D422" s="1533"/>
      <c r="E422" s="1533"/>
      <c r="F422" s="1533"/>
      <c r="G422" s="1533"/>
      <c r="H422" s="1533"/>
      <c r="I422" s="1533"/>
      <c r="J422" s="1533"/>
      <c r="K422" s="1511" t="s">
        <v>1868</v>
      </c>
      <c r="L422" s="1511" t="s">
        <v>81</v>
      </c>
      <c r="M422" s="1533"/>
      <c r="N422" s="1533"/>
      <c r="O422" s="1533"/>
      <c r="P422" s="1533"/>
      <c r="Q422" s="1533"/>
    </row>
    <row r="423" spans="1:24" ht="13.5">
      <c r="A423" s="1616"/>
      <c r="B423" s="1628"/>
      <c r="C423" s="1616"/>
      <c r="D423" s="1616"/>
      <c r="E423" s="1616"/>
      <c r="F423" s="1616"/>
      <c r="G423" s="1616"/>
      <c r="H423" s="1616"/>
      <c r="I423" s="1616"/>
      <c r="J423" s="1616"/>
      <c r="K423" s="1616"/>
      <c r="L423" s="1616"/>
      <c r="M423" s="1616"/>
      <c r="N423" s="1616"/>
      <c r="O423" s="1616"/>
      <c r="P423" s="1616"/>
      <c r="Q423" s="1616"/>
    </row>
    <row r="424" spans="1:24" ht="12.75" customHeight="1">
      <c r="A424" s="1596">
        <f>'Part III-Sources of Funds'!A61</f>
        <v>0</v>
      </c>
      <c r="B424" s="1629"/>
      <c r="C424" s="1629"/>
      <c r="D424" s="1629"/>
      <c r="E424" s="1629"/>
      <c r="F424" s="1629"/>
      <c r="G424" s="1629"/>
      <c r="H424" s="1629"/>
      <c r="I424" s="1629"/>
      <c r="J424" s="1629"/>
      <c r="K424" s="1596">
        <f>'Part III-Sources of Funds'!K61</f>
        <v>0</v>
      </c>
      <c r="L424" s="1629"/>
      <c r="M424" s="1629"/>
      <c r="N424" s="1629"/>
      <c r="O424" s="1629"/>
      <c r="P424" s="1629"/>
      <c r="Q424" s="1629"/>
    </row>
    <row r="430" spans="1:24">
      <c r="A430" s="1511" t="str">
        <f>CONCATENATE("DRAFT PART FOUR -  USES OF FUNDS","  -  ",'Part I-Project Information'!$O$4," ",'Part I-Project Information'!$F$24,", ",'Part I-Project Information'!F457,", ",'Part I-Project Information'!J458," County")</f>
        <v>DRAFT PART FOUR -  USES OF FUNDS  -  2016-508 Gateway Capitol View, ,  County</v>
      </c>
      <c r="B430" s="1511"/>
      <c r="C430" s="1511"/>
      <c r="D430" s="1511"/>
      <c r="E430" s="1511"/>
      <c r="F430" s="1511"/>
      <c r="G430" s="1511"/>
      <c r="H430" s="1511"/>
      <c r="I430" s="1511"/>
      <c r="J430" s="1511"/>
      <c r="K430" s="1511"/>
      <c r="L430" s="1511"/>
      <c r="M430" s="1511"/>
      <c r="N430" s="1511"/>
      <c r="O430" s="1511"/>
      <c r="P430" s="1511"/>
      <c r="Q430" s="1511"/>
      <c r="R430" s="1511"/>
      <c r="S430" s="1511"/>
      <c r="T430" s="1511"/>
      <c r="U430" s="1528"/>
      <c r="V430" s="1528"/>
      <c r="W430" s="1511" t="str">
        <f>A430</f>
        <v>DRAFT PART FOUR -  USES OF FUNDS  -  2016-508 Gateway Capitol View, ,  County</v>
      </c>
      <c r="X430" s="1511"/>
    </row>
    <row r="431" spans="1:24">
      <c r="A431" s="1533"/>
      <c r="B431" s="1533"/>
      <c r="C431" s="1533"/>
      <c r="D431" s="1533"/>
      <c r="E431" s="1533"/>
      <c r="F431" s="1533"/>
      <c r="G431" s="1533"/>
      <c r="H431" s="1533"/>
      <c r="I431" s="1533"/>
      <c r="J431" s="1533"/>
      <c r="K431" s="1533"/>
      <c r="L431" s="1533"/>
      <c r="M431" s="1533"/>
      <c r="N431" s="1533"/>
      <c r="O431" s="1533"/>
      <c r="P431" s="1533"/>
      <c r="Q431" s="1533"/>
      <c r="R431" s="1533"/>
      <c r="S431" s="1533"/>
      <c r="T431" s="1533"/>
      <c r="U431" s="1533"/>
      <c r="V431" s="1533"/>
      <c r="W431" s="1533"/>
      <c r="X431" s="1533"/>
    </row>
    <row r="432" spans="1:24">
      <c r="A432" s="1511"/>
      <c r="B432" s="1511"/>
      <c r="C432" s="1511"/>
      <c r="D432" s="1511"/>
      <c r="E432" s="1511"/>
      <c r="F432" s="1511"/>
      <c r="G432" s="1511"/>
      <c r="H432" s="1511"/>
      <c r="I432" s="1511"/>
      <c r="J432" s="1511"/>
      <c r="K432" s="1511"/>
      <c r="L432" s="1511"/>
      <c r="M432" s="1511"/>
      <c r="N432" s="1511"/>
      <c r="O432" s="1511"/>
      <c r="P432" s="1511"/>
      <c r="Q432" s="1511"/>
      <c r="R432" s="1511"/>
      <c r="S432" s="1511"/>
      <c r="T432" s="1511"/>
      <c r="U432" s="1528"/>
      <c r="V432" s="1528"/>
      <c r="W432" s="1528"/>
      <c r="X432" s="1528"/>
    </row>
    <row r="433" spans="1:24" ht="16.5">
      <c r="A433" s="1527"/>
      <c r="B433" s="1527"/>
      <c r="C433" s="1527"/>
      <c r="D433" s="1630"/>
      <c r="E433" s="1630"/>
      <c r="F433" s="1630"/>
      <c r="G433" s="1630"/>
      <c r="H433" s="1630"/>
      <c r="I433" s="1511"/>
      <c r="J433" s="1527"/>
      <c r="K433" s="1527"/>
      <c r="L433" s="1527"/>
      <c r="M433" s="1527"/>
      <c r="N433" s="1527"/>
      <c r="O433" s="1527"/>
      <c r="P433" s="1527"/>
      <c r="Q433" s="1527"/>
      <c r="R433" s="1527"/>
      <c r="S433" s="1527"/>
      <c r="T433" s="1527"/>
      <c r="U433" s="1528"/>
      <c r="V433" s="1528"/>
      <c r="W433" s="1528"/>
      <c r="X433" s="1528"/>
    </row>
    <row r="434" spans="1:24" ht="17.25" customHeight="1">
      <c r="A434" s="1630" t="s">
        <v>646</v>
      </c>
      <c r="B434" s="1630" t="s">
        <v>940</v>
      </c>
      <c r="C434" s="1528"/>
      <c r="D434" s="1528"/>
      <c r="E434" s="1528"/>
      <c r="F434" s="1528"/>
      <c r="G434" s="1630"/>
      <c r="H434" s="1630"/>
      <c r="I434" s="1630"/>
      <c r="J434" s="1631" t="s">
        <v>284</v>
      </c>
      <c r="K434" s="1631"/>
      <c r="L434" s="1551"/>
      <c r="M434" s="1632" t="s">
        <v>512</v>
      </c>
      <c r="N434" s="1632"/>
      <c r="O434" s="1528"/>
      <c r="P434" s="1631" t="s">
        <v>285</v>
      </c>
      <c r="Q434" s="1631"/>
      <c r="R434" s="1528"/>
      <c r="S434" s="1631" t="s">
        <v>286</v>
      </c>
      <c r="T434" s="1631"/>
      <c r="U434" s="1528"/>
      <c r="V434" s="1528"/>
      <c r="W434" s="1633" t="str">
        <f>B434</f>
        <v>DEVELOPMENT BUDGET</v>
      </c>
      <c r="X434" s="1528"/>
    </row>
    <row r="435" spans="1:24">
      <c r="A435" s="1528"/>
      <c r="B435" s="1528"/>
      <c r="C435" s="1528"/>
      <c r="D435" s="1528"/>
      <c r="E435" s="1528"/>
      <c r="F435" s="1528"/>
      <c r="G435" s="1511" t="s">
        <v>103</v>
      </c>
      <c r="H435" s="1511"/>
      <c r="I435" s="1528"/>
      <c r="J435" s="1631"/>
      <c r="K435" s="1631"/>
      <c r="L435" s="1551"/>
      <c r="M435" s="1632"/>
      <c r="N435" s="1632"/>
      <c r="O435" s="1528"/>
      <c r="P435" s="1631"/>
      <c r="Q435" s="1631"/>
      <c r="R435" s="1528"/>
      <c r="S435" s="1631"/>
      <c r="T435" s="1631"/>
      <c r="U435" s="1528"/>
      <c r="V435" s="1528"/>
      <c r="W435" s="1572" t="s">
        <v>2791</v>
      </c>
      <c r="X435" s="1572"/>
    </row>
    <row r="436" spans="1:24">
      <c r="A436" s="1528"/>
      <c r="B436" s="1511" t="s">
        <v>104</v>
      </c>
      <c r="C436" s="1528"/>
      <c r="D436" s="1528"/>
      <c r="E436" s="1528"/>
      <c r="F436" s="1528"/>
      <c r="G436" s="1528"/>
      <c r="H436" s="1528"/>
      <c r="I436" s="1528"/>
      <c r="J436" s="1528"/>
      <c r="K436" s="1528"/>
      <c r="L436" s="1528"/>
      <c r="M436" s="1528"/>
      <c r="N436" s="1528"/>
      <c r="O436" s="1527" t="str">
        <f>B436</f>
        <v>PRE-DEVELOPMENT COSTS</v>
      </c>
      <c r="P436" s="1528"/>
      <c r="Q436" s="1528"/>
      <c r="R436" s="1528"/>
      <c r="S436" s="1528"/>
      <c r="T436" s="1528"/>
      <c r="U436" s="1528"/>
      <c r="V436" s="1528"/>
      <c r="W436" s="1528" t="str">
        <f>B436</f>
        <v>PRE-DEVELOPMENT COSTS</v>
      </c>
      <c r="X436" s="1528"/>
    </row>
    <row r="437" spans="1:24">
      <c r="A437" s="1528"/>
      <c r="B437" s="1528" t="s">
        <v>2086</v>
      </c>
      <c r="C437" s="1528"/>
      <c r="D437" s="1528"/>
      <c r="E437" s="1528"/>
      <c r="F437" s="1528"/>
      <c r="G437" s="1551">
        <f>'Part IV-Uses of Funds'!G8</f>
        <v>22000</v>
      </c>
      <c r="H437" s="1551"/>
      <c r="I437" s="1528"/>
      <c r="J437" s="1551">
        <f>'Part IV-Uses of Funds'!J8</f>
        <v>22000</v>
      </c>
      <c r="K437" s="1551"/>
      <c r="L437" s="1552"/>
      <c r="M437" s="1551">
        <f>'Part IV-Uses of Funds'!M8</f>
        <v>0</v>
      </c>
      <c r="N437" s="1551"/>
      <c r="O437" s="1528"/>
      <c r="P437" s="1551">
        <f>'Part IV-Uses of Funds'!P8</f>
        <v>0</v>
      </c>
      <c r="Q437" s="1551"/>
      <c r="R437" s="1528"/>
      <c r="S437" s="1551">
        <f>'Part IV-Uses of Funds'!S8</f>
        <v>0</v>
      </c>
      <c r="T437" s="1551"/>
      <c r="U437" s="1528"/>
      <c r="V437" s="1581">
        <f>'Part IV-Uses of Funds'!V8</f>
        <v>0</v>
      </c>
      <c r="W437" s="1634">
        <f>'Part IV-Uses of Funds'!W8</f>
        <v>0</v>
      </c>
      <c r="X437" s="1634"/>
    </row>
    <row r="438" spans="1:24">
      <c r="A438" s="1528"/>
      <c r="B438" s="1528" t="s">
        <v>477</v>
      </c>
      <c r="C438" s="1528"/>
      <c r="D438" s="1528"/>
      <c r="E438" s="1528"/>
      <c r="F438" s="1528"/>
      <c r="G438" s="1551">
        <f>'Part IV-Uses of Funds'!G9</f>
        <v>9000</v>
      </c>
      <c r="H438" s="1551"/>
      <c r="I438" s="1528"/>
      <c r="J438" s="1551">
        <f>'Part IV-Uses of Funds'!J9</f>
        <v>9000</v>
      </c>
      <c r="K438" s="1551"/>
      <c r="L438" s="1552"/>
      <c r="M438" s="1551">
        <f>'Part IV-Uses of Funds'!M9</f>
        <v>0</v>
      </c>
      <c r="N438" s="1551"/>
      <c r="O438" s="1528"/>
      <c r="P438" s="1551">
        <f>'Part IV-Uses of Funds'!P9</f>
        <v>0</v>
      </c>
      <c r="Q438" s="1551"/>
      <c r="R438" s="1528"/>
      <c r="S438" s="1551">
        <f>'Part IV-Uses of Funds'!S9</f>
        <v>0</v>
      </c>
      <c r="T438" s="1551"/>
      <c r="U438" s="1528"/>
      <c r="V438" s="1581">
        <f>'Part IV-Uses of Funds'!V9</f>
        <v>0</v>
      </c>
      <c r="W438" s="1634"/>
      <c r="X438" s="1634"/>
    </row>
    <row r="439" spans="1:24">
      <c r="A439" s="1528"/>
      <c r="B439" s="1528" t="s">
        <v>509</v>
      </c>
      <c r="C439" s="1528"/>
      <c r="D439" s="1528"/>
      <c r="E439" s="1528"/>
      <c r="F439" s="1528"/>
      <c r="G439" s="1551">
        <f>'Part IV-Uses of Funds'!G10</f>
        <v>43000</v>
      </c>
      <c r="H439" s="1551"/>
      <c r="I439" s="1528"/>
      <c r="J439" s="1551">
        <f>'Part IV-Uses of Funds'!J10</f>
        <v>43000</v>
      </c>
      <c r="K439" s="1551"/>
      <c r="L439" s="1552"/>
      <c r="M439" s="1551">
        <f>'Part IV-Uses of Funds'!M10</f>
        <v>0</v>
      </c>
      <c r="N439" s="1551"/>
      <c r="O439" s="1528"/>
      <c r="P439" s="1551">
        <f>'Part IV-Uses of Funds'!P10</f>
        <v>0</v>
      </c>
      <c r="Q439" s="1551"/>
      <c r="R439" s="1528"/>
      <c r="S439" s="1551">
        <f>'Part IV-Uses of Funds'!S10</f>
        <v>0</v>
      </c>
      <c r="T439" s="1551"/>
      <c r="U439" s="1528"/>
      <c r="V439" s="1581">
        <f>'Part IV-Uses of Funds'!V10</f>
        <v>0</v>
      </c>
      <c r="W439" s="1634"/>
      <c r="X439" s="1634"/>
    </row>
    <row r="440" spans="1:24">
      <c r="A440" s="1528"/>
      <c r="B440" s="1528" t="s">
        <v>510</v>
      </c>
      <c r="C440" s="1528"/>
      <c r="D440" s="1528"/>
      <c r="E440" s="1528"/>
      <c r="F440" s="1528"/>
      <c r="G440" s="1551">
        <f>'Part IV-Uses of Funds'!G11</f>
        <v>4500</v>
      </c>
      <c r="H440" s="1551"/>
      <c r="I440" s="1528"/>
      <c r="J440" s="1551">
        <f>'Part IV-Uses of Funds'!J11</f>
        <v>4500</v>
      </c>
      <c r="K440" s="1551"/>
      <c r="L440" s="1552"/>
      <c r="M440" s="1551">
        <f>'Part IV-Uses of Funds'!M11</f>
        <v>0</v>
      </c>
      <c r="N440" s="1551"/>
      <c r="O440" s="1528"/>
      <c r="P440" s="1551">
        <f>'Part IV-Uses of Funds'!P11</f>
        <v>0</v>
      </c>
      <c r="Q440" s="1551"/>
      <c r="R440" s="1528"/>
      <c r="S440" s="1551">
        <f>'Part IV-Uses of Funds'!S11</f>
        <v>0</v>
      </c>
      <c r="T440" s="1551"/>
      <c r="U440" s="1528"/>
      <c r="V440" s="1581">
        <f>'Part IV-Uses of Funds'!V11</f>
        <v>0</v>
      </c>
      <c r="W440" s="1634"/>
      <c r="X440" s="1634"/>
    </row>
    <row r="441" spans="1:24">
      <c r="A441" s="1528"/>
      <c r="B441" s="1528" t="s">
        <v>2598</v>
      </c>
      <c r="C441" s="1528"/>
      <c r="D441" s="1528"/>
      <c r="E441" s="1528"/>
      <c r="F441" s="1528"/>
      <c r="G441" s="1551">
        <f>'Part IV-Uses of Funds'!G12</f>
        <v>7000</v>
      </c>
      <c r="H441" s="1551"/>
      <c r="I441" s="1528"/>
      <c r="J441" s="1551">
        <f>'Part IV-Uses of Funds'!J12</f>
        <v>7000</v>
      </c>
      <c r="K441" s="1551"/>
      <c r="L441" s="1552"/>
      <c r="M441" s="1551">
        <f>'Part IV-Uses of Funds'!M12</f>
        <v>0</v>
      </c>
      <c r="N441" s="1551"/>
      <c r="O441" s="1528"/>
      <c r="P441" s="1551">
        <f>'Part IV-Uses of Funds'!P12</f>
        <v>0</v>
      </c>
      <c r="Q441" s="1551"/>
      <c r="R441" s="1528"/>
      <c r="S441" s="1551">
        <f>'Part IV-Uses of Funds'!S12</f>
        <v>0</v>
      </c>
      <c r="T441" s="1551"/>
      <c r="U441" s="1528"/>
      <c r="V441" s="1581">
        <f>'Part IV-Uses of Funds'!V12</f>
        <v>0</v>
      </c>
      <c r="W441" s="1634"/>
      <c r="X441" s="1634"/>
    </row>
    <row r="442" spans="1:24">
      <c r="A442" s="1528"/>
      <c r="B442" s="1528" t="s">
        <v>197</v>
      </c>
      <c r="C442" s="1528"/>
      <c r="D442" s="1528"/>
      <c r="E442" s="1528"/>
      <c r="F442" s="1528"/>
      <c r="G442" s="1551">
        <f>'Part IV-Uses of Funds'!G13</f>
        <v>0</v>
      </c>
      <c r="H442" s="1551"/>
      <c r="I442" s="1528"/>
      <c r="J442" s="1551">
        <f>'Part IV-Uses of Funds'!J13</f>
        <v>0</v>
      </c>
      <c r="K442" s="1551"/>
      <c r="L442" s="1552"/>
      <c r="M442" s="1551">
        <f>'Part IV-Uses of Funds'!M13</f>
        <v>0</v>
      </c>
      <c r="N442" s="1551"/>
      <c r="O442" s="1528"/>
      <c r="P442" s="1551">
        <f>'Part IV-Uses of Funds'!P13</f>
        <v>0</v>
      </c>
      <c r="Q442" s="1551"/>
      <c r="R442" s="1528"/>
      <c r="S442" s="1551">
        <f>'Part IV-Uses of Funds'!S13</f>
        <v>0</v>
      </c>
      <c r="T442" s="1551"/>
      <c r="U442" s="1528"/>
      <c r="V442" s="1581">
        <f>'Part IV-Uses of Funds'!V13</f>
        <v>0</v>
      </c>
      <c r="W442" s="1634"/>
      <c r="X442" s="1634"/>
    </row>
    <row r="443" spans="1:24" ht="15.75">
      <c r="A443" s="1635" t="str">
        <f>IF(AND(G443&gt;0,OR(C443="",C443="&lt;Enter detailed description here; use Comments section if needed&gt;")),"X","")</f>
        <v/>
      </c>
      <c r="B443" s="1528" t="s">
        <v>778</v>
      </c>
      <c r="C443" s="1528" t="str">
        <f>'Part IV-Uses of Funds'!C14</f>
        <v>Accessibility Consultant, Materials Testing, Post Comp Radon</v>
      </c>
      <c r="D443" s="1528"/>
      <c r="E443" s="1528"/>
      <c r="F443" s="1528"/>
      <c r="G443" s="1551">
        <f>'Part IV-Uses of Funds'!G14</f>
        <v>28800</v>
      </c>
      <c r="H443" s="1551"/>
      <c r="I443" s="1528"/>
      <c r="J443" s="1551">
        <f>'Part IV-Uses of Funds'!J14</f>
        <v>28800</v>
      </c>
      <c r="K443" s="1551"/>
      <c r="L443" s="1552"/>
      <c r="M443" s="1551">
        <f>'Part IV-Uses of Funds'!M14</f>
        <v>0</v>
      </c>
      <c r="N443" s="1551"/>
      <c r="O443" s="1528"/>
      <c r="P443" s="1551">
        <f>'Part IV-Uses of Funds'!P14</f>
        <v>0</v>
      </c>
      <c r="Q443" s="1551"/>
      <c r="R443" s="1528"/>
      <c r="S443" s="1551">
        <f>'Part IV-Uses of Funds'!S14</f>
        <v>0</v>
      </c>
      <c r="T443" s="1551"/>
      <c r="U443" s="1529" t="str">
        <f>IF(AND(G443&gt;0,OR(C443="",C443="&lt;Enter detailed description here; use Comments section if needed&gt;")),"NO DESCRIPTION PROVIDED - please enter detailed description in Other box at left; use Comments section below if needed.","")</f>
        <v/>
      </c>
      <c r="V443" s="1581">
        <f>'Part IV-Uses of Funds'!V14</f>
        <v>0</v>
      </c>
      <c r="W443" s="1634"/>
      <c r="X443" s="1634"/>
    </row>
    <row r="444" spans="1:24" ht="15.75">
      <c r="A444" s="1635" t="str">
        <f>IF(AND(G444&gt;0,OR(C444="",C444="&lt;Enter detailed description here; use Comments section if needed&gt;")),"X","")</f>
        <v/>
      </c>
      <c r="B444" s="1528" t="s">
        <v>778</v>
      </c>
      <c r="C444" s="1528" t="str">
        <f>'Part IV-Uses of Funds'!C15</f>
        <v>Cost Review</v>
      </c>
      <c r="D444" s="1528"/>
      <c r="E444" s="1528"/>
      <c r="F444" s="1528"/>
      <c r="G444" s="1551">
        <f>'Part IV-Uses of Funds'!G15</f>
        <v>16500</v>
      </c>
      <c r="H444" s="1551"/>
      <c r="I444" s="1528"/>
      <c r="J444" s="1551">
        <f>'Part IV-Uses of Funds'!J15</f>
        <v>16500</v>
      </c>
      <c r="K444" s="1551"/>
      <c r="L444" s="1552"/>
      <c r="M444" s="1551">
        <f>'Part IV-Uses of Funds'!M15</f>
        <v>0</v>
      </c>
      <c r="N444" s="1551"/>
      <c r="O444" s="1528"/>
      <c r="P444" s="1551">
        <f>'Part IV-Uses of Funds'!P15</f>
        <v>0</v>
      </c>
      <c r="Q444" s="1551"/>
      <c r="R444" s="1528"/>
      <c r="S444" s="1551">
        <f>'Part IV-Uses of Funds'!S15</f>
        <v>0</v>
      </c>
      <c r="T444" s="1551"/>
      <c r="U444" s="1529" t="str">
        <f>IF(AND(G444&gt;0,OR(C444="",C444="&lt;Enter detailed description here; use Comments section if needed&gt;")),"NO DESCRIPTION PROVIDED - please enter detailed description in Other box at left; use Comments section below if needed.","")</f>
        <v/>
      </c>
      <c r="V444" s="1581">
        <f>'Part IV-Uses of Funds'!V15</f>
        <v>0</v>
      </c>
      <c r="W444" s="1634"/>
      <c r="X444" s="1634"/>
    </row>
    <row r="445" spans="1:24" ht="15.75">
      <c r="A445" s="1635" t="str">
        <f>IF(AND(G445&gt;0,OR(C445="",C445="&lt;Enter detailed description here; use Comments section if needed&gt;")),"X","")</f>
        <v/>
      </c>
      <c r="B445" s="1528" t="s">
        <v>778</v>
      </c>
      <c r="C445" s="1528">
        <f>'Part IV-Uses of Funds'!C16</f>
        <v>0</v>
      </c>
      <c r="D445" s="1528"/>
      <c r="E445" s="1528"/>
      <c r="F445" s="1528"/>
      <c r="G445" s="1551">
        <f>'Part IV-Uses of Funds'!G16</f>
        <v>0</v>
      </c>
      <c r="H445" s="1551"/>
      <c r="I445" s="1528"/>
      <c r="J445" s="1551">
        <f>'Part IV-Uses of Funds'!J16</f>
        <v>0</v>
      </c>
      <c r="K445" s="1551"/>
      <c r="L445" s="1552"/>
      <c r="M445" s="1551">
        <f>'Part IV-Uses of Funds'!M16</f>
        <v>0</v>
      </c>
      <c r="N445" s="1551"/>
      <c r="O445" s="1528"/>
      <c r="P445" s="1551">
        <f>'Part IV-Uses of Funds'!P16</f>
        <v>0</v>
      </c>
      <c r="Q445" s="1551"/>
      <c r="R445" s="1528"/>
      <c r="S445" s="1551">
        <f>'Part IV-Uses of Funds'!S16</f>
        <v>0</v>
      </c>
      <c r="T445" s="1551"/>
      <c r="U445" s="1529" t="str">
        <f>IF(AND(G445&gt;0,OR(C445="",C445="&lt;Enter detailed description here; use Comments section if needed&gt;")),"NO DESCRIPTION PROVIDED - please enter detailed description in Other box at left; use Comments section below if needed.","")</f>
        <v/>
      </c>
      <c r="V445" s="1581">
        <f>'Part IV-Uses of Funds'!V16</f>
        <v>0</v>
      </c>
      <c r="W445" s="1634"/>
      <c r="X445" s="1634"/>
    </row>
    <row r="446" spans="1:24">
      <c r="A446" s="1528"/>
      <c r="B446" s="1528"/>
      <c r="C446" s="1528"/>
      <c r="D446" s="1528"/>
      <c r="E446" s="1528"/>
      <c r="F446" s="1636" t="s">
        <v>198</v>
      </c>
      <c r="G446" s="1551">
        <f>SUM(G437:H445)</f>
        <v>130800</v>
      </c>
      <c r="H446" s="1551"/>
      <c r="I446" s="1528"/>
      <c r="J446" s="1551">
        <f>SUM(J437:K445)</f>
        <v>130800</v>
      </c>
      <c r="K446" s="1553"/>
      <c r="L446" s="1552"/>
      <c r="M446" s="1551">
        <f>SUM(M437:N445)</f>
        <v>0</v>
      </c>
      <c r="N446" s="1551"/>
      <c r="O446" s="1528"/>
      <c r="P446" s="1551">
        <f>SUM(P437:Q445)</f>
        <v>0</v>
      </c>
      <c r="Q446" s="1551"/>
      <c r="R446" s="1528"/>
      <c r="S446" s="1551">
        <f>SUM(S437:T445)</f>
        <v>0</v>
      </c>
      <c r="T446" s="1551"/>
      <c r="U446" s="1528"/>
      <c r="V446" s="1581">
        <f>SUM(V437:V445)</f>
        <v>0</v>
      </c>
      <c r="W446" s="1634"/>
      <c r="X446" s="1634"/>
    </row>
    <row r="447" spans="1:24">
      <c r="A447" s="1528"/>
      <c r="B447" s="1511" t="s">
        <v>2286</v>
      </c>
      <c r="C447" s="1528"/>
      <c r="D447" s="1528"/>
      <c r="E447" s="1528"/>
      <c r="F447" s="1528"/>
      <c r="G447" s="1528"/>
      <c r="H447" s="1528"/>
      <c r="I447" s="1528"/>
      <c r="J447" s="1551"/>
      <c r="K447" s="1551"/>
      <c r="L447" s="1528"/>
      <c r="M447" s="1551"/>
      <c r="N447" s="1551"/>
      <c r="O447" s="1637" t="str">
        <f>B447</f>
        <v>ACQUISITION</v>
      </c>
      <c r="P447" s="1551"/>
      <c r="Q447" s="1551"/>
      <c r="R447" s="1528"/>
      <c r="S447" s="1551"/>
      <c r="T447" s="1551"/>
      <c r="U447" s="1528"/>
      <c r="V447" s="1528"/>
      <c r="W447" s="1528" t="str">
        <f>B447</f>
        <v>ACQUISITION</v>
      </c>
      <c r="X447" s="1528"/>
    </row>
    <row r="448" spans="1:24">
      <c r="A448" s="1528"/>
      <c r="B448" s="1528" t="s">
        <v>2287</v>
      </c>
      <c r="C448" s="1528"/>
      <c r="D448" s="1528"/>
      <c r="E448" s="1528"/>
      <c r="F448" s="1528"/>
      <c r="G448" s="1551">
        <f>'Part IV-Uses of Funds'!G19</f>
        <v>1300000</v>
      </c>
      <c r="H448" s="1551"/>
      <c r="I448" s="1528"/>
      <c r="J448" s="1552"/>
      <c r="K448" s="1551"/>
      <c r="L448" s="1552"/>
      <c r="M448" s="1552"/>
      <c r="N448" s="1551"/>
      <c r="O448" s="1528"/>
      <c r="P448" s="1552"/>
      <c r="Q448" s="1551"/>
      <c r="R448" s="1528"/>
      <c r="S448" s="1551">
        <f>'Part IV-Uses of Funds'!S19</f>
        <v>1300000</v>
      </c>
      <c r="T448" s="1551"/>
      <c r="U448" s="1528"/>
      <c r="V448" s="1581">
        <f>'Part IV-Uses of Funds'!V19</f>
        <v>0</v>
      </c>
      <c r="W448" s="1634">
        <f>'Part IV-Uses of Funds'!W19</f>
        <v>0</v>
      </c>
      <c r="X448" s="1634"/>
    </row>
    <row r="449" spans="1:24">
      <c r="A449" s="1528"/>
      <c r="B449" s="1528" t="s">
        <v>1164</v>
      </c>
      <c r="C449" s="1528"/>
      <c r="D449" s="1528"/>
      <c r="E449" s="1528"/>
      <c r="F449" s="1528"/>
      <c r="G449" s="1551">
        <f>'Part IV-Uses of Funds'!G20</f>
        <v>0</v>
      </c>
      <c r="H449" s="1551"/>
      <c r="I449" s="1528"/>
      <c r="J449" s="1552"/>
      <c r="K449" s="1551"/>
      <c r="L449" s="1552"/>
      <c r="M449" s="1552"/>
      <c r="N449" s="1551"/>
      <c r="O449" s="1528"/>
      <c r="P449" s="1552"/>
      <c r="Q449" s="1551"/>
      <c r="R449" s="1528"/>
      <c r="S449" s="1551">
        <f>'Part IV-Uses of Funds'!S20</f>
        <v>0</v>
      </c>
      <c r="T449" s="1551"/>
      <c r="U449" s="1528"/>
      <c r="V449" s="1581">
        <f>'Part IV-Uses of Funds'!V20</f>
        <v>0</v>
      </c>
      <c r="W449" s="1634"/>
      <c r="X449" s="1634"/>
    </row>
    <row r="450" spans="1:24">
      <c r="A450" s="1528"/>
      <c r="B450" s="1528" t="s">
        <v>478</v>
      </c>
      <c r="C450" s="1528"/>
      <c r="D450" s="1528"/>
      <c r="E450" s="1528"/>
      <c r="F450" s="1528"/>
      <c r="G450" s="1551">
        <f>'Part IV-Uses of Funds'!G21</f>
        <v>0</v>
      </c>
      <c r="H450" s="1551"/>
      <c r="I450" s="1528"/>
      <c r="J450" s="1552"/>
      <c r="K450" s="1551"/>
      <c r="L450" s="1552"/>
      <c r="M450" s="1551">
        <f>'Part IV-Uses of Funds'!M21</f>
        <v>0</v>
      </c>
      <c r="N450" s="1551"/>
      <c r="O450" s="1528"/>
      <c r="P450" s="1552"/>
      <c r="Q450" s="1551"/>
      <c r="R450" s="1528"/>
      <c r="S450" s="1551">
        <f>'Part IV-Uses of Funds'!S21</f>
        <v>0</v>
      </c>
      <c r="T450" s="1551"/>
      <c r="U450" s="1528"/>
      <c r="V450" s="1581">
        <f>'Part IV-Uses of Funds'!V21</f>
        <v>0</v>
      </c>
      <c r="W450" s="1634"/>
      <c r="X450" s="1634"/>
    </row>
    <row r="451" spans="1:24">
      <c r="A451" s="1528"/>
      <c r="B451" s="1528" t="s">
        <v>447</v>
      </c>
      <c r="C451" s="1528"/>
      <c r="D451" s="1528"/>
      <c r="E451" s="1528"/>
      <c r="F451" s="1528"/>
      <c r="G451" s="1551">
        <f>'Part IV-Uses of Funds'!G22</f>
        <v>0</v>
      </c>
      <c r="H451" s="1551"/>
      <c r="I451" s="1528"/>
      <c r="J451" s="1552"/>
      <c r="K451" s="1551"/>
      <c r="L451" s="1552"/>
      <c r="M451" s="1551">
        <f>'Part IV-Uses of Funds'!M22</f>
        <v>0</v>
      </c>
      <c r="N451" s="1551"/>
      <c r="O451" s="1528"/>
      <c r="P451" s="1552"/>
      <c r="Q451" s="1551"/>
      <c r="R451" s="1528"/>
      <c r="S451" s="1551">
        <f>'Part IV-Uses of Funds'!S22</f>
        <v>0</v>
      </c>
      <c r="T451" s="1551"/>
      <c r="U451" s="1528"/>
      <c r="V451" s="1581">
        <f>'Part IV-Uses of Funds'!V22</f>
        <v>0</v>
      </c>
      <c r="W451" s="1634"/>
      <c r="X451" s="1634"/>
    </row>
    <row r="452" spans="1:24">
      <c r="A452" s="1528"/>
      <c r="B452" s="1528"/>
      <c r="C452" s="1528"/>
      <c r="D452" s="1528"/>
      <c r="E452" s="1528"/>
      <c r="F452" s="1636" t="s">
        <v>198</v>
      </c>
      <c r="G452" s="1551">
        <f>SUM(G448:H451)</f>
        <v>1300000</v>
      </c>
      <c r="H452" s="1551"/>
      <c r="I452" s="1528"/>
      <c r="J452" s="1552"/>
      <c r="K452" s="1551"/>
      <c r="L452" s="1552"/>
      <c r="M452" s="1551">
        <f>SUM(M450:N451)</f>
        <v>0</v>
      </c>
      <c r="N452" s="1551"/>
      <c r="O452" s="1528"/>
      <c r="P452" s="1552"/>
      <c r="Q452" s="1551"/>
      <c r="R452" s="1528"/>
      <c r="S452" s="1551">
        <f>SUM(S448:T451)</f>
        <v>1300000</v>
      </c>
      <c r="T452" s="1551"/>
      <c r="U452" s="1528"/>
      <c r="V452" s="1581">
        <f>SUM(V448:V451)</f>
        <v>0</v>
      </c>
      <c r="W452" s="1634"/>
      <c r="X452" s="1634"/>
    </row>
    <row r="453" spans="1:24">
      <c r="A453" s="1528"/>
      <c r="B453" s="1511" t="s">
        <v>1165</v>
      </c>
      <c r="C453" s="1528"/>
      <c r="D453" s="1528"/>
      <c r="E453" s="1528"/>
      <c r="F453" s="1528"/>
      <c r="G453" s="1528"/>
      <c r="H453" s="1528"/>
      <c r="I453" s="1528"/>
      <c r="J453" s="1552"/>
      <c r="K453" s="1551"/>
      <c r="L453" s="1528"/>
      <c r="M453" s="1552"/>
      <c r="N453" s="1551"/>
      <c r="O453" s="1637" t="str">
        <f>B453</f>
        <v>LAND IMPROVEMENTS</v>
      </c>
      <c r="P453" s="1552"/>
      <c r="Q453" s="1551"/>
      <c r="R453" s="1528"/>
      <c r="S453" s="1552"/>
      <c r="T453" s="1551"/>
      <c r="U453" s="1528"/>
      <c r="V453" s="1528"/>
      <c r="W453" s="1528" t="str">
        <f>B453</f>
        <v>LAND IMPROVEMENTS</v>
      </c>
      <c r="X453" s="1528"/>
    </row>
    <row r="454" spans="1:24">
      <c r="A454" s="1528"/>
      <c r="B454" s="1528" t="s">
        <v>1166</v>
      </c>
      <c r="C454" s="1528"/>
      <c r="D454" s="1528"/>
      <c r="E454" s="1528"/>
      <c r="F454" s="1528"/>
      <c r="G454" s="1551">
        <f>'Part IV-Uses of Funds'!G25</f>
        <v>400000</v>
      </c>
      <c r="H454" s="1551"/>
      <c r="I454" s="1528"/>
      <c r="J454" s="1551">
        <f>'Part IV-Uses of Funds'!J25</f>
        <v>400000</v>
      </c>
      <c r="K454" s="1551"/>
      <c r="L454" s="1552"/>
      <c r="M454" s="1551">
        <f>'Part IV-Uses of Funds'!M25</f>
        <v>0</v>
      </c>
      <c r="N454" s="1551"/>
      <c r="O454" s="1528"/>
      <c r="P454" s="1551">
        <f>'Part IV-Uses of Funds'!P25</f>
        <v>0</v>
      </c>
      <c r="Q454" s="1551"/>
      <c r="R454" s="1528"/>
      <c r="S454" s="1551">
        <f>'Part IV-Uses of Funds'!S25</f>
        <v>0</v>
      </c>
      <c r="T454" s="1551"/>
      <c r="U454" s="1528"/>
      <c r="V454" s="1581">
        <f>'Part IV-Uses of Funds'!V25</f>
        <v>0</v>
      </c>
      <c r="W454" s="1634">
        <f>'Part IV-Uses of Funds'!W25</f>
        <v>0</v>
      </c>
      <c r="X454" s="1634"/>
    </row>
    <row r="455" spans="1:24">
      <c r="A455" s="1528"/>
      <c r="B455" s="1528" t="s">
        <v>1167</v>
      </c>
      <c r="C455" s="1528"/>
      <c r="D455" s="1528"/>
      <c r="E455" s="1528"/>
      <c r="F455" s="1528"/>
      <c r="G455" s="1551">
        <f>'Part IV-Uses of Funds'!G26</f>
        <v>0</v>
      </c>
      <c r="H455" s="1551"/>
      <c r="I455" s="1528"/>
      <c r="J455" s="1551">
        <f>'Part IV-Uses of Funds'!J26</f>
        <v>0</v>
      </c>
      <c r="K455" s="1551"/>
      <c r="L455" s="1638"/>
      <c r="M455" s="1551"/>
      <c r="N455" s="1551"/>
      <c r="O455" s="1528"/>
      <c r="P455" s="1551"/>
      <c r="Q455" s="1551"/>
      <c r="R455" s="1528"/>
      <c r="S455" s="1551">
        <f>'Part IV-Uses of Funds'!S26</f>
        <v>0</v>
      </c>
      <c r="T455" s="1551"/>
      <c r="U455" s="1528"/>
      <c r="V455" s="1581">
        <f>'Part IV-Uses of Funds'!V26</f>
        <v>0</v>
      </c>
      <c r="W455" s="1634"/>
      <c r="X455" s="1634"/>
    </row>
    <row r="456" spans="1:24">
      <c r="A456" s="1528"/>
      <c r="B456" s="1528"/>
      <c r="C456" s="1528"/>
      <c r="D456" s="1528"/>
      <c r="E456" s="1528"/>
      <c r="F456" s="1636" t="s">
        <v>198</v>
      </c>
      <c r="G456" s="1551">
        <f>SUM(G454:H455)</f>
        <v>400000</v>
      </c>
      <c r="H456" s="1551"/>
      <c r="I456" s="1528"/>
      <c r="J456" s="1551">
        <f>SUM(J454:K455)</f>
        <v>400000</v>
      </c>
      <c r="K456" s="1551"/>
      <c r="L456" s="1552"/>
      <c r="M456" s="1551">
        <f>M454</f>
        <v>0</v>
      </c>
      <c r="N456" s="1551"/>
      <c r="O456" s="1528"/>
      <c r="P456" s="1551">
        <f>P454</f>
        <v>0</v>
      </c>
      <c r="Q456" s="1551"/>
      <c r="R456" s="1528"/>
      <c r="S456" s="1551">
        <f>SUM(S454:T455)</f>
        <v>0</v>
      </c>
      <c r="T456" s="1551"/>
      <c r="U456" s="1528"/>
      <c r="V456" s="1581">
        <f>SUM(V454:V455)</f>
        <v>0</v>
      </c>
      <c r="W456" s="1634"/>
      <c r="X456" s="1634"/>
    </row>
    <row r="457" spans="1:24">
      <c r="A457" s="1528"/>
      <c r="B457" s="1511" t="s">
        <v>1168</v>
      </c>
      <c r="C457" s="1528"/>
      <c r="D457" s="1528"/>
      <c r="E457" s="1528"/>
      <c r="F457" s="1528"/>
      <c r="G457" s="1528"/>
      <c r="H457" s="1528"/>
      <c r="I457" s="1528"/>
      <c r="J457" s="1552"/>
      <c r="K457" s="1551"/>
      <c r="L457" s="1528"/>
      <c r="M457" s="1552"/>
      <c r="N457" s="1551"/>
      <c r="O457" s="1637" t="str">
        <f>B457</f>
        <v>STRUCTURES</v>
      </c>
      <c r="P457" s="1552"/>
      <c r="Q457" s="1551"/>
      <c r="R457" s="1528"/>
      <c r="S457" s="1552"/>
      <c r="T457" s="1551"/>
      <c r="U457" s="1528"/>
      <c r="V457" s="1528"/>
      <c r="W457" s="1528" t="str">
        <f>B457</f>
        <v>STRUCTURES</v>
      </c>
      <c r="X457" s="1528"/>
    </row>
    <row r="458" spans="1:24">
      <c r="A458" s="1528"/>
      <c r="B458" s="1528" t="s">
        <v>1169</v>
      </c>
      <c r="C458" s="1528"/>
      <c r="D458" s="1528"/>
      <c r="E458" s="1528"/>
      <c r="F458" s="1528"/>
      <c r="G458" s="1551">
        <f>'Part IV-Uses of Funds'!G29</f>
        <v>12849478</v>
      </c>
      <c r="H458" s="1551"/>
      <c r="I458" s="1528"/>
      <c r="J458" s="1551">
        <f>'Part IV-Uses of Funds'!J29</f>
        <v>12849478</v>
      </c>
      <c r="K458" s="1551"/>
      <c r="L458" s="1552"/>
      <c r="M458" s="1551">
        <f>'Part IV-Uses of Funds'!M29</f>
        <v>0</v>
      </c>
      <c r="N458" s="1551"/>
      <c r="O458" s="1528"/>
      <c r="P458" s="1551">
        <f>'Part IV-Uses of Funds'!P29</f>
        <v>0</v>
      </c>
      <c r="Q458" s="1551"/>
      <c r="R458" s="1528"/>
      <c r="S458" s="1551">
        <f>'Part IV-Uses of Funds'!S29</f>
        <v>0</v>
      </c>
      <c r="T458" s="1551"/>
      <c r="U458" s="1528"/>
      <c r="V458" s="1581">
        <f>'Part IV-Uses of Funds'!V29</f>
        <v>0</v>
      </c>
      <c r="W458" s="1634">
        <f>'Part IV-Uses of Funds'!W29</f>
        <v>0</v>
      </c>
      <c r="X458" s="1634"/>
    </row>
    <row r="459" spans="1:24">
      <c r="A459" s="1528"/>
      <c r="B459" s="1528" t="s">
        <v>1170</v>
      </c>
      <c r="C459" s="1528"/>
      <c r="D459" s="1528"/>
      <c r="E459" s="1528"/>
      <c r="F459" s="1528"/>
      <c r="G459" s="1551">
        <f>'Part IV-Uses of Funds'!G30</f>
        <v>0</v>
      </c>
      <c r="H459" s="1551"/>
      <c r="I459" s="1528"/>
      <c r="J459" s="1551">
        <f>'Part IV-Uses of Funds'!J30</f>
        <v>0</v>
      </c>
      <c r="K459" s="1551"/>
      <c r="L459" s="1552"/>
      <c r="M459" s="1551">
        <f>'Part IV-Uses of Funds'!M30</f>
        <v>0</v>
      </c>
      <c r="N459" s="1551"/>
      <c r="O459" s="1528"/>
      <c r="P459" s="1551">
        <f>'Part IV-Uses of Funds'!P30</f>
        <v>0</v>
      </c>
      <c r="Q459" s="1551"/>
      <c r="R459" s="1528"/>
      <c r="S459" s="1551">
        <f>'Part IV-Uses of Funds'!S30</f>
        <v>0</v>
      </c>
      <c r="T459" s="1551"/>
      <c r="U459" s="1528"/>
      <c r="V459" s="1581">
        <f>'Part IV-Uses of Funds'!V30</f>
        <v>0</v>
      </c>
      <c r="W459" s="1634"/>
      <c r="X459" s="1634"/>
    </row>
    <row r="460" spans="1:24">
      <c r="A460" s="1528"/>
      <c r="B460" s="1528" t="s">
        <v>3008</v>
      </c>
      <c r="C460" s="1528"/>
      <c r="D460" s="1528"/>
      <c r="E460" s="1528"/>
      <c r="F460" s="1528"/>
      <c r="G460" s="1551">
        <f>'Part IV-Uses of Funds'!G31</f>
        <v>0</v>
      </c>
      <c r="H460" s="1551"/>
      <c r="I460" s="1528"/>
      <c r="J460" s="1551">
        <f>'Part IV-Uses of Funds'!J31</f>
        <v>0</v>
      </c>
      <c r="K460" s="1551"/>
      <c r="L460" s="1552"/>
      <c r="M460" s="1551">
        <f>'Part IV-Uses of Funds'!M31</f>
        <v>0</v>
      </c>
      <c r="N460" s="1551"/>
      <c r="O460" s="1528"/>
      <c r="P460" s="1551">
        <f>'Part IV-Uses of Funds'!P31</f>
        <v>0</v>
      </c>
      <c r="Q460" s="1551"/>
      <c r="R460" s="1528"/>
      <c r="S460" s="1551">
        <f>'Part IV-Uses of Funds'!S31</f>
        <v>0</v>
      </c>
      <c r="T460" s="1551"/>
      <c r="U460" s="1528"/>
      <c r="V460" s="1581">
        <f>'Part IV-Uses of Funds'!V31</f>
        <v>0</v>
      </c>
      <c r="W460" s="1634"/>
      <c r="X460" s="1634"/>
    </row>
    <row r="461" spans="1:24">
      <c r="A461" s="1533"/>
      <c r="B461" s="1528" t="s">
        <v>3007</v>
      </c>
      <c r="C461" s="1533"/>
      <c r="D461" s="1533"/>
      <c r="E461" s="1533"/>
      <c r="F461" s="1533"/>
      <c r="G461" s="1551">
        <f>'Part IV-Uses of Funds'!G32</f>
        <v>0</v>
      </c>
      <c r="H461" s="1551"/>
      <c r="I461" s="1528"/>
      <c r="J461" s="1551">
        <f>'Part IV-Uses of Funds'!J32</f>
        <v>0</v>
      </c>
      <c r="K461" s="1551"/>
      <c r="L461" s="1552"/>
      <c r="M461" s="1551">
        <f>'Part IV-Uses of Funds'!M32</f>
        <v>0</v>
      </c>
      <c r="N461" s="1551"/>
      <c r="O461" s="1528"/>
      <c r="P461" s="1551">
        <f>'Part IV-Uses of Funds'!P32</f>
        <v>0</v>
      </c>
      <c r="Q461" s="1551"/>
      <c r="R461" s="1528"/>
      <c r="S461" s="1551">
        <f>'Part IV-Uses of Funds'!S32</f>
        <v>0</v>
      </c>
      <c r="T461" s="1551"/>
      <c r="U461" s="1533"/>
      <c r="V461" s="1581">
        <f>'Part IV-Uses of Funds'!V32</f>
        <v>0</v>
      </c>
      <c r="W461" s="1634"/>
      <c r="X461" s="1634"/>
    </row>
    <row r="462" spans="1:24">
      <c r="A462" s="1528"/>
      <c r="B462" s="1528"/>
      <c r="C462" s="1639"/>
      <c r="D462" s="1639"/>
      <c r="E462" s="1640"/>
      <c r="F462" s="1636" t="s">
        <v>198</v>
      </c>
      <c r="G462" s="1551">
        <f>SUM(G458:H461)</f>
        <v>12849478</v>
      </c>
      <c r="H462" s="1551"/>
      <c r="I462" s="1528"/>
      <c r="J462" s="1551">
        <f>SUM(J458:K461)</f>
        <v>12849478</v>
      </c>
      <c r="K462" s="1551"/>
      <c r="L462" s="1552"/>
      <c r="M462" s="1551">
        <f>SUM(M458:N461)</f>
        <v>0</v>
      </c>
      <c r="N462" s="1551"/>
      <c r="O462" s="1528"/>
      <c r="P462" s="1551">
        <f>SUM(P458:Q461)</f>
        <v>0</v>
      </c>
      <c r="Q462" s="1551"/>
      <c r="R462" s="1528"/>
      <c r="S462" s="1551">
        <f>SUM(S458:T461)</f>
        <v>0</v>
      </c>
      <c r="T462" s="1551"/>
      <c r="U462" s="1528"/>
      <c r="V462" s="1581">
        <f>SUM(V458:V461)</f>
        <v>0</v>
      </c>
      <c r="W462" s="1634"/>
      <c r="X462" s="1634"/>
    </row>
    <row r="463" spans="1:24">
      <c r="A463" s="1528"/>
      <c r="B463" s="1511" t="s">
        <v>2435</v>
      </c>
      <c r="C463" s="1528"/>
      <c r="D463" s="1528"/>
      <c r="E463" s="1641">
        <f>SUM(E464:E466)</f>
        <v>0.14000000000000001</v>
      </c>
      <c r="F463" s="1528"/>
      <c r="G463" s="1511"/>
      <c r="H463" s="1533"/>
      <c r="I463" s="1533"/>
      <c r="J463" s="1552"/>
      <c r="K463" s="1551"/>
      <c r="L463" s="1528"/>
      <c r="M463" s="1552"/>
      <c r="N463" s="1551"/>
      <c r="O463" s="1637" t="str">
        <f>B463</f>
        <v>CONTRACTOR SERVICES</v>
      </c>
      <c r="P463" s="1552"/>
      <c r="Q463" s="1551"/>
      <c r="R463" s="1528"/>
      <c r="S463" s="1552"/>
      <c r="T463" s="1551"/>
      <c r="U463" s="1528"/>
      <c r="V463" s="1528"/>
      <c r="W463" s="1528" t="str">
        <f>B463</f>
        <v>CONTRACTOR SERVICES</v>
      </c>
      <c r="X463" s="1528"/>
    </row>
    <row r="464" spans="1:24">
      <c r="A464" s="1528"/>
      <c r="B464" s="1528" t="s">
        <v>2436</v>
      </c>
      <c r="C464" s="1528"/>
      <c r="D464" s="1528"/>
      <c r="E464" s="1642">
        <f>'DCA Underwriting Assumptions'!$R$80</f>
        <v>0.06</v>
      </c>
      <c r="F464" s="1643">
        <f>E464*(G456+G462)</f>
        <v>794968.67999999993</v>
      </c>
      <c r="G464" s="1551">
        <f>'Part IV-Uses of Funds'!G35</f>
        <v>794968.5</v>
      </c>
      <c r="H464" s="1551"/>
      <c r="I464" s="1533"/>
      <c r="J464" s="1551">
        <f>'Part IV-Uses of Funds'!J35</f>
        <v>794968.5</v>
      </c>
      <c r="K464" s="1551"/>
      <c r="L464" s="1552"/>
      <c r="M464" s="1551">
        <f>'Part IV-Uses of Funds'!M35</f>
        <v>0</v>
      </c>
      <c r="N464" s="1551"/>
      <c r="O464" s="1528"/>
      <c r="P464" s="1551">
        <f>'Part IV-Uses of Funds'!P35</f>
        <v>0</v>
      </c>
      <c r="Q464" s="1551"/>
      <c r="R464" s="1528"/>
      <c r="S464" s="1551">
        <f>'Part IV-Uses of Funds'!S35</f>
        <v>0</v>
      </c>
      <c r="T464" s="1551"/>
      <c r="U464" s="1528"/>
      <c r="V464" s="1581">
        <f>'Part IV-Uses of Funds'!V35</f>
        <v>0</v>
      </c>
      <c r="W464" s="1634">
        <f>'Part IV-Uses of Funds'!W35</f>
        <v>0</v>
      </c>
      <c r="X464" s="1634"/>
    </row>
    <row r="465" spans="1:24">
      <c r="A465" s="1528"/>
      <c r="B465" s="1528" t="s">
        <v>2875</v>
      </c>
      <c r="C465" s="1528"/>
      <c r="D465" s="1528"/>
      <c r="E465" s="1642">
        <f>'DCA Underwriting Assumptions'!$R$81</f>
        <v>0.02</v>
      </c>
      <c r="F465" s="1643">
        <f>E465*(G456+G462)</f>
        <v>264989.56</v>
      </c>
      <c r="G465" s="1551">
        <f>'Part IV-Uses of Funds'!G36</f>
        <v>264989.5</v>
      </c>
      <c r="H465" s="1551"/>
      <c r="I465" s="1533"/>
      <c r="J465" s="1551">
        <f>'Part IV-Uses of Funds'!J36</f>
        <v>264989.5</v>
      </c>
      <c r="K465" s="1551"/>
      <c r="L465" s="1552"/>
      <c r="M465" s="1551">
        <f>'Part IV-Uses of Funds'!M36</f>
        <v>0</v>
      </c>
      <c r="N465" s="1551"/>
      <c r="O465" s="1528"/>
      <c r="P465" s="1551">
        <f>'Part IV-Uses of Funds'!P36</f>
        <v>0</v>
      </c>
      <c r="Q465" s="1551"/>
      <c r="R465" s="1528"/>
      <c r="S465" s="1551">
        <f>'Part IV-Uses of Funds'!S36</f>
        <v>0</v>
      </c>
      <c r="T465" s="1551"/>
      <c r="U465" s="1528"/>
      <c r="V465" s="1581">
        <f>'Part IV-Uses of Funds'!V36</f>
        <v>0</v>
      </c>
      <c r="W465" s="1634"/>
      <c r="X465" s="1634"/>
    </row>
    <row r="466" spans="1:24">
      <c r="A466" s="1528"/>
      <c r="B466" s="1528" t="s">
        <v>2876</v>
      </c>
      <c r="C466" s="1528"/>
      <c r="D466" s="1528"/>
      <c r="E466" s="1642">
        <f>'DCA Underwriting Assumptions'!$R$82</f>
        <v>0.06</v>
      </c>
      <c r="F466" s="1643">
        <f>E466*(G456+G462)</f>
        <v>794968.67999999993</v>
      </c>
      <c r="G466" s="1551">
        <f>'Part IV-Uses of Funds'!G37</f>
        <v>794968.5</v>
      </c>
      <c r="H466" s="1551"/>
      <c r="I466" s="1533"/>
      <c r="J466" s="1551">
        <f>'Part IV-Uses of Funds'!J37</f>
        <v>794968.5</v>
      </c>
      <c r="K466" s="1551"/>
      <c r="L466" s="1552"/>
      <c r="M466" s="1551">
        <f>'Part IV-Uses of Funds'!M37</f>
        <v>0</v>
      </c>
      <c r="N466" s="1551"/>
      <c r="O466" s="1528"/>
      <c r="P466" s="1551">
        <f>'Part IV-Uses of Funds'!P37</f>
        <v>0</v>
      </c>
      <c r="Q466" s="1551"/>
      <c r="R466" s="1528"/>
      <c r="S466" s="1551">
        <f>'Part IV-Uses of Funds'!S37</f>
        <v>0</v>
      </c>
      <c r="T466" s="1551"/>
      <c r="U466" s="1528"/>
      <c r="V466" s="1581">
        <f>'Part IV-Uses of Funds'!V37</f>
        <v>0</v>
      </c>
      <c r="W466" s="1634"/>
      <c r="X466" s="1634"/>
    </row>
    <row r="467" spans="1:24">
      <c r="A467" s="1528"/>
      <c r="B467" s="1528" t="s">
        <v>2127</v>
      </c>
      <c r="C467" s="1528"/>
      <c r="D467" s="1644"/>
      <c r="E467" s="1528"/>
      <c r="F467" s="1636" t="s">
        <v>198</v>
      </c>
      <c r="G467" s="1551">
        <f>SUM(G464:H466)</f>
        <v>1854926.5</v>
      </c>
      <c r="H467" s="1551"/>
      <c r="I467" s="1528"/>
      <c r="J467" s="1551">
        <f>SUM(J464:K466)</f>
        <v>1854926.5</v>
      </c>
      <c r="K467" s="1551"/>
      <c r="L467" s="1552"/>
      <c r="M467" s="1551">
        <f>SUM(M464:N466)</f>
        <v>0</v>
      </c>
      <c r="N467" s="1551"/>
      <c r="O467" s="1528"/>
      <c r="P467" s="1551">
        <f>SUM(P464:Q466)</f>
        <v>0</v>
      </c>
      <c r="Q467" s="1551"/>
      <c r="R467" s="1528"/>
      <c r="S467" s="1551">
        <f>SUM(S464:T466)</f>
        <v>0</v>
      </c>
      <c r="T467" s="1551"/>
      <c r="U467" s="1528"/>
      <c r="V467" s="1581">
        <f>SUM(V464:V466)</f>
        <v>0</v>
      </c>
      <c r="W467" s="1634"/>
      <c r="X467" s="1634"/>
    </row>
    <row r="468" spans="1:24">
      <c r="A468" s="1527"/>
      <c r="B468" s="1527"/>
      <c r="C468" s="1527"/>
      <c r="D468" s="1527"/>
      <c r="E468" s="1527"/>
      <c r="F468" s="1527"/>
      <c r="G468" s="1527"/>
      <c r="H468" s="1527"/>
      <c r="I468" s="1527"/>
      <c r="J468" s="1527"/>
      <c r="K468" s="1527"/>
      <c r="L468" s="1527"/>
      <c r="M468" s="1527"/>
      <c r="N468" s="1527"/>
      <c r="O468" s="1527"/>
      <c r="P468" s="1527"/>
      <c r="Q468" s="1527"/>
      <c r="R468" s="1527"/>
      <c r="S468" s="1527"/>
      <c r="T468" s="1527"/>
      <c r="U468" s="1528"/>
      <c r="V468" s="1528"/>
      <c r="W468" s="1528"/>
      <c r="X468" s="1528"/>
    </row>
    <row r="469" spans="1:24">
      <c r="A469" s="1528"/>
      <c r="B469" s="1511" t="s">
        <v>4559</v>
      </c>
      <c r="C469" s="1528"/>
      <c r="D469" s="1528"/>
      <c r="E469" s="1528"/>
      <c r="F469" s="1528"/>
      <c r="G469" s="1528"/>
      <c r="H469" s="1528"/>
      <c r="I469" s="1528"/>
      <c r="J469" s="1552"/>
      <c r="K469" s="1551"/>
      <c r="L469" s="1528"/>
      <c r="M469" s="1552"/>
      <c r="N469" s="1551"/>
      <c r="O469" s="1637" t="str">
        <f>B469</f>
        <v>OTHER CONSTRUCTION HARD COSTS (Non-GC work scope items done by Owner)</v>
      </c>
      <c r="P469" s="1552"/>
      <c r="Q469" s="1551"/>
      <c r="R469" s="1528"/>
      <c r="S469" s="1552"/>
      <c r="T469" s="1551"/>
      <c r="U469" s="1528"/>
      <c r="V469" s="1528"/>
      <c r="W469" s="1528" t="str">
        <f>B469</f>
        <v>OTHER CONSTRUCTION HARD COSTS (Non-GC work scope items done by Owner)</v>
      </c>
      <c r="X469" s="1528"/>
    </row>
    <row r="470" spans="1:24">
      <c r="A470" s="1533"/>
      <c r="B470" s="1528" t="s">
        <v>778</v>
      </c>
      <c r="C470" s="1528" t="str">
        <f>'Part IV-Uses of Funds'!C41</f>
        <v>&lt;Enter detailed description here; use Comments section if needed&gt;</v>
      </c>
      <c r="D470" s="1528"/>
      <c r="E470" s="1528"/>
      <c r="F470" s="1528"/>
      <c r="G470" s="1551">
        <f>'Part IV-Uses of Funds'!G41</f>
        <v>0</v>
      </c>
      <c r="H470" s="1551"/>
      <c r="I470" s="1528"/>
      <c r="J470" s="1551">
        <f>'Part IV-Uses of Funds'!J41</f>
        <v>0</v>
      </c>
      <c r="K470" s="1551"/>
      <c r="L470" s="1552"/>
      <c r="M470" s="1551">
        <f>'Part IV-Uses of Funds'!M41</f>
        <v>0</v>
      </c>
      <c r="N470" s="1551"/>
      <c r="O470" s="1528"/>
      <c r="P470" s="1551">
        <f>'Part IV-Uses of Funds'!P41</f>
        <v>0</v>
      </c>
      <c r="Q470" s="1551"/>
      <c r="R470" s="1528"/>
      <c r="S470" s="1551">
        <f>'Part IV-Uses of Funds'!S41</f>
        <v>0</v>
      </c>
      <c r="T470" s="1551"/>
      <c r="U470" s="1533"/>
      <c r="V470" s="1581">
        <f>'Part IV-Uses of Funds'!V41</f>
        <v>0</v>
      </c>
      <c r="W470" s="1634">
        <f>'Part IV-Uses of Funds'!W41</f>
        <v>0</v>
      </c>
      <c r="X470" s="1634"/>
    </row>
    <row r="471" spans="1:24">
      <c r="A471" s="1527"/>
      <c r="B471" s="1527"/>
      <c r="C471" s="1527"/>
      <c r="D471" s="1527"/>
      <c r="E471" s="1527"/>
      <c r="F471" s="1527"/>
      <c r="G471" s="1527"/>
      <c r="H471" s="1527"/>
      <c r="I471" s="1527"/>
      <c r="J471" s="1527"/>
      <c r="K471" s="1527"/>
      <c r="L471" s="1527"/>
      <c r="M471" s="1527"/>
      <c r="N471" s="1527"/>
      <c r="O471" s="1527"/>
      <c r="P471" s="1527"/>
      <c r="Q471" s="1527"/>
      <c r="R471" s="1527"/>
      <c r="S471" s="1527"/>
      <c r="T471" s="1527"/>
      <c r="U471" s="1528"/>
      <c r="V471" s="1528"/>
      <c r="W471" s="1634"/>
      <c r="X471" s="1634"/>
    </row>
    <row r="472" spans="1:24" ht="12.75" customHeight="1">
      <c r="A472" s="1528"/>
      <c r="B472" s="1645" t="s">
        <v>4560</v>
      </c>
      <c r="C472" s="1646"/>
      <c r="D472" s="1528"/>
      <c r="E472" s="1631" t="s">
        <v>2884</v>
      </c>
      <c r="F472" s="1647">
        <f>B473/'Part VI-Revenues &amp; Expenses'!$O$60</f>
        <v>93237.064814814818</v>
      </c>
      <c r="G472" s="1648" t="s">
        <v>4561</v>
      </c>
      <c r="H472" s="1528"/>
      <c r="I472" s="1528"/>
      <c r="J472" s="1649">
        <f>B473/'Part VI-Revenues &amp; Expenses'!$O$62</f>
        <v>93237.064814814818</v>
      </c>
      <c r="K472" s="1649"/>
      <c r="L472" s="1528"/>
      <c r="M472" s="1650" t="s">
        <v>1461</v>
      </c>
      <c r="N472" s="1650"/>
      <c r="O472" s="1528"/>
      <c r="P472" s="1649">
        <f>B473/'Part I-Project Information'!$P$60</f>
        <v>112.41825631330987</v>
      </c>
      <c r="Q472" s="1649"/>
      <c r="R472" s="1528"/>
      <c r="S472" s="1646" t="s">
        <v>3006</v>
      </c>
      <c r="T472" s="1646"/>
      <c r="U472" s="1528"/>
      <c r="V472" s="1528"/>
      <c r="W472" s="1634"/>
      <c r="X472" s="1634"/>
    </row>
    <row r="473" spans="1:24">
      <c r="A473" s="1528"/>
      <c r="B473" s="1651">
        <f>G456+G462+G467+G470</f>
        <v>15104404.5</v>
      </c>
      <c r="C473" s="1651"/>
      <c r="D473" s="1528"/>
      <c r="E473" s="1631"/>
      <c r="F473" s="1647">
        <f>B473/'Part VI-Revenues &amp; Expenses'!$O$117</f>
        <v>112.41825631330987</v>
      </c>
      <c r="G473" s="1561" t="s">
        <v>4562</v>
      </c>
      <c r="H473" s="1528"/>
      <c r="I473" s="1528"/>
      <c r="J473" s="1649">
        <f>B473/'Part VI-Revenues &amp; Expenses'!$O$119</f>
        <v>112.41825631330987</v>
      </c>
      <c r="K473" s="1649"/>
      <c r="L473" s="1528"/>
      <c r="M473" s="1646" t="s">
        <v>3005</v>
      </c>
      <c r="N473" s="1646"/>
      <c r="O473" s="1528"/>
      <c r="P473" s="1528"/>
      <c r="Q473" s="1528"/>
      <c r="R473" s="1528"/>
      <c r="S473" s="1528"/>
      <c r="T473" s="1528"/>
      <c r="U473" s="1528"/>
      <c r="V473" s="1528"/>
      <c r="W473" s="1634"/>
      <c r="X473" s="1634"/>
    </row>
    <row r="474" spans="1:24">
      <c r="A474" s="1527"/>
      <c r="B474" s="1527"/>
      <c r="C474" s="1527"/>
      <c r="D474" s="1527"/>
      <c r="E474" s="1527"/>
      <c r="F474" s="1527"/>
      <c r="G474" s="1527"/>
      <c r="H474" s="1527"/>
      <c r="I474" s="1527"/>
      <c r="J474" s="1527"/>
      <c r="K474" s="1527"/>
      <c r="L474" s="1527"/>
      <c r="M474" s="1527"/>
      <c r="N474" s="1527"/>
      <c r="O474" s="1527"/>
      <c r="P474" s="1527"/>
      <c r="Q474" s="1527"/>
      <c r="R474" s="1527"/>
      <c r="S474" s="1527"/>
      <c r="T474" s="1527"/>
      <c r="U474" s="1528"/>
      <c r="V474" s="1528"/>
      <c r="W474" s="1528"/>
      <c r="X474" s="1528"/>
    </row>
    <row r="475" spans="1:24">
      <c r="A475" s="1528"/>
      <c r="B475" s="1511" t="s">
        <v>1171</v>
      </c>
      <c r="C475" s="1528"/>
      <c r="D475" s="1528"/>
      <c r="E475" s="1528"/>
      <c r="F475" s="1528"/>
      <c r="G475" s="1528"/>
      <c r="H475" s="1528"/>
      <c r="I475" s="1528"/>
      <c r="J475" s="1552"/>
      <c r="K475" s="1551"/>
      <c r="L475" s="1528"/>
      <c r="M475" s="1552"/>
      <c r="N475" s="1551"/>
      <c r="O475" s="1637" t="str">
        <f>B475</f>
        <v>CONSTRUCTION CONTINGENCY</v>
      </c>
      <c r="P475" s="1552"/>
      <c r="Q475" s="1551"/>
      <c r="R475" s="1528"/>
      <c r="S475" s="1552"/>
      <c r="T475" s="1551"/>
      <c r="U475" s="1528"/>
      <c r="V475" s="1528"/>
      <c r="W475" s="1528" t="str">
        <f>B475</f>
        <v>CONSTRUCTION CONTINGENCY</v>
      </c>
      <c r="X475" s="1528"/>
    </row>
    <row r="476" spans="1:24">
      <c r="A476" s="1533"/>
      <c r="B476" s="1528" t="s">
        <v>2046</v>
      </c>
      <c r="C476" s="1533"/>
      <c r="D476" s="155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1553"/>
      <c r="F476" s="1642">
        <f>G476/B473</f>
        <v>4.9999985103682837E-2</v>
      </c>
      <c r="G476" s="1551">
        <f>'Part IV-Uses of Funds'!G47</f>
        <v>755220</v>
      </c>
      <c r="H476" s="1551"/>
      <c r="I476" s="1528"/>
      <c r="J476" s="1551">
        <f>'Part IV-Uses of Funds'!J47</f>
        <v>755220</v>
      </c>
      <c r="K476" s="1551"/>
      <c r="L476" s="1552"/>
      <c r="M476" s="1551">
        <f>'Part IV-Uses of Funds'!M47</f>
        <v>0</v>
      </c>
      <c r="N476" s="1551"/>
      <c r="O476" s="1528"/>
      <c r="P476" s="1551">
        <f>'Part IV-Uses of Funds'!P47</f>
        <v>0</v>
      </c>
      <c r="Q476" s="1551"/>
      <c r="R476" s="1528"/>
      <c r="S476" s="1551">
        <f>'Part IV-Uses of Funds'!S47</f>
        <v>0</v>
      </c>
      <c r="T476" s="1551"/>
      <c r="U476" s="1533"/>
      <c r="V476" s="1581">
        <f>'Part IV-Uses of Funds'!V47</f>
        <v>0</v>
      </c>
      <c r="W476" s="1634">
        <f>'Part IV-Uses of Funds'!W47</f>
        <v>0</v>
      </c>
      <c r="X476" s="1634"/>
    </row>
    <row r="477" spans="1:24">
      <c r="A477" s="1527"/>
      <c r="B477" s="1527"/>
      <c r="C477" s="1527"/>
      <c r="D477" s="1527"/>
      <c r="E477" s="1527"/>
      <c r="F477" s="1527"/>
      <c r="G477" s="1527"/>
      <c r="H477" s="1527"/>
      <c r="I477" s="1527"/>
      <c r="J477" s="1527"/>
      <c r="K477" s="1527"/>
      <c r="L477" s="1527"/>
      <c r="M477" s="1527"/>
      <c r="N477" s="1527"/>
      <c r="O477" s="1527"/>
      <c r="P477" s="1527"/>
      <c r="Q477" s="1527"/>
      <c r="R477" s="1527"/>
      <c r="S477" s="1527"/>
      <c r="T477" s="1527"/>
      <c r="U477" s="1528"/>
      <c r="V477" s="1528"/>
      <c r="W477" s="1528"/>
      <c r="X477" s="1528"/>
    </row>
    <row r="478" spans="1:24">
      <c r="A478" s="1527"/>
      <c r="B478" s="1527"/>
      <c r="C478" s="1527"/>
      <c r="D478" s="1527"/>
      <c r="E478" s="1527"/>
      <c r="F478" s="1527"/>
      <c r="G478" s="1527"/>
      <c r="H478" s="1527"/>
      <c r="I478" s="1527"/>
      <c r="J478" s="1527"/>
      <c r="K478" s="1527"/>
      <c r="L478" s="1527"/>
      <c r="M478" s="1527"/>
      <c r="N478" s="1527"/>
      <c r="O478" s="1527"/>
      <c r="P478" s="1527"/>
      <c r="Q478" s="1527"/>
      <c r="R478" s="1527"/>
      <c r="S478" s="1527"/>
      <c r="T478" s="1527"/>
      <c r="U478" s="1528"/>
      <c r="V478" s="1528"/>
      <c r="W478" s="1528"/>
      <c r="X478" s="1528"/>
    </row>
    <row r="479" spans="1:24" ht="17.25" customHeight="1">
      <c r="A479" s="1630" t="s">
        <v>646</v>
      </c>
      <c r="B479" s="1630" t="s">
        <v>4563</v>
      </c>
      <c r="C479" s="1528"/>
      <c r="D479" s="1528"/>
      <c r="E479" s="1528"/>
      <c r="F479" s="1528"/>
      <c r="G479" s="1528"/>
      <c r="H479" s="1528"/>
      <c r="I479" s="1528"/>
      <c r="J479" s="1631" t="s">
        <v>284</v>
      </c>
      <c r="K479" s="1631"/>
      <c r="L479" s="1551"/>
      <c r="M479" s="1632" t="s">
        <v>512</v>
      </c>
      <c r="N479" s="1632"/>
      <c r="O479" s="1528"/>
      <c r="P479" s="1631" t="s">
        <v>285</v>
      </c>
      <c r="Q479" s="1631"/>
      <c r="R479" s="1528"/>
      <c r="S479" s="1631" t="s">
        <v>286</v>
      </c>
      <c r="T479" s="1631"/>
      <c r="U479" s="1528"/>
      <c r="V479" s="1528"/>
      <c r="W479" s="1633" t="str">
        <f>B479</f>
        <v>DEVELOPMENT BUDGET (cont'd)</v>
      </c>
      <c r="X479" s="1528"/>
    </row>
    <row r="480" spans="1:24">
      <c r="A480" s="1528"/>
      <c r="B480" s="1528"/>
      <c r="C480" s="1528"/>
      <c r="D480" s="1528"/>
      <c r="E480" s="1528"/>
      <c r="F480" s="1528"/>
      <c r="G480" s="1511" t="s">
        <v>103</v>
      </c>
      <c r="H480" s="1511"/>
      <c r="I480" s="1528"/>
      <c r="J480" s="1631"/>
      <c r="K480" s="1631"/>
      <c r="L480" s="1551"/>
      <c r="M480" s="1632"/>
      <c r="N480" s="1632"/>
      <c r="O480" s="1528"/>
      <c r="P480" s="1631"/>
      <c r="Q480" s="1631"/>
      <c r="R480" s="1528"/>
      <c r="S480" s="1631"/>
      <c r="T480" s="1631"/>
      <c r="U480" s="1528"/>
      <c r="V480" s="1528"/>
      <c r="W480" s="1572" t="s">
        <v>2791</v>
      </c>
      <c r="X480" s="1572"/>
    </row>
    <row r="481" spans="1:24">
      <c r="A481" s="1528"/>
      <c r="B481" s="1511" t="s">
        <v>759</v>
      </c>
      <c r="C481" s="1528"/>
      <c r="D481" s="1528"/>
      <c r="E481" s="1528"/>
      <c r="F481" s="1528"/>
      <c r="G481" s="1528"/>
      <c r="H481" s="1528"/>
      <c r="I481" s="1528"/>
      <c r="J481" s="1552"/>
      <c r="K481" s="1551"/>
      <c r="L481" s="1528"/>
      <c r="M481" s="1552"/>
      <c r="N481" s="1551"/>
      <c r="O481" s="1637" t="str">
        <f>B481</f>
        <v>CONSTRUCTION PERIOD FINANCING</v>
      </c>
      <c r="P481" s="1552"/>
      <c r="Q481" s="1551"/>
      <c r="R481" s="1528"/>
      <c r="S481" s="1552"/>
      <c r="T481" s="1551"/>
      <c r="U481" s="1528"/>
      <c r="V481" s="1528"/>
      <c r="W481" s="1528" t="str">
        <f>B481</f>
        <v>CONSTRUCTION PERIOD FINANCING</v>
      </c>
      <c r="X481" s="1528"/>
    </row>
    <row r="482" spans="1:24">
      <c r="A482" s="1528"/>
      <c r="B482" s="1528" t="s">
        <v>293</v>
      </c>
      <c r="C482" s="1528"/>
      <c r="D482" s="1528"/>
      <c r="E482" s="1528"/>
      <c r="F482" s="1528"/>
      <c r="G482" s="1551">
        <f>'Part IV-Uses of Funds'!G53</f>
        <v>0</v>
      </c>
      <c r="H482" s="1551"/>
      <c r="I482" s="1528"/>
      <c r="J482" s="1551">
        <f>'Part IV-Uses of Funds'!J53</f>
        <v>0</v>
      </c>
      <c r="K482" s="1551"/>
      <c r="L482" s="1552"/>
      <c r="M482" s="1551">
        <f>'Part IV-Uses of Funds'!M53</f>
        <v>0</v>
      </c>
      <c r="N482" s="1551"/>
      <c r="O482" s="1528"/>
      <c r="P482" s="1551">
        <f>'Part IV-Uses of Funds'!P53</f>
        <v>0</v>
      </c>
      <c r="Q482" s="1551"/>
      <c r="R482" s="1528"/>
      <c r="S482" s="1551">
        <f>'Part IV-Uses of Funds'!S53</f>
        <v>0</v>
      </c>
      <c r="T482" s="1551"/>
      <c r="U482" s="1528"/>
      <c r="V482" s="1581">
        <f>'Part IV-Uses of Funds'!V53</f>
        <v>0</v>
      </c>
      <c r="W482" s="1634">
        <f>'Part IV-Uses of Funds'!W53</f>
        <v>0</v>
      </c>
      <c r="X482" s="1634"/>
    </row>
    <row r="483" spans="1:24">
      <c r="A483" s="1528"/>
      <c r="B483" s="1528" t="s">
        <v>2438</v>
      </c>
      <c r="C483" s="1528"/>
      <c r="D483" s="1528"/>
      <c r="E483" s="1528"/>
      <c r="F483" s="1528"/>
      <c r="G483" s="1551">
        <f>'Part IV-Uses of Funds'!G54</f>
        <v>131750</v>
      </c>
      <c r="H483" s="1551"/>
      <c r="I483" s="1528"/>
      <c r="J483" s="1551">
        <f>'Part IV-Uses of Funds'!J54</f>
        <v>131750</v>
      </c>
      <c r="K483" s="1551"/>
      <c r="L483" s="1552"/>
      <c r="M483" s="1551">
        <f>'Part IV-Uses of Funds'!M54</f>
        <v>0</v>
      </c>
      <c r="N483" s="1551"/>
      <c r="O483" s="1528"/>
      <c r="P483" s="1551">
        <f>'Part IV-Uses of Funds'!P54</f>
        <v>0</v>
      </c>
      <c r="Q483" s="1551"/>
      <c r="R483" s="1528"/>
      <c r="S483" s="1551">
        <f>'Part IV-Uses of Funds'!S54</f>
        <v>0</v>
      </c>
      <c r="T483" s="1551"/>
      <c r="U483" s="1528"/>
      <c r="V483" s="1581">
        <f>'Part IV-Uses of Funds'!V54</f>
        <v>0</v>
      </c>
      <c r="W483" s="1634"/>
      <c r="X483" s="1634"/>
    </row>
    <row r="484" spans="1:24">
      <c r="A484" s="1528"/>
      <c r="B484" s="1528" t="s">
        <v>2439</v>
      </c>
      <c r="C484" s="1528"/>
      <c r="D484" s="1528"/>
      <c r="E484" s="1528"/>
      <c r="F484" s="1528"/>
      <c r="G484" s="1551">
        <f>'Part IV-Uses of Funds'!G55</f>
        <v>497223</v>
      </c>
      <c r="H484" s="1551"/>
      <c r="I484" s="1528"/>
      <c r="J484" s="1551">
        <f>'Part IV-Uses of Funds'!J55</f>
        <v>497223</v>
      </c>
      <c r="K484" s="1551"/>
      <c r="L484" s="1552"/>
      <c r="M484" s="1551">
        <f>'Part IV-Uses of Funds'!M55</f>
        <v>0</v>
      </c>
      <c r="N484" s="1551"/>
      <c r="O484" s="1528"/>
      <c r="P484" s="1551">
        <f>'Part IV-Uses of Funds'!P55</f>
        <v>0</v>
      </c>
      <c r="Q484" s="1551"/>
      <c r="R484" s="1528"/>
      <c r="S484" s="1551">
        <f>'Part IV-Uses of Funds'!S55</f>
        <v>0</v>
      </c>
      <c r="T484" s="1551"/>
      <c r="U484" s="1528"/>
      <c r="V484" s="1581">
        <f>'Part IV-Uses of Funds'!V55</f>
        <v>0</v>
      </c>
      <c r="W484" s="1634"/>
      <c r="X484" s="1634"/>
    </row>
    <row r="485" spans="1:24">
      <c r="A485" s="1528"/>
      <c r="B485" s="1528" t="s">
        <v>2440</v>
      </c>
      <c r="C485" s="1528"/>
      <c r="D485" s="1528"/>
      <c r="E485" s="1528"/>
      <c r="F485" s="1528"/>
      <c r="G485" s="1551">
        <f>'Part IV-Uses of Funds'!G56</f>
        <v>0</v>
      </c>
      <c r="H485" s="1551"/>
      <c r="I485" s="1528"/>
      <c r="J485" s="1551">
        <f>'Part IV-Uses of Funds'!J56</f>
        <v>0</v>
      </c>
      <c r="K485" s="1551"/>
      <c r="L485" s="1552"/>
      <c r="M485" s="1551">
        <f>'Part IV-Uses of Funds'!M56</f>
        <v>0</v>
      </c>
      <c r="N485" s="1551"/>
      <c r="O485" s="1528"/>
      <c r="P485" s="1551">
        <f>'Part IV-Uses of Funds'!P56</f>
        <v>0</v>
      </c>
      <c r="Q485" s="1551"/>
      <c r="R485" s="1528"/>
      <c r="S485" s="1551">
        <f>'Part IV-Uses of Funds'!S56</f>
        <v>0</v>
      </c>
      <c r="T485" s="1551"/>
      <c r="U485" s="1528"/>
      <c r="V485" s="1581">
        <f>'Part IV-Uses of Funds'!V56</f>
        <v>0</v>
      </c>
      <c r="W485" s="1634"/>
      <c r="X485" s="1634"/>
    </row>
    <row r="486" spans="1:24">
      <c r="A486" s="1528"/>
      <c r="B486" s="1528" t="s">
        <v>2801</v>
      </c>
      <c r="C486" s="1528"/>
      <c r="D486" s="1528"/>
      <c r="E486" s="1528"/>
      <c r="F486" s="1528"/>
      <c r="G486" s="1551">
        <f>'Part IV-Uses of Funds'!G57</f>
        <v>0</v>
      </c>
      <c r="H486" s="1551"/>
      <c r="I486" s="1528"/>
      <c r="J486" s="1551">
        <f>'Part IV-Uses of Funds'!J57</f>
        <v>0</v>
      </c>
      <c r="K486" s="1551"/>
      <c r="L486" s="1552"/>
      <c r="M486" s="1551">
        <f>'Part IV-Uses of Funds'!M57</f>
        <v>0</v>
      </c>
      <c r="N486" s="1551"/>
      <c r="O486" s="1528"/>
      <c r="P486" s="1551">
        <f>'Part IV-Uses of Funds'!P57</f>
        <v>0</v>
      </c>
      <c r="Q486" s="1551"/>
      <c r="R486" s="1528"/>
      <c r="S486" s="1551">
        <f>'Part IV-Uses of Funds'!S57</f>
        <v>0</v>
      </c>
      <c r="T486" s="1551"/>
      <c r="U486" s="1528"/>
      <c r="V486" s="1581">
        <f>'Part IV-Uses of Funds'!V57</f>
        <v>0</v>
      </c>
      <c r="W486" s="1634"/>
      <c r="X486" s="1634"/>
    </row>
    <row r="487" spans="1:24">
      <c r="A487" s="1528"/>
      <c r="B487" s="1528" t="s">
        <v>760</v>
      </c>
      <c r="C487" s="1528"/>
      <c r="D487" s="1528"/>
      <c r="E487" s="1528"/>
      <c r="F487" s="1528"/>
      <c r="G487" s="1551">
        <f>'Part IV-Uses of Funds'!G58</f>
        <v>25000</v>
      </c>
      <c r="H487" s="1551"/>
      <c r="I487" s="1528"/>
      <c r="J487" s="1551">
        <f>'Part IV-Uses of Funds'!J58</f>
        <v>25000</v>
      </c>
      <c r="K487" s="1551"/>
      <c r="L487" s="1552"/>
      <c r="M487" s="1551">
        <f>'Part IV-Uses of Funds'!M58</f>
        <v>0</v>
      </c>
      <c r="N487" s="1551"/>
      <c r="O487" s="1528"/>
      <c r="P487" s="1551">
        <f>'Part IV-Uses of Funds'!P58</f>
        <v>0</v>
      </c>
      <c r="Q487" s="1551"/>
      <c r="R487" s="1528"/>
      <c r="S487" s="1551">
        <f>'Part IV-Uses of Funds'!S58</f>
        <v>0</v>
      </c>
      <c r="T487" s="1551"/>
      <c r="U487" s="1528"/>
      <c r="V487" s="1581">
        <f>'Part IV-Uses of Funds'!V58</f>
        <v>0</v>
      </c>
      <c r="W487" s="1634"/>
      <c r="X487" s="1634"/>
    </row>
    <row r="488" spans="1:24">
      <c r="A488" s="1528"/>
      <c r="B488" s="1528" t="s">
        <v>2441</v>
      </c>
      <c r="C488" s="1528"/>
      <c r="D488" s="1528"/>
      <c r="E488" s="1528"/>
      <c r="F488" s="1528"/>
      <c r="G488" s="1551">
        <f>'Part IV-Uses of Funds'!G59</f>
        <v>75000</v>
      </c>
      <c r="H488" s="1551"/>
      <c r="I488" s="1528"/>
      <c r="J488" s="1551">
        <f>'Part IV-Uses of Funds'!J59</f>
        <v>75000</v>
      </c>
      <c r="K488" s="1551"/>
      <c r="L488" s="1552"/>
      <c r="M488" s="1551">
        <f>'Part IV-Uses of Funds'!M59</f>
        <v>0</v>
      </c>
      <c r="N488" s="1551"/>
      <c r="O488" s="1528"/>
      <c r="P488" s="1551">
        <f>'Part IV-Uses of Funds'!P59</f>
        <v>0</v>
      </c>
      <c r="Q488" s="1551"/>
      <c r="R488" s="1528"/>
      <c r="S488" s="1551">
        <f>'Part IV-Uses of Funds'!S59</f>
        <v>0</v>
      </c>
      <c r="T488" s="1551"/>
      <c r="U488" s="1528"/>
      <c r="V488" s="1581">
        <f>'Part IV-Uses of Funds'!V59</f>
        <v>0</v>
      </c>
      <c r="W488" s="1634"/>
      <c r="X488" s="1634"/>
    </row>
    <row r="489" spans="1:24">
      <c r="A489" s="1528"/>
      <c r="B489" s="1528" t="s">
        <v>1330</v>
      </c>
      <c r="C489" s="1528"/>
      <c r="D489" s="1528"/>
      <c r="E489" s="1528"/>
      <c r="F489" s="1528"/>
      <c r="G489" s="1551">
        <f>'Part IV-Uses of Funds'!G60</f>
        <v>0</v>
      </c>
      <c r="H489" s="1551"/>
      <c r="I489" s="1528"/>
      <c r="J489" s="1551">
        <f>'Part IV-Uses of Funds'!J60</f>
        <v>0</v>
      </c>
      <c r="K489" s="1551"/>
      <c r="L489" s="1552"/>
      <c r="M489" s="1551">
        <f>'Part IV-Uses of Funds'!M60</f>
        <v>0</v>
      </c>
      <c r="N489" s="1551"/>
      <c r="O489" s="1528"/>
      <c r="P489" s="1551">
        <f>'Part IV-Uses of Funds'!P60</f>
        <v>0</v>
      </c>
      <c r="Q489" s="1551"/>
      <c r="R489" s="1528"/>
      <c r="S489" s="1551">
        <f>'Part IV-Uses of Funds'!S60</f>
        <v>0</v>
      </c>
      <c r="T489" s="1551"/>
      <c r="U489" s="1528"/>
      <c r="V489" s="1581">
        <f>'Part IV-Uses of Funds'!V60</f>
        <v>0</v>
      </c>
      <c r="W489" s="1634"/>
      <c r="X489" s="1634"/>
    </row>
    <row r="490" spans="1:24">
      <c r="A490" s="1528"/>
      <c r="B490" s="1644" t="s">
        <v>1202</v>
      </c>
      <c r="C490" s="1528"/>
      <c r="D490" s="1642"/>
      <c r="E490" s="1642"/>
      <c r="F490" s="1643"/>
      <c r="G490" s="1551">
        <f>'Part IV-Uses of Funds'!G61</f>
        <v>151044</v>
      </c>
      <c r="H490" s="1551"/>
      <c r="I490" s="1533"/>
      <c r="J490" s="1551">
        <f>'Part IV-Uses of Funds'!J61</f>
        <v>151044</v>
      </c>
      <c r="K490" s="1551"/>
      <c r="L490" s="1552"/>
      <c r="M490" s="1551">
        <f>'Part IV-Uses of Funds'!M61</f>
        <v>0</v>
      </c>
      <c r="N490" s="1551"/>
      <c r="O490" s="1528"/>
      <c r="P490" s="1551">
        <f>'Part IV-Uses of Funds'!P61</f>
        <v>0</v>
      </c>
      <c r="Q490" s="1551"/>
      <c r="R490" s="1528"/>
      <c r="S490" s="1551">
        <f>'Part IV-Uses of Funds'!S61</f>
        <v>0</v>
      </c>
      <c r="T490" s="1551"/>
      <c r="U490" s="1528"/>
      <c r="V490" s="1581">
        <f>'Part IV-Uses of Funds'!V61</f>
        <v>0</v>
      </c>
      <c r="W490" s="1634"/>
      <c r="X490" s="1634"/>
    </row>
    <row r="491" spans="1:24" ht="15.75">
      <c r="A491" s="1635" t="str">
        <f>IF(AND(G491&gt;0,OR(C491="",C491="&lt;Enter detailed description here; use Comments section if needed&gt;")),"X","")</f>
        <v/>
      </c>
      <c r="B491" s="1528" t="s">
        <v>778</v>
      </c>
      <c r="C491" s="1528" t="str">
        <f>'Part IV-Uses of Funds'!C62</f>
        <v>&lt;Enter detailed description here; use Comments section if needed&gt;</v>
      </c>
      <c r="D491" s="1528"/>
      <c r="E491" s="1528"/>
      <c r="F491" s="1528"/>
      <c r="G491" s="1551">
        <f>'Part IV-Uses of Funds'!G62</f>
        <v>0</v>
      </c>
      <c r="H491" s="1551"/>
      <c r="I491" s="1528"/>
      <c r="J491" s="1551">
        <f>'Part IV-Uses of Funds'!J62</f>
        <v>0</v>
      </c>
      <c r="K491" s="1551"/>
      <c r="L491" s="1552"/>
      <c r="M491" s="1551">
        <f>'Part IV-Uses of Funds'!M62</f>
        <v>0</v>
      </c>
      <c r="N491" s="1551"/>
      <c r="O491" s="1528"/>
      <c r="P491" s="1551">
        <f>'Part IV-Uses of Funds'!P62</f>
        <v>0</v>
      </c>
      <c r="Q491" s="1551"/>
      <c r="R491" s="1528"/>
      <c r="S491" s="1551">
        <f>'Part IV-Uses of Funds'!S62</f>
        <v>0</v>
      </c>
      <c r="T491" s="1551"/>
      <c r="U491" s="1529" t="str">
        <f>IF(AND(G491&gt;0,OR(C491="",C491="&lt;Enter detailed description here; use Comments section if needed&gt;")),"NO DESCRIPTION PROVIDED - please enter detailed description in Other box at left; use Comments section below if needed.","")</f>
        <v/>
      </c>
      <c r="V491" s="1581">
        <f>'Part IV-Uses of Funds'!V62</f>
        <v>0</v>
      </c>
      <c r="W491" s="1634"/>
      <c r="X491" s="1634"/>
    </row>
    <row r="492" spans="1:24" ht="15.75">
      <c r="A492" s="1635" t="str">
        <f>IF(AND(G492&gt;0,OR(C492="",C492="&lt;Enter detailed description here; use Comments section if needed&gt;")),"X","")</f>
        <v/>
      </c>
      <c r="B492" s="1528" t="s">
        <v>778</v>
      </c>
      <c r="C492" s="1528" t="str">
        <f>'Part IV-Uses of Funds'!C63</f>
        <v>&lt;Enter detailed description here; use Comments section if needed&gt;</v>
      </c>
      <c r="D492" s="1528"/>
      <c r="E492" s="1528"/>
      <c r="F492" s="1528"/>
      <c r="G492" s="1551">
        <f>'Part IV-Uses of Funds'!G63</f>
        <v>0</v>
      </c>
      <c r="H492" s="1551"/>
      <c r="I492" s="1528"/>
      <c r="J492" s="1551">
        <f>'Part IV-Uses of Funds'!J63</f>
        <v>0</v>
      </c>
      <c r="K492" s="1551"/>
      <c r="L492" s="1552"/>
      <c r="M492" s="1551">
        <f>'Part IV-Uses of Funds'!M63</f>
        <v>0</v>
      </c>
      <c r="N492" s="1551"/>
      <c r="O492" s="1528"/>
      <c r="P492" s="1551">
        <f>'Part IV-Uses of Funds'!P63</f>
        <v>0</v>
      </c>
      <c r="Q492" s="1551"/>
      <c r="R492" s="1528"/>
      <c r="S492" s="1551">
        <f>'Part IV-Uses of Funds'!S63</f>
        <v>0</v>
      </c>
      <c r="T492" s="1551"/>
      <c r="U492" s="1529" t="str">
        <f>IF(AND(G492&gt;0,OR(C492="",C492="&lt;Enter detailed description here; use Comments section if needed&gt;")),"NO DESCRIPTION PROVIDED - please enter detailed description in Other box at left; use Comments section below if needed.","")</f>
        <v/>
      </c>
      <c r="V492" s="1581">
        <f>'Part IV-Uses of Funds'!V63</f>
        <v>0</v>
      </c>
      <c r="W492" s="1634"/>
      <c r="X492" s="1634"/>
    </row>
    <row r="493" spans="1:24">
      <c r="A493" s="1528"/>
      <c r="B493" s="1528"/>
      <c r="C493" s="1528"/>
      <c r="D493" s="1528"/>
      <c r="E493" s="1528"/>
      <c r="F493" s="1636" t="s">
        <v>198</v>
      </c>
      <c r="G493" s="1551">
        <f>SUM(G482:H492)</f>
        <v>880017</v>
      </c>
      <c r="H493" s="1551"/>
      <c r="I493" s="1528"/>
      <c r="J493" s="1551">
        <f>SUM(J482:K492)</f>
        <v>880017</v>
      </c>
      <c r="K493" s="1551"/>
      <c r="L493" s="1552"/>
      <c r="M493" s="1551">
        <f>SUM(M482:N492)</f>
        <v>0</v>
      </c>
      <c r="N493" s="1551"/>
      <c r="O493" s="1528"/>
      <c r="P493" s="1551">
        <f>SUM(P482:Q492)</f>
        <v>0</v>
      </c>
      <c r="Q493" s="1551"/>
      <c r="R493" s="1528"/>
      <c r="S493" s="1551">
        <f>SUM(S482:T492)</f>
        <v>0</v>
      </c>
      <c r="T493" s="1551"/>
      <c r="U493" s="1528"/>
      <c r="V493" s="1581">
        <f>SUM(V482:V492)</f>
        <v>0</v>
      </c>
      <c r="W493" s="1634"/>
      <c r="X493" s="1634"/>
    </row>
    <row r="494" spans="1:24">
      <c r="A494" s="1528"/>
      <c r="B494" s="1511" t="s">
        <v>498</v>
      </c>
      <c r="C494" s="1528"/>
      <c r="D494" s="1528"/>
      <c r="E494" s="1528"/>
      <c r="F494" s="1528"/>
      <c r="G494" s="1551"/>
      <c r="H494" s="1551"/>
      <c r="I494" s="1528"/>
      <c r="J494" s="1551"/>
      <c r="K494" s="1551"/>
      <c r="L494" s="1528"/>
      <c r="M494" s="1551"/>
      <c r="N494" s="1551"/>
      <c r="O494" s="1637" t="str">
        <f>B494</f>
        <v>PROFESSIONAL SERVICES</v>
      </c>
      <c r="P494" s="1551"/>
      <c r="Q494" s="1551"/>
      <c r="R494" s="1528"/>
      <c r="S494" s="1551"/>
      <c r="T494" s="1551"/>
      <c r="U494" s="1528"/>
      <c r="V494" s="1528"/>
      <c r="W494" s="1528" t="str">
        <f>B494</f>
        <v>PROFESSIONAL SERVICES</v>
      </c>
      <c r="X494" s="1528"/>
    </row>
    <row r="495" spans="1:24">
      <c r="A495" s="1528"/>
      <c r="B495" s="1528" t="s">
        <v>499</v>
      </c>
      <c r="C495" s="1528"/>
      <c r="D495" s="1528"/>
      <c r="E495" s="1528"/>
      <c r="F495" s="1528"/>
      <c r="G495" s="1551">
        <f>'Part IV-Uses of Funds'!G66</f>
        <v>350000</v>
      </c>
      <c r="H495" s="1551"/>
      <c r="I495" s="1528"/>
      <c r="J495" s="1551">
        <f>'Part IV-Uses of Funds'!J66</f>
        <v>350000</v>
      </c>
      <c r="K495" s="1551"/>
      <c r="L495" s="1552"/>
      <c r="M495" s="1551">
        <f>'Part IV-Uses of Funds'!M66</f>
        <v>0</v>
      </c>
      <c r="N495" s="1551"/>
      <c r="O495" s="1528"/>
      <c r="P495" s="1551">
        <f>'Part IV-Uses of Funds'!P66</f>
        <v>0</v>
      </c>
      <c r="Q495" s="1551"/>
      <c r="R495" s="1528"/>
      <c r="S495" s="1551">
        <f>'Part IV-Uses of Funds'!S66</f>
        <v>0</v>
      </c>
      <c r="T495" s="1551"/>
      <c r="U495" s="1528"/>
      <c r="V495" s="1581">
        <f>'Part IV-Uses of Funds'!V66</f>
        <v>0</v>
      </c>
      <c r="W495" s="1634">
        <f>'Part IV-Uses of Funds'!W66</f>
        <v>0</v>
      </c>
      <c r="X495" s="1634"/>
    </row>
    <row r="496" spans="1:24">
      <c r="A496" s="1528"/>
      <c r="B496" s="1528" t="s">
        <v>500</v>
      </c>
      <c r="C496" s="1528"/>
      <c r="D496" s="1528"/>
      <c r="E496" s="1528"/>
      <c r="F496" s="1528"/>
      <c r="G496" s="1551">
        <f>'Part IV-Uses of Funds'!G67</f>
        <v>60000</v>
      </c>
      <c r="H496" s="1551"/>
      <c r="I496" s="1528"/>
      <c r="J496" s="1551">
        <f>'Part IV-Uses of Funds'!J67</f>
        <v>60000</v>
      </c>
      <c r="K496" s="1551"/>
      <c r="L496" s="1552"/>
      <c r="M496" s="1551">
        <f>'Part IV-Uses of Funds'!M67</f>
        <v>0</v>
      </c>
      <c r="N496" s="1551"/>
      <c r="O496" s="1528"/>
      <c r="P496" s="1551">
        <f>'Part IV-Uses of Funds'!P67</f>
        <v>0</v>
      </c>
      <c r="Q496" s="1551"/>
      <c r="R496" s="1528"/>
      <c r="S496" s="1551">
        <f>'Part IV-Uses of Funds'!S67</f>
        <v>0</v>
      </c>
      <c r="T496" s="1551"/>
      <c r="U496" s="1528"/>
      <c r="V496" s="1581">
        <f>'Part IV-Uses of Funds'!V67</f>
        <v>0</v>
      </c>
      <c r="W496" s="1634"/>
      <c r="X496" s="1634"/>
    </row>
    <row r="497" spans="1:24">
      <c r="A497" s="1528"/>
      <c r="B497" s="1528" t="s">
        <v>1173</v>
      </c>
      <c r="C497" s="1528"/>
      <c r="D497" s="1528"/>
      <c r="E497" s="1528"/>
      <c r="F497" s="1528" t="s">
        <v>2963</v>
      </c>
      <c r="G497" s="1551">
        <f>'Part IV-Uses of Funds'!G68</f>
        <v>0</v>
      </c>
      <c r="H497" s="1551"/>
      <c r="I497" s="1528"/>
      <c r="J497" s="1551">
        <f>'Part IV-Uses of Funds'!J68</f>
        <v>0</v>
      </c>
      <c r="K497" s="1551"/>
      <c r="L497" s="1552"/>
      <c r="M497" s="1551">
        <f>'Part IV-Uses of Funds'!M68</f>
        <v>0</v>
      </c>
      <c r="N497" s="1551"/>
      <c r="O497" s="1528"/>
      <c r="P497" s="1551">
        <f>'Part IV-Uses of Funds'!P68</f>
        <v>0</v>
      </c>
      <c r="Q497" s="1551"/>
      <c r="R497" s="1528"/>
      <c r="S497" s="1551">
        <f>'Part IV-Uses of Funds'!S68</f>
        <v>0</v>
      </c>
      <c r="T497" s="1551"/>
      <c r="U497" s="1528"/>
      <c r="V497" s="1581">
        <f>'Part IV-Uses of Funds'!V68</f>
        <v>0</v>
      </c>
      <c r="W497" s="1634"/>
      <c r="X497" s="1634"/>
    </row>
    <row r="498" spans="1:24">
      <c r="A498" s="1528"/>
      <c r="B498" s="1528" t="s">
        <v>1174</v>
      </c>
      <c r="C498" s="1528"/>
      <c r="D498" s="1528"/>
      <c r="E498" s="1528"/>
      <c r="F498" s="1528"/>
      <c r="G498" s="1551">
        <f>'Part IV-Uses of Funds'!G69</f>
        <v>0</v>
      </c>
      <c r="H498" s="1551"/>
      <c r="I498" s="1528"/>
      <c r="J498" s="1551">
        <f>'Part IV-Uses of Funds'!J69</f>
        <v>0</v>
      </c>
      <c r="K498" s="1551"/>
      <c r="L498" s="1552"/>
      <c r="M498" s="1551">
        <f>'Part IV-Uses of Funds'!M69</f>
        <v>0</v>
      </c>
      <c r="N498" s="1551"/>
      <c r="O498" s="1528"/>
      <c r="P498" s="1551">
        <f>'Part IV-Uses of Funds'!P69</f>
        <v>0</v>
      </c>
      <c r="Q498" s="1551"/>
      <c r="R498" s="1528"/>
      <c r="S498" s="1551">
        <f>'Part IV-Uses of Funds'!S69</f>
        <v>0</v>
      </c>
      <c r="T498" s="1551"/>
      <c r="U498" s="1528"/>
      <c r="V498" s="1581">
        <f>'Part IV-Uses of Funds'!V69</f>
        <v>0</v>
      </c>
      <c r="W498" s="1634"/>
      <c r="X498" s="1634"/>
    </row>
    <row r="499" spans="1:24">
      <c r="A499" s="1528"/>
      <c r="B499" s="1528" t="s">
        <v>1175</v>
      </c>
      <c r="C499" s="1528"/>
      <c r="D499" s="1528"/>
      <c r="E499" s="1528"/>
      <c r="F499" s="1528"/>
      <c r="G499" s="1551">
        <f>'Part IV-Uses of Funds'!G70</f>
        <v>0</v>
      </c>
      <c r="H499" s="1551"/>
      <c r="I499" s="1528"/>
      <c r="J499" s="1551">
        <f>'Part IV-Uses of Funds'!J70</f>
        <v>0</v>
      </c>
      <c r="K499" s="1551"/>
      <c r="L499" s="1552"/>
      <c r="M499" s="1551">
        <f>'Part IV-Uses of Funds'!M70</f>
        <v>0</v>
      </c>
      <c r="N499" s="1551"/>
      <c r="O499" s="1528"/>
      <c r="P499" s="1551">
        <f>'Part IV-Uses of Funds'!P70</f>
        <v>0</v>
      </c>
      <c r="Q499" s="1551"/>
      <c r="R499" s="1528"/>
      <c r="S499" s="1551">
        <f>'Part IV-Uses of Funds'!S70</f>
        <v>0</v>
      </c>
      <c r="T499" s="1551"/>
      <c r="U499" s="1528"/>
      <c r="V499" s="1581">
        <f>'Part IV-Uses of Funds'!V70</f>
        <v>0</v>
      </c>
      <c r="W499" s="1634"/>
      <c r="X499" s="1634"/>
    </row>
    <row r="500" spans="1:24">
      <c r="A500" s="1528"/>
      <c r="B500" s="1528" t="s">
        <v>1176</v>
      </c>
      <c r="C500" s="1528"/>
      <c r="D500" s="1528"/>
      <c r="E500" s="1528"/>
      <c r="F500" s="1528"/>
      <c r="G500" s="1551">
        <f>'Part IV-Uses of Funds'!G71</f>
        <v>0</v>
      </c>
      <c r="H500" s="1551"/>
      <c r="I500" s="1528"/>
      <c r="J500" s="1551">
        <f>'Part IV-Uses of Funds'!J71</f>
        <v>0</v>
      </c>
      <c r="K500" s="1551"/>
      <c r="L500" s="1552"/>
      <c r="M500" s="1551">
        <f>'Part IV-Uses of Funds'!M71</f>
        <v>0</v>
      </c>
      <c r="N500" s="1551"/>
      <c r="O500" s="1528"/>
      <c r="P500" s="1551">
        <f>'Part IV-Uses of Funds'!P71</f>
        <v>0</v>
      </c>
      <c r="Q500" s="1551"/>
      <c r="R500" s="1528"/>
      <c r="S500" s="1551">
        <f>'Part IV-Uses of Funds'!S71</f>
        <v>0</v>
      </c>
      <c r="T500" s="1551"/>
      <c r="U500" s="1528"/>
      <c r="V500" s="1581">
        <f>'Part IV-Uses of Funds'!V71</f>
        <v>0</v>
      </c>
      <c r="W500" s="1634"/>
      <c r="X500" s="1634"/>
    </row>
    <row r="501" spans="1:24">
      <c r="A501" s="1528"/>
      <c r="B501" s="1528" t="s">
        <v>501</v>
      </c>
      <c r="C501" s="1528"/>
      <c r="D501" s="1528"/>
      <c r="E501" s="1528"/>
      <c r="F501" s="1528"/>
      <c r="G501" s="1551">
        <f>'Part IV-Uses of Funds'!G72</f>
        <v>125000</v>
      </c>
      <c r="H501" s="1551"/>
      <c r="I501" s="1528"/>
      <c r="J501" s="1551">
        <f>'Part IV-Uses of Funds'!J72</f>
        <v>125000</v>
      </c>
      <c r="K501" s="1551"/>
      <c r="L501" s="1552"/>
      <c r="M501" s="1551">
        <f>'Part IV-Uses of Funds'!M72</f>
        <v>0</v>
      </c>
      <c r="N501" s="1551"/>
      <c r="O501" s="1528"/>
      <c r="P501" s="1551">
        <f>'Part IV-Uses of Funds'!P72</f>
        <v>0</v>
      </c>
      <c r="Q501" s="1551"/>
      <c r="R501" s="1528"/>
      <c r="S501" s="1551">
        <f>'Part IV-Uses of Funds'!S72</f>
        <v>0</v>
      </c>
      <c r="T501" s="1551"/>
      <c r="U501" s="1528"/>
      <c r="V501" s="1581">
        <f>'Part IV-Uses of Funds'!V72</f>
        <v>0</v>
      </c>
      <c r="W501" s="1634"/>
      <c r="X501" s="1634"/>
    </row>
    <row r="502" spans="1:24">
      <c r="A502" s="1528"/>
      <c r="B502" s="1528" t="s">
        <v>502</v>
      </c>
      <c r="C502" s="1528"/>
      <c r="D502" s="1528"/>
      <c r="E502" s="1528"/>
      <c r="F502" s="1528"/>
      <c r="G502" s="1551">
        <f>'Part IV-Uses of Funds'!G73</f>
        <v>120000</v>
      </c>
      <c r="H502" s="1551"/>
      <c r="I502" s="1528"/>
      <c r="J502" s="1551">
        <f>'Part IV-Uses of Funds'!J73</f>
        <v>60000</v>
      </c>
      <c r="K502" s="1551"/>
      <c r="L502" s="1552"/>
      <c r="M502" s="1551">
        <f>'Part IV-Uses of Funds'!M73</f>
        <v>0</v>
      </c>
      <c r="N502" s="1551"/>
      <c r="O502" s="1528"/>
      <c r="P502" s="1551">
        <f>'Part IV-Uses of Funds'!P73</f>
        <v>0</v>
      </c>
      <c r="Q502" s="1551"/>
      <c r="R502" s="1528"/>
      <c r="S502" s="1551">
        <f>'Part IV-Uses of Funds'!S73</f>
        <v>60000</v>
      </c>
      <c r="T502" s="1551"/>
      <c r="U502" s="1528"/>
      <c r="V502" s="1581">
        <f>'Part IV-Uses of Funds'!V73</f>
        <v>0</v>
      </c>
      <c r="W502" s="1634"/>
      <c r="X502" s="1634"/>
    </row>
    <row r="503" spans="1:24">
      <c r="A503" s="1528"/>
      <c r="B503" s="1528" t="s">
        <v>2137</v>
      </c>
      <c r="C503" s="1528"/>
      <c r="D503" s="1528"/>
      <c r="E503" s="1528"/>
      <c r="F503" s="1528"/>
      <c r="G503" s="1551">
        <f>'Part IV-Uses of Funds'!G74</f>
        <v>40000</v>
      </c>
      <c r="H503" s="1551"/>
      <c r="I503" s="1528"/>
      <c r="J503" s="1551">
        <f>'Part IV-Uses of Funds'!J74</f>
        <v>40000</v>
      </c>
      <c r="K503" s="1551"/>
      <c r="L503" s="1552"/>
      <c r="M503" s="1551">
        <f>'Part IV-Uses of Funds'!M74</f>
        <v>0</v>
      </c>
      <c r="N503" s="1551"/>
      <c r="O503" s="1528"/>
      <c r="P503" s="1551">
        <f>'Part IV-Uses of Funds'!P74</f>
        <v>0</v>
      </c>
      <c r="Q503" s="1551"/>
      <c r="R503" s="1528"/>
      <c r="S503" s="1551">
        <f>'Part IV-Uses of Funds'!S74</f>
        <v>0</v>
      </c>
      <c r="T503" s="1551"/>
      <c r="U503" s="1528"/>
      <c r="V503" s="1581">
        <f>'Part IV-Uses of Funds'!V74</f>
        <v>0</v>
      </c>
      <c r="W503" s="1634"/>
      <c r="X503" s="1634"/>
    </row>
    <row r="504" spans="1:24">
      <c r="A504" s="1528"/>
      <c r="B504" s="1528" t="s">
        <v>1331</v>
      </c>
      <c r="C504" s="1528"/>
      <c r="D504" s="1528"/>
      <c r="E504" s="1528"/>
      <c r="F504" s="1528"/>
      <c r="G504" s="1551">
        <f>'Part IV-Uses of Funds'!G75</f>
        <v>10000</v>
      </c>
      <c r="H504" s="1551"/>
      <c r="I504" s="1528"/>
      <c r="J504" s="1551">
        <f>'Part IV-Uses of Funds'!J75</f>
        <v>10000</v>
      </c>
      <c r="K504" s="1551"/>
      <c r="L504" s="1552"/>
      <c r="M504" s="1551">
        <f>'Part IV-Uses of Funds'!M75</f>
        <v>0</v>
      </c>
      <c r="N504" s="1551"/>
      <c r="O504" s="1528"/>
      <c r="P504" s="1551">
        <f>'Part IV-Uses of Funds'!P75</f>
        <v>0</v>
      </c>
      <c r="Q504" s="1551"/>
      <c r="R504" s="1528"/>
      <c r="S504" s="1551">
        <f>'Part IV-Uses of Funds'!S75</f>
        <v>0</v>
      </c>
      <c r="T504" s="1551"/>
      <c r="U504" s="1528"/>
      <c r="V504" s="1581">
        <f>'Part IV-Uses of Funds'!V75</f>
        <v>0</v>
      </c>
      <c r="W504" s="1634"/>
      <c r="X504" s="1634"/>
    </row>
    <row r="505" spans="1:24" ht="15.75">
      <c r="A505" s="1635" t="str">
        <f>IF(AND(G505&gt;0,OR(C505="",C505="&lt;Enter detailed description here; use Comments section if needed&gt;")),"X","")</f>
        <v/>
      </c>
      <c r="B505" s="1528" t="s">
        <v>778</v>
      </c>
      <c r="C505" s="1528" t="str">
        <f>'Part IV-Uses of Funds'!C76</f>
        <v>&lt;Enter detailed description here; use Comments section if needed&gt;</v>
      </c>
      <c r="D505" s="1528"/>
      <c r="E505" s="1528"/>
      <c r="F505" s="1528"/>
      <c r="G505" s="1551">
        <f>'Part IV-Uses of Funds'!G76</f>
        <v>0</v>
      </c>
      <c r="H505" s="1551"/>
      <c r="I505" s="1528"/>
      <c r="J505" s="1551">
        <f>'Part IV-Uses of Funds'!J76</f>
        <v>0</v>
      </c>
      <c r="K505" s="1551"/>
      <c r="L505" s="1552"/>
      <c r="M505" s="1551">
        <f>'Part IV-Uses of Funds'!M76</f>
        <v>0</v>
      </c>
      <c r="N505" s="1551"/>
      <c r="O505" s="1528"/>
      <c r="P505" s="1551">
        <f>'Part IV-Uses of Funds'!P76</f>
        <v>0</v>
      </c>
      <c r="Q505" s="1551"/>
      <c r="R505" s="1528"/>
      <c r="S505" s="1551">
        <f>'Part IV-Uses of Funds'!S76</f>
        <v>0</v>
      </c>
      <c r="T505" s="1551"/>
      <c r="U505" s="1529" t="str">
        <f>IF(AND(G505&gt;0,OR(C505="",C505="&lt;Enter detailed description here; use Comments section if needed&gt;")),"NO DESCRIPTION PROVIDED - please enter detailed description in Other box at left; use Comments section below if needed.","")</f>
        <v/>
      </c>
      <c r="V505" s="1581">
        <f>'Part IV-Uses of Funds'!V76</f>
        <v>0</v>
      </c>
      <c r="W505" s="1634"/>
      <c r="X505" s="1634"/>
    </row>
    <row r="506" spans="1:24">
      <c r="A506" s="1528"/>
      <c r="B506" s="1528"/>
      <c r="C506" s="1528"/>
      <c r="D506" s="1528"/>
      <c r="E506" s="1528"/>
      <c r="F506" s="1636" t="s">
        <v>198</v>
      </c>
      <c r="G506" s="1551">
        <f>SUM(G495:H505)</f>
        <v>705000</v>
      </c>
      <c r="H506" s="1551"/>
      <c r="I506" s="1528"/>
      <c r="J506" s="1551">
        <f>SUM(J495:K505)</f>
        <v>645000</v>
      </c>
      <c r="K506" s="1551"/>
      <c r="L506" s="1552"/>
      <c r="M506" s="1551">
        <f>SUM(M495:N505)</f>
        <v>0</v>
      </c>
      <c r="N506" s="1551"/>
      <c r="O506" s="1528"/>
      <c r="P506" s="1551">
        <f>SUM(P495:Q505)</f>
        <v>0</v>
      </c>
      <c r="Q506" s="1551"/>
      <c r="R506" s="1528"/>
      <c r="S506" s="1551">
        <f>SUM(S495:T505)</f>
        <v>60000</v>
      </c>
      <c r="T506" s="1551"/>
      <c r="U506" s="1528"/>
      <c r="V506" s="1581">
        <f>SUM(V495:V505)</f>
        <v>0</v>
      </c>
      <c r="W506" s="1634"/>
      <c r="X506" s="1634"/>
    </row>
    <row r="507" spans="1:24">
      <c r="A507" s="1528"/>
      <c r="B507" s="1511" t="s">
        <v>1323</v>
      </c>
      <c r="C507" s="1528"/>
      <c r="D507" s="1528"/>
      <c r="E507" s="1528"/>
      <c r="F507" s="1528"/>
      <c r="G507" s="1528"/>
      <c r="H507" s="1528"/>
      <c r="I507" s="1528"/>
      <c r="J507" s="1552"/>
      <c r="K507" s="1552"/>
      <c r="L507" s="1533"/>
      <c r="M507" s="1552"/>
      <c r="N507" s="1552"/>
      <c r="O507" s="1637" t="str">
        <f>B507</f>
        <v>LOCAL GOVERNMENT FEES</v>
      </c>
      <c r="P507" s="1552"/>
      <c r="Q507" s="1552"/>
      <c r="R507" s="1533"/>
      <c r="S507" s="1552"/>
      <c r="T507" s="1552"/>
      <c r="U507" s="1533"/>
      <c r="V507" s="1533"/>
      <c r="W507" s="1528" t="str">
        <f>B507</f>
        <v>LOCAL GOVERNMENT FEES</v>
      </c>
      <c r="X507" s="1533"/>
    </row>
    <row r="508" spans="1:24">
      <c r="A508" s="1528"/>
      <c r="B508" s="1528" t="s">
        <v>1324</v>
      </c>
      <c r="C508" s="1528"/>
      <c r="D508" s="1528"/>
      <c r="E508" s="1528"/>
      <c r="F508" s="1528"/>
      <c r="G508" s="1551">
        <f>'Part IV-Uses of Funds'!G79</f>
        <v>90000</v>
      </c>
      <c r="H508" s="1551"/>
      <c r="I508" s="1528"/>
      <c r="J508" s="1551">
        <f>'Part IV-Uses of Funds'!J79</f>
        <v>90000</v>
      </c>
      <c r="K508" s="1551"/>
      <c r="L508" s="1552"/>
      <c r="M508" s="1551">
        <f>'Part IV-Uses of Funds'!M79</f>
        <v>0</v>
      </c>
      <c r="N508" s="1551"/>
      <c r="O508" s="1528"/>
      <c r="P508" s="1551">
        <f>'Part IV-Uses of Funds'!P79</f>
        <v>0</v>
      </c>
      <c r="Q508" s="1551"/>
      <c r="R508" s="1528"/>
      <c r="S508" s="1551">
        <f>'Part IV-Uses of Funds'!S79</f>
        <v>0</v>
      </c>
      <c r="T508" s="1551"/>
      <c r="U508" s="1528"/>
      <c r="V508" s="1581">
        <f>'Part IV-Uses of Funds'!V79</f>
        <v>0</v>
      </c>
      <c r="W508" s="1629">
        <f>'Part IV-Uses of Funds'!W79</f>
        <v>0</v>
      </c>
      <c r="X508" s="1629"/>
    </row>
    <row r="509" spans="1:24">
      <c r="A509" s="1528"/>
      <c r="B509" s="1528" t="s">
        <v>1325</v>
      </c>
      <c r="C509" s="1528"/>
      <c r="D509" s="1528"/>
      <c r="E509" s="1528"/>
      <c r="F509" s="1528"/>
      <c r="G509" s="1551">
        <f>'Part IV-Uses of Funds'!G80</f>
        <v>236500</v>
      </c>
      <c r="H509" s="1551"/>
      <c r="I509" s="1528"/>
      <c r="J509" s="1551">
        <f>'Part IV-Uses of Funds'!J80</f>
        <v>236500</v>
      </c>
      <c r="K509" s="1551"/>
      <c r="L509" s="1552"/>
      <c r="M509" s="1551">
        <f>'Part IV-Uses of Funds'!M80</f>
        <v>0</v>
      </c>
      <c r="N509" s="1551"/>
      <c r="O509" s="1528"/>
      <c r="P509" s="1551">
        <f>'Part IV-Uses of Funds'!P80</f>
        <v>0</v>
      </c>
      <c r="Q509" s="1551"/>
      <c r="R509" s="1528"/>
      <c r="S509" s="1551">
        <f>'Part IV-Uses of Funds'!S80</f>
        <v>0</v>
      </c>
      <c r="T509" s="1551"/>
      <c r="U509" s="1528"/>
      <c r="V509" s="1581">
        <f>'Part IV-Uses of Funds'!V80</f>
        <v>0</v>
      </c>
      <c r="W509" s="1629"/>
      <c r="X509" s="1629"/>
    </row>
    <row r="510" spans="1:24">
      <c r="A510" s="1528"/>
      <c r="B510" s="1528" t="s">
        <v>1326</v>
      </c>
      <c r="C510" s="1528"/>
      <c r="D510" s="1652" t="s">
        <v>1462</v>
      </c>
      <c r="E510" s="1653">
        <f>'Part IV-Uses of Funds'!E81</f>
        <v>0</v>
      </c>
      <c r="F510" s="1528"/>
      <c r="G510" s="1551">
        <f>'Part IV-Uses of Funds'!G81</f>
        <v>20000</v>
      </c>
      <c r="H510" s="1551"/>
      <c r="I510" s="1533"/>
      <c r="J510" s="1551">
        <f>'Part IV-Uses of Funds'!J81</f>
        <v>20000</v>
      </c>
      <c r="K510" s="1551"/>
      <c r="L510" s="1552"/>
      <c r="M510" s="1551">
        <f>'Part IV-Uses of Funds'!M81</f>
        <v>0</v>
      </c>
      <c r="N510" s="1551"/>
      <c r="O510" s="1528"/>
      <c r="P510" s="1551">
        <f>'Part IV-Uses of Funds'!P81</f>
        <v>0</v>
      </c>
      <c r="Q510" s="1551"/>
      <c r="R510" s="1528"/>
      <c r="S510" s="1551">
        <f>'Part IV-Uses of Funds'!S81</f>
        <v>0</v>
      </c>
      <c r="T510" s="1551"/>
      <c r="U510" s="1528"/>
      <c r="V510" s="1581">
        <f>'Part IV-Uses of Funds'!V81</f>
        <v>0</v>
      </c>
      <c r="W510" s="1629"/>
      <c r="X510" s="1629"/>
    </row>
    <row r="511" spans="1:24">
      <c r="A511" s="1528"/>
      <c r="B511" s="1528" t="s">
        <v>1327</v>
      </c>
      <c r="C511" s="1528"/>
      <c r="D511" s="1652" t="s">
        <v>1462</v>
      </c>
      <c r="E511" s="1653">
        <f>'Part IV-Uses of Funds'!E82</f>
        <v>0</v>
      </c>
      <c r="F511" s="1528"/>
      <c r="G511" s="1551">
        <f>'Part IV-Uses of Funds'!G82</f>
        <v>20000</v>
      </c>
      <c r="H511" s="1551"/>
      <c r="I511" s="1533"/>
      <c r="J511" s="1551">
        <f>'Part IV-Uses of Funds'!J82</f>
        <v>20000</v>
      </c>
      <c r="K511" s="1551"/>
      <c r="L511" s="1552"/>
      <c r="M511" s="1551">
        <f>'Part IV-Uses of Funds'!M82</f>
        <v>0</v>
      </c>
      <c r="N511" s="1551"/>
      <c r="O511" s="1528"/>
      <c r="P511" s="1551">
        <f>'Part IV-Uses of Funds'!P82</f>
        <v>0</v>
      </c>
      <c r="Q511" s="1551"/>
      <c r="R511" s="1528"/>
      <c r="S511" s="1551">
        <f>'Part IV-Uses of Funds'!S82</f>
        <v>0</v>
      </c>
      <c r="T511" s="1551"/>
      <c r="U511" s="1528"/>
      <c r="V511" s="1581">
        <f>'Part IV-Uses of Funds'!V82</f>
        <v>0</v>
      </c>
      <c r="W511" s="1629"/>
      <c r="X511" s="1629"/>
    </row>
    <row r="512" spans="1:24">
      <c r="A512" s="1528"/>
      <c r="B512" s="1528"/>
      <c r="C512" s="1528"/>
      <c r="D512" s="1528"/>
      <c r="E512" s="1528"/>
      <c r="F512" s="1636" t="s">
        <v>198</v>
      </c>
      <c r="G512" s="1551">
        <f>SUM(G508:H511)</f>
        <v>366500</v>
      </c>
      <c r="H512" s="1551"/>
      <c r="I512" s="1528"/>
      <c r="J512" s="1551">
        <f>SUM(J508:K511)</f>
        <v>366500</v>
      </c>
      <c r="K512" s="1551"/>
      <c r="L512" s="1552"/>
      <c r="M512" s="1551">
        <f>SUM(M508:N511)</f>
        <v>0</v>
      </c>
      <c r="N512" s="1551"/>
      <c r="O512" s="1528"/>
      <c r="P512" s="1551">
        <f>SUM(P508:Q511)</f>
        <v>0</v>
      </c>
      <c r="Q512" s="1551"/>
      <c r="R512" s="1528"/>
      <c r="S512" s="1551">
        <f>SUM(S508:T511)</f>
        <v>0</v>
      </c>
      <c r="T512" s="1551"/>
      <c r="U512" s="1528"/>
      <c r="V512" s="1581">
        <f>SUM(V508:V511)</f>
        <v>0</v>
      </c>
      <c r="W512" s="1629"/>
      <c r="X512" s="1629"/>
    </row>
    <row r="513" spans="1:24">
      <c r="A513" s="1528"/>
      <c r="B513" s="1511" t="s">
        <v>761</v>
      </c>
      <c r="C513" s="1528"/>
      <c r="D513" s="1528"/>
      <c r="E513" s="1528"/>
      <c r="F513" s="1528"/>
      <c r="G513" s="1528"/>
      <c r="H513" s="1528"/>
      <c r="I513" s="1528"/>
      <c r="J513" s="1552"/>
      <c r="K513" s="1552"/>
      <c r="L513" s="1528"/>
      <c r="M513" s="1552"/>
      <c r="N513" s="1552"/>
      <c r="O513" s="1637" t="str">
        <f>B513</f>
        <v>PERMANENT FINANCING FEES</v>
      </c>
      <c r="P513" s="1552"/>
      <c r="Q513" s="1552"/>
      <c r="R513" s="1528"/>
      <c r="S513" s="1552"/>
      <c r="T513" s="1552"/>
      <c r="U513" s="1528"/>
      <c r="V513" s="1528"/>
      <c r="W513" s="1528" t="str">
        <f>B513</f>
        <v>PERMANENT FINANCING FEES</v>
      </c>
      <c r="X513" s="1528"/>
    </row>
    <row r="514" spans="1:24">
      <c r="A514" s="1528"/>
      <c r="B514" s="1528" t="s">
        <v>1328</v>
      </c>
      <c r="C514" s="1528"/>
      <c r="D514" s="1528"/>
      <c r="E514" s="1528"/>
      <c r="F514" s="1528"/>
      <c r="G514" s="1551">
        <f>'Part IV-Uses of Funds'!G85</f>
        <v>80000</v>
      </c>
      <c r="H514" s="1551"/>
      <c r="I514" s="1528"/>
      <c r="J514" s="1551"/>
      <c r="K514" s="1551"/>
      <c r="L514" s="1552"/>
      <c r="M514" s="1551"/>
      <c r="N514" s="1551"/>
      <c r="O514" s="1528"/>
      <c r="P514" s="1551"/>
      <c r="Q514" s="1551"/>
      <c r="R514" s="1528"/>
      <c r="S514" s="1551">
        <f>'Part IV-Uses of Funds'!S85</f>
        <v>80000</v>
      </c>
      <c r="T514" s="1551"/>
      <c r="U514" s="1528"/>
      <c r="V514" s="1581">
        <f>'Part IV-Uses of Funds'!V85</f>
        <v>0</v>
      </c>
      <c r="W514" s="1629">
        <f>'Part IV-Uses of Funds'!W85</f>
        <v>0</v>
      </c>
      <c r="X514" s="1629"/>
    </row>
    <row r="515" spans="1:24">
      <c r="A515" s="1528"/>
      <c r="B515" s="1528" t="s">
        <v>1329</v>
      </c>
      <c r="C515" s="1528"/>
      <c r="D515" s="1528"/>
      <c r="E515" s="1528"/>
      <c r="F515" s="1528"/>
      <c r="G515" s="1551">
        <f>'Part IV-Uses of Funds'!G86</f>
        <v>85000</v>
      </c>
      <c r="H515" s="1551"/>
      <c r="I515" s="1528"/>
      <c r="J515" s="1551"/>
      <c r="K515" s="1551"/>
      <c r="L515" s="1552"/>
      <c r="M515" s="1551"/>
      <c r="N515" s="1551"/>
      <c r="O515" s="1528"/>
      <c r="P515" s="1551"/>
      <c r="Q515" s="1551"/>
      <c r="R515" s="1528"/>
      <c r="S515" s="1551">
        <f>'Part IV-Uses of Funds'!S86</f>
        <v>85000</v>
      </c>
      <c r="T515" s="1551"/>
      <c r="U515" s="1528"/>
      <c r="V515" s="1581">
        <f>'Part IV-Uses of Funds'!V86</f>
        <v>0</v>
      </c>
      <c r="W515" s="1629"/>
      <c r="X515" s="1629"/>
    </row>
    <row r="516" spans="1:24">
      <c r="A516" s="1528"/>
      <c r="B516" s="1528" t="s">
        <v>1330</v>
      </c>
      <c r="C516" s="1528"/>
      <c r="D516" s="1528"/>
      <c r="E516" s="1528"/>
      <c r="F516" s="1528"/>
      <c r="G516" s="1551">
        <f>'Part IV-Uses of Funds'!G87</f>
        <v>75000</v>
      </c>
      <c r="H516" s="1551"/>
      <c r="I516" s="1528"/>
      <c r="J516" s="1551"/>
      <c r="K516" s="1551"/>
      <c r="L516" s="1552"/>
      <c r="M516" s="1551"/>
      <c r="N516" s="1551"/>
      <c r="O516" s="1528"/>
      <c r="P516" s="1551"/>
      <c r="Q516" s="1551"/>
      <c r="R516" s="1528"/>
      <c r="S516" s="1551">
        <f>'Part IV-Uses of Funds'!S87</f>
        <v>75000</v>
      </c>
      <c r="T516" s="1551"/>
      <c r="U516" s="1528"/>
      <c r="V516" s="1581">
        <f>'Part IV-Uses of Funds'!V87</f>
        <v>0</v>
      </c>
      <c r="W516" s="1629"/>
      <c r="X516" s="1629"/>
    </row>
    <row r="517" spans="1:24">
      <c r="A517" s="1528"/>
      <c r="B517" s="1528" t="s">
        <v>1332</v>
      </c>
      <c r="C517" s="1528"/>
      <c r="D517" s="1528"/>
      <c r="E517" s="1528"/>
      <c r="F517" s="1528"/>
      <c r="G517" s="1551">
        <f>'Part IV-Uses of Funds'!G88</f>
        <v>0</v>
      </c>
      <c r="H517" s="1551"/>
      <c r="I517" s="1528"/>
      <c r="J517" s="1551"/>
      <c r="K517" s="1551"/>
      <c r="L517" s="1552"/>
      <c r="M517" s="1551"/>
      <c r="N517" s="1551"/>
      <c r="O517" s="1528"/>
      <c r="P517" s="1551"/>
      <c r="Q517" s="1551"/>
      <c r="R517" s="1528"/>
      <c r="S517" s="1551">
        <f>'Part IV-Uses of Funds'!S88</f>
        <v>0</v>
      </c>
      <c r="T517" s="1551"/>
      <c r="U517" s="1528"/>
      <c r="V517" s="1581">
        <f>'Part IV-Uses of Funds'!V88</f>
        <v>0</v>
      </c>
      <c r="W517" s="1629"/>
      <c r="X517" s="1629"/>
    </row>
    <row r="518" spans="1:24">
      <c r="A518" s="1528"/>
      <c r="B518" s="1528" t="s">
        <v>2389</v>
      </c>
      <c r="C518" s="1528"/>
      <c r="D518" s="1528"/>
      <c r="E518" s="1528"/>
      <c r="F518" s="1528"/>
      <c r="G518" s="1551">
        <f>'Part IV-Uses of Funds'!G89</f>
        <v>362620</v>
      </c>
      <c r="H518" s="1551"/>
      <c r="I518" s="1528"/>
      <c r="J518" s="1551"/>
      <c r="K518" s="1551"/>
      <c r="L518" s="1552"/>
      <c r="M518" s="1551"/>
      <c r="N518" s="1551"/>
      <c r="O518" s="1528"/>
      <c r="P518" s="1551"/>
      <c r="Q518" s="1551"/>
      <c r="R518" s="1528"/>
      <c r="S518" s="1551">
        <f>'Part IV-Uses of Funds'!S89</f>
        <v>362620</v>
      </c>
      <c r="T518" s="1551"/>
      <c r="U518" s="1528"/>
      <c r="V518" s="1581">
        <f>'Part IV-Uses of Funds'!V89</f>
        <v>0</v>
      </c>
      <c r="W518" s="1629"/>
      <c r="X518" s="1629"/>
    </row>
    <row r="519" spans="1:24" ht="15.75">
      <c r="A519" s="1635" t="str">
        <f>IF(AND(G519&gt;0,OR(C519="",C519="&lt;Enter detailed description here; use Comments section if needed&gt;")),"X","")</f>
        <v/>
      </c>
      <c r="B519" s="1528" t="s">
        <v>778</v>
      </c>
      <c r="C519" s="1528">
        <f>'Part IV-Uses of Funds'!C90</f>
        <v>0</v>
      </c>
      <c r="D519" s="1528"/>
      <c r="E519" s="1528"/>
      <c r="F519" s="1528"/>
      <c r="G519" s="1551">
        <f>'Part IV-Uses of Funds'!G90</f>
        <v>0</v>
      </c>
      <c r="H519" s="1551"/>
      <c r="I519" s="1528"/>
      <c r="J519" s="1551"/>
      <c r="K519" s="1551"/>
      <c r="L519" s="1552"/>
      <c r="M519" s="1551"/>
      <c r="N519" s="1551"/>
      <c r="O519" s="1528"/>
      <c r="P519" s="1551"/>
      <c r="Q519" s="1551"/>
      <c r="R519" s="1528"/>
      <c r="S519" s="1551">
        <f>'Part IV-Uses of Funds'!S90</f>
        <v>0</v>
      </c>
      <c r="T519" s="1551"/>
      <c r="U519" s="1529" t="str">
        <f>IF(AND(G519&gt;0,OR(C519="",C519="&lt;Enter detailed description here; use Comments section if needed&gt;")),"NO DESCRIPTION PROVIDED - please enter detailed description in Other box at left; use Comments section below if needed.","")</f>
        <v/>
      </c>
      <c r="V519" s="1581">
        <f>'Part IV-Uses of Funds'!V90</f>
        <v>0</v>
      </c>
      <c r="W519" s="1629"/>
      <c r="X519" s="1629"/>
    </row>
    <row r="520" spans="1:24">
      <c r="A520" s="1528"/>
      <c r="B520" s="1528"/>
      <c r="C520" s="1528"/>
      <c r="D520" s="1528"/>
      <c r="E520" s="1528"/>
      <c r="F520" s="1636" t="s">
        <v>198</v>
      </c>
      <c r="G520" s="1551">
        <f>SUM(G514:H519)</f>
        <v>602620</v>
      </c>
      <c r="H520" s="1551"/>
      <c r="I520" s="1528"/>
      <c r="J520" s="1551"/>
      <c r="K520" s="1551"/>
      <c r="L520" s="1552"/>
      <c r="M520" s="1551"/>
      <c r="N520" s="1551"/>
      <c r="O520" s="1528"/>
      <c r="P520" s="1551"/>
      <c r="Q520" s="1551"/>
      <c r="R520" s="1528"/>
      <c r="S520" s="1551">
        <f>SUM(S514:T519)</f>
        <v>602620</v>
      </c>
      <c r="T520" s="1551"/>
      <c r="U520" s="1528"/>
      <c r="V520" s="1581">
        <f>SUM(V514:V519)</f>
        <v>0</v>
      </c>
      <c r="W520" s="1629"/>
      <c r="X520" s="1629"/>
    </row>
    <row r="521" spans="1:24">
      <c r="A521" s="1527"/>
      <c r="B521" s="1527"/>
      <c r="C521" s="1527"/>
      <c r="D521" s="1527"/>
      <c r="E521" s="1527"/>
      <c r="F521" s="1527"/>
      <c r="G521" s="1527"/>
      <c r="H521" s="1527"/>
      <c r="I521" s="1527"/>
      <c r="J521" s="1527"/>
      <c r="K521" s="1527"/>
      <c r="L521" s="1527"/>
      <c r="M521" s="1527"/>
      <c r="N521" s="1527"/>
      <c r="O521" s="1527"/>
      <c r="P521" s="1527"/>
      <c r="Q521" s="1527"/>
      <c r="R521" s="1527"/>
      <c r="S521" s="1527"/>
      <c r="T521" s="1527"/>
      <c r="U521" s="1528"/>
      <c r="V521" s="1528"/>
      <c r="W521" s="1528"/>
      <c r="X521" s="1528"/>
    </row>
    <row r="522" spans="1:24" ht="17.25" customHeight="1">
      <c r="A522" s="1630" t="s">
        <v>646</v>
      </c>
      <c r="B522" s="1630" t="s">
        <v>4564</v>
      </c>
      <c r="C522" s="1528"/>
      <c r="D522" s="1528"/>
      <c r="E522" s="1528"/>
      <c r="F522" s="1528"/>
      <c r="G522" s="1528"/>
      <c r="H522" s="1528"/>
      <c r="I522" s="1528"/>
      <c r="J522" s="1631" t="s">
        <v>284</v>
      </c>
      <c r="K522" s="1631"/>
      <c r="L522" s="1551"/>
      <c r="M522" s="1632" t="s">
        <v>512</v>
      </c>
      <c r="N522" s="1632"/>
      <c r="O522" s="1528"/>
      <c r="P522" s="1631" t="s">
        <v>285</v>
      </c>
      <c r="Q522" s="1631"/>
      <c r="R522" s="1528"/>
      <c r="S522" s="1631" t="s">
        <v>286</v>
      </c>
      <c r="T522" s="1631"/>
      <c r="U522" s="1528"/>
      <c r="V522" s="1528"/>
      <c r="W522" s="1633" t="str">
        <f>B522</f>
        <v>DEVELOPMENT BUDGET  (cont'd)</v>
      </c>
      <c r="X522" s="1528"/>
    </row>
    <row r="523" spans="1:24">
      <c r="A523" s="1528"/>
      <c r="B523" s="1528"/>
      <c r="C523" s="1528"/>
      <c r="D523" s="1528"/>
      <c r="E523" s="1528"/>
      <c r="F523" s="1528"/>
      <c r="G523" s="1511" t="s">
        <v>103</v>
      </c>
      <c r="H523" s="1511"/>
      <c r="I523" s="1528"/>
      <c r="J523" s="1631"/>
      <c r="K523" s="1631"/>
      <c r="L523" s="1551"/>
      <c r="M523" s="1632"/>
      <c r="N523" s="1632"/>
      <c r="O523" s="1528"/>
      <c r="P523" s="1631"/>
      <c r="Q523" s="1631"/>
      <c r="R523" s="1528"/>
      <c r="S523" s="1631"/>
      <c r="T523" s="1631"/>
      <c r="U523" s="1528"/>
      <c r="V523" s="1528"/>
      <c r="W523" s="1572" t="s">
        <v>2791</v>
      </c>
      <c r="X523" s="1572"/>
    </row>
    <row r="524" spans="1:24">
      <c r="A524" s="1528"/>
      <c r="B524" s="1511" t="s">
        <v>762</v>
      </c>
      <c r="C524" s="1528"/>
      <c r="D524" s="1528"/>
      <c r="E524" s="1528"/>
      <c r="F524" s="1528"/>
      <c r="G524" s="1528"/>
      <c r="H524" s="1528"/>
      <c r="I524" s="1528"/>
      <c r="J524" s="1552"/>
      <c r="K524" s="1552"/>
      <c r="L524" s="1528"/>
      <c r="M524" s="1552"/>
      <c r="N524" s="1552"/>
      <c r="O524" s="1637" t="str">
        <f>B524</f>
        <v>DCA-RELATED COSTS</v>
      </c>
      <c r="P524" s="1552"/>
      <c r="Q524" s="1552"/>
      <c r="R524" s="1528"/>
      <c r="S524" s="1552"/>
      <c r="T524" s="1552"/>
      <c r="U524" s="1528"/>
      <c r="V524" s="1528"/>
      <c r="W524" s="1528" t="str">
        <f>B524</f>
        <v>DCA-RELATED COSTS</v>
      </c>
      <c r="X524" s="1528"/>
    </row>
    <row r="525" spans="1:24">
      <c r="A525" s="1528"/>
      <c r="B525" s="1528" t="str">
        <f>CONCATENATE("DCA HOME Loan Pre-Application Fee ($",'DCA Underwriting Assumptions'!$Q$71, " FP/JV, $",'DCA Underwriting Assumptions'!$Q$72, " NP)")</f>
        <v>DCA HOME Loan Pre-Application Fee ($1000 FP/JV, $500 NP)</v>
      </c>
      <c r="C525" s="1528"/>
      <c r="D525" s="1528"/>
      <c r="E525" s="1528"/>
      <c r="F525" s="1528"/>
      <c r="G525" s="1551">
        <f>'Part IV-Uses of Funds'!G96</f>
        <v>1000</v>
      </c>
      <c r="H525" s="1551"/>
      <c r="I525" s="1528"/>
      <c r="J525" s="1552"/>
      <c r="K525" s="1552"/>
      <c r="L525" s="1552"/>
      <c r="M525" s="1552"/>
      <c r="N525" s="1552"/>
      <c r="O525" s="1528"/>
      <c r="P525" s="1552"/>
      <c r="Q525" s="1552"/>
      <c r="R525" s="1528"/>
      <c r="S525" s="1551">
        <f>'Part IV-Uses of Funds'!S96</f>
        <v>1000</v>
      </c>
      <c r="T525" s="1551"/>
      <c r="U525" s="1528"/>
      <c r="V525" s="1581">
        <f>'Part IV-Uses of Funds'!V96</f>
        <v>0</v>
      </c>
      <c r="W525" s="1629">
        <f>'Part IV-Uses of Funds'!W96</f>
        <v>0</v>
      </c>
      <c r="X525" s="1629"/>
    </row>
    <row r="526" spans="1:24">
      <c r="A526" s="1528"/>
      <c r="B526" s="1528" t="str">
        <f>CONCATENATE("Tax Credit Application Fee ($",'DCA Underwriting Assumptions'!$Q$68, " ForProf/JntVent, $",'DCA Underwriting Assumptions'!$Q$69, " NonProf)")</f>
        <v>Tax Credit Application Fee ($6500 ForProf/JntVent, $5500 NonProf)</v>
      </c>
      <c r="C526" s="1528"/>
      <c r="D526" s="1528"/>
      <c r="E526" s="1528"/>
      <c r="F526" s="1528"/>
      <c r="G526" s="1551">
        <f>'Part IV-Uses of Funds'!G97</f>
        <v>6500</v>
      </c>
      <c r="H526" s="1551"/>
      <c r="I526" s="1528"/>
      <c r="J526" s="1552"/>
      <c r="K526" s="1552"/>
      <c r="L526" s="1654"/>
      <c r="M526" s="1552"/>
      <c r="N526" s="1552"/>
      <c r="O526" s="1528"/>
      <c r="P526" s="1552"/>
      <c r="Q526" s="1552"/>
      <c r="R526" s="1528"/>
      <c r="S526" s="1551">
        <f>'Part IV-Uses of Funds'!S97</f>
        <v>6500</v>
      </c>
      <c r="T526" s="1551"/>
      <c r="U526" s="1528"/>
      <c r="V526" s="1581">
        <f>'Part IV-Uses of Funds'!V97</f>
        <v>0</v>
      </c>
      <c r="W526" s="1629"/>
      <c r="X526" s="1629"/>
    </row>
    <row r="527" spans="1:24">
      <c r="A527" s="1528"/>
      <c r="B527" s="1528" t="s">
        <v>2805</v>
      </c>
      <c r="C527" s="1528"/>
      <c r="D527" s="1528"/>
      <c r="E527" s="1528"/>
      <c r="F527" s="1528"/>
      <c r="G527" s="1551">
        <f>'Part IV-Uses of Funds'!G98</f>
        <v>0</v>
      </c>
      <c r="H527" s="1551"/>
      <c r="I527" s="1528"/>
      <c r="J527" s="1552"/>
      <c r="K527" s="1552"/>
      <c r="L527" s="1654"/>
      <c r="M527" s="1552"/>
      <c r="N527" s="1552"/>
      <c r="O527" s="1528"/>
      <c r="P527" s="1552"/>
      <c r="Q527" s="1552"/>
      <c r="R527" s="1528"/>
      <c r="S527" s="1551">
        <f>'Part IV-Uses of Funds'!S98</f>
        <v>0</v>
      </c>
      <c r="T527" s="1551"/>
      <c r="U527" s="1528"/>
      <c r="V527" s="1581">
        <f>'Part IV-Uses of Funds'!V98</f>
        <v>0</v>
      </c>
      <c r="W527" s="1629"/>
      <c r="X527" s="1629"/>
    </row>
    <row r="528" spans="1:24">
      <c r="A528" s="1528"/>
      <c r="B528" s="1528" t="s">
        <v>544</v>
      </c>
      <c r="C528" s="1528"/>
      <c r="D528" s="1528"/>
      <c r="E528" s="1655">
        <f>'DCA Underwriting Assumptions'!$Q$83*J603</f>
        <v>68282.64</v>
      </c>
      <c r="F528" s="1655"/>
      <c r="G528" s="1551">
        <f>'Part IV-Uses of Funds'!G99</f>
        <v>68283</v>
      </c>
      <c r="H528" s="1551"/>
      <c r="I528" s="1528"/>
      <c r="J528" s="1552"/>
      <c r="K528" s="1552"/>
      <c r="L528" s="1552"/>
      <c r="M528" s="1552"/>
      <c r="N528" s="1552"/>
      <c r="O528" s="1528"/>
      <c r="P528" s="1552"/>
      <c r="Q528" s="1552"/>
      <c r="R528" s="1528"/>
      <c r="S528" s="1551">
        <f>'Part IV-Uses of Funds'!S99</f>
        <v>68283</v>
      </c>
      <c r="T528" s="1551"/>
      <c r="U528" s="1528"/>
      <c r="V528" s="1581">
        <f>'Part IV-Uses of Funds'!V99</f>
        <v>0</v>
      </c>
      <c r="W528" s="1629"/>
      <c r="X528" s="1629"/>
    </row>
    <row r="529" spans="1:24">
      <c r="A529" s="1528"/>
      <c r="B529" s="1528" t="s">
        <v>790</v>
      </c>
      <c r="C529" s="1528"/>
      <c r="D529" s="1528"/>
      <c r="E529" s="165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129600</v>
      </c>
      <c r="F529" s="1655"/>
      <c r="G529" s="1551">
        <f>'Part IV-Uses of Funds'!G100</f>
        <v>129600</v>
      </c>
      <c r="H529" s="1551"/>
      <c r="I529" s="1528"/>
      <c r="J529" s="1533"/>
      <c r="K529" s="1533"/>
      <c r="L529" s="1533"/>
      <c r="M529" s="1533"/>
      <c r="N529" s="1533"/>
      <c r="O529" s="1533"/>
      <c r="P529" s="1533"/>
      <c r="Q529" s="1533"/>
      <c r="R529" s="1528"/>
      <c r="S529" s="1551">
        <f>'Part IV-Uses of Funds'!S100</f>
        <v>129600</v>
      </c>
      <c r="T529" s="1551"/>
      <c r="U529" s="1528"/>
      <c r="V529" s="1581">
        <f>'Part IV-Uses of Funds'!V100</f>
        <v>0</v>
      </c>
      <c r="W529" s="1629"/>
      <c r="X529" s="1629"/>
    </row>
    <row r="530" spans="1:24">
      <c r="A530" s="1528"/>
      <c r="B530" s="1528" t="str">
        <f>CONCATENATE("DCA HOME Front End Analysis Fee (when ID of Interest; $",'DCA Underwriting Assumptions'!$Q$85,")")</f>
        <v>DCA HOME Front End Analysis Fee (when ID of Interest; $2700)</v>
      </c>
      <c r="C530" s="1528"/>
      <c r="D530" s="1528"/>
      <c r="E530" s="1528"/>
      <c r="F530" s="1528"/>
      <c r="G530" s="1551">
        <f>'Part IV-Uses of Funds'!G101</f>
        <v>0</v>
      </c>
      <c r="H530" s="1551"/>
      <c r="I530" s="1528"/>
      <c r="J530" s="1533"/>
      <c r="K530" s="1533"/>
      <c r="L530" s="1533"/>
      <c r="M530" s="1533"/>
      <c r="N530" s="1533"/>
      <c r="O530" s="1533"/>
      <c r="P530" s="1533"/>
      <c r="Q530" s="1533"/>
      <c r="R530" s="1528"/>
      <c r="S530" s="1551">
        <f>'Part IV-Uses of Funds'!S101</f>
        <v>0</v>
      </c>
      <c r="T530" s="1551"/>
      <c r="U530" s="1528"/>
      <c r="V530" s="1581">
        <f>'Part IV-Uses of Funds'!V101</f>
        <v>0</v>
      </c>
      <c r="W530" s="1629"/>
      <c r="X530" s="1629"/>
    </row>
    <row r="531" spans="1:24">
      <c r="A531" s="1528"/>
      <c r="B531" s="1528" t="str">
        <f>CONCATENATE("DCA Final Inspection Fee (Tax Credit only - no HOME; $",'DCA Underwriting Assumptions'!$Q$106,")")</f>
        <v>DCA Final Inspection Fee (Tax Credit only - no HOME; $3000)</v>
      </c>
      <c r="C531" s="1528"/>
      <c r="D531" s="1528"/>
      <c r="E531" s="1528"/>
      <c r="F531" s="1528"/>
      <c r="G531" s="1551">
        <f>'Part IV-Uses of Funds'!G102</f>
        <v>3000</v>
      </c>
      <c r="H531" s="1551"/>
      <c r="I531" s="1528"/>
      <c r="J531" s="1533"/>
      <c r="K531" s="1533"/>
      <c r="L531" s="1533"/>
      <c r="M531" s="1533"/>
      <c r="N531" s="1533"/>
      <c r="O531" s="1533"/>
      <c r="P531" s="1533"/>
      <c r="Q531" s="1533"/>
      <c r="R531" s="1528"/>
      <c r="S531" s="1551">
        <f>'Part IV-Uses of Funds'!S102</f>
        <v>3000</v>
      </c>
      <c r="T531" s="1551"/>
      <c r="U531" s="1528"/>
      <c r="V531" s="1581">
        <f>'Part IV-Uses of Funds'!V102</f>
        <v>0</v>
      </c>
      <c r="W531" s="1629"/>
      <c r="X531" s="1629"/>
    </row>
    <row r="532" spans="1:24" ht="15.75">
      <c r="A532" s="1635" t="str">
        <f>IF(AND(G532&gt;0,OR(C532="",C532="&lt;Enter detailed description here; use Comments section if needed&gt;")),"X","")</f>
        <v/>
      </c>
      <c r="B532" s="1528" t="s">
        <v>778</v>
      </c>
      <c r="C532" s="1528">
        <f>'Part IV-Uses of Funds'!C103</f>
        <v>0</v>
      </c>
      <c r="D532" s="1528"/>
      <c r="E532" s="1528"/>
      <c r="F532" s="1528"/>
      <c r="G532" s="1551">
        <f>'Part IV-Uses of Funds'!G103</f>
        <v>0</v>
      </c>
      <c r="H532" s="1551"/>
      <c r="I532" s="1528"/>
      <c r="J532" s="1533"/>
      <c r="K532" s="1533"/>
      <c r="L532" s="1533"/>
      <c r="M532" s="1533"/>
      <c r="N532" s="1533"/>
      <c r="O532" s="1533"/>
      <c r="P532" s="1533"/>
      <c r="Q532" s="1533"/>
      <c r="R532" s="1528"/>
      <c r="S532" s="1551">
        <f>'Part IV-Uses of Funds'!S103</f>
        <v>0</v>
      </c>
      <c r="T532" s="1551"/>
      <c r="U532" s="1529" t="str">
        <f>IF(AND(G532&gt;0,OR(C532="",C532="&lt;Enter detailed description here; use Comments section if needed&gt;")),"NO DESCRIPTION PROVIDED - please enter detailed description in Other box at left; use Comments section below if needed.","")</f>
        <v/>
      </c>
      <c r="V532" s="1581">
        <f>'Part IV-Uses of Funds'!V103</f>
        <v>0</v>
      </c>
      <c r="W532" s="1629"/>
      <c r="X532" s="1629"/>
    </row>
    <row r="533" spans="1:24" ht="15.75">
      <c r="A533" s="1635" t="str">
        <f>IF(AND(G533&gt;0,OR(C533="",C533="&lt;Enter detailed description here; use Comments section if needed&gt;")),"X","")</f>
        <v/>
      </c>
      <c r="B533" s="1528" t="s">
        <v>778</v>
      </c>
      <c r="C533" s="1528">
        <f>'Part IV-Uses of Funds'!C104</f>
        <v>0</v>
      </c>
      <c r="D533" s="1528"/>
      <c r="E533" s="1528"/>
      <c r="F533" s="1528"/>
      <c r="G533" s="1551">
        <f>'Part IV-Uses of Funds'!G104</f>
        <v>0</v>
      </c>
      <c r="H533" s="1551"/>
      <c r="I533" s="1528"/>
      <c r="J533" s="1533"/>
      <c r="K533" s="1533"/>
      <c r="L533" s="1533"/>
      <c r="M533" s="1533"/>
      <c r="N533" s="1533"/>
      <c r="O533" s="1533"/>
      <c r="P533" s="1533"/>
      <c r="Q533" s="1533"/>
      <c r="R533" s="1528"/>
      <c r="S533" s="1551">
        <f>'Part IV-Uses of Funds'!S104</f>
        <v>0</v>
      </c>
      <c r="T533" s="1551"/>
      <c r="U533" s="1529" t="str">
        <f>IF(AND(G533&gt;0,OR(C533="",C533="&lt;Enter detailed description here; use Comments section if needed&gt;")),"NO DESCRIPTION PROVIDED - please enter detailed description in Other box at left; use Comments section below if needed.","")</f>
        <v/>
      </c>
      <c r="V533" s="1581">
        <f>'Part IV-Uses of Funds'!V104</f>
        <v>0</v>
      </c>
      <c r="W533" s="1629"/>
      <c r="X533" s="1629"/>
    </row>
    <row r="534" spans="1:24">
      <c r="A534" s="1528"/>
      <c r="B534" s="1528"/>
      <c r="C534" s="1528"/>
      <c r="D534" s="1528"/>
      <c r="E534" s="1528"/>
      <c r="F534" s="1636" t="s">
        <v>198</v>
      </c>
      <c r="G534" s="1551">
        <f>SUM(G525:H533)</f>
        <v>208383</v>
      </c>
      <c r="H534" s="1551"/>
      <c r="I534" s="1528"/>
      <c r="J534" s="1552"/>
      <c r="K534" s="1552"/>
      <c r="L534" s="1552"/>
      <c r="M534" s="1552"/>
      <c r="N534" s="1552"/>
      <c r="O534" s="1528"/>
      <c r="P534" s="1552"/>
      <c r="Q534" s="1552"/>
      <c r="R534" s="1528"/>
      <c r="S534" s="1551">
        <f>SUM(S525:T533)</f>
        <v>208383</v>
      </c>
      <c r="T534" s="1551"/>
      <c r="U534" s="1528"/>
      <c r="V534" s="1581">
        <f>SUM(V525:V533)</f>
        <v>0</v>
      </c>
      <c r="W534" s="1629"/>
      <c r="X534" s="1629"/>
    </row>
    <row r="535" spans="1:24">
      <c r="A535" s="1528"/>
      <c r="B535" s="1511" t="s">
        <v>2390</v>
      </c>
      <c r="C535" s="1528"/>
      <c r="D535" s="1528"/>
      <c r="E535" s="1528"/>
      <c r="F535" s="1528"/>
      <c r="G535" s="1528"/>
      <c r="H535" s="1528"/>
      <c r="I535" s="1528"/>
      <c r="J535" s="1552"/>
      <c r="K535" s="1552"/>
      <c r="L535" s="1528"/>
      <c r="M535" s="1552"/>
      <c r="N535" s="1552"/>
      <c r="O535" s="1637" t="str">
        <f>B535</f>
        <v>EQUITY COSTS</v>
      </c>
      <c r="P535" s="1552"/>
      <c r="Q535" s="1552"/>
      <c r="R535" s="1528"/>
      <c r="S535" s="1552"/>
      <c r="T535" s="1552"/>
      <c r="U535" s="1528"/>
      <c r="V535" s="1528"/>
      <c r="W535" s="1528" t="str">
        <f>B535</f>
        <v>EQUITY COSTS</v>
      </c>
      <c r="X535" s="1528"/>
    </row>
    <row r="536" spans="1:24">
      <c r="A536" s="1528"/>
      <c r="B536" s="1528" t="s">
        <v>292</v>
      </c>
      <c r="C536" s="1528"/>
      <c r="D536" s="1528"/>
      <c r="E536" s="1528"/>
      <c r="F536" s="1528"/>
      <c r="G536" s="1551">
        <f>'Part IV-Uses of Funds'!G107</f>
        <v>50000</v>
      </c>
      <c r="H536" s="1551"/>
      <c r="I536" s="1528"/>
      <c r="J536" s="1551"/>
      <c r="K536" s="1551"/>
      <c r="L536" s="1552"/>
      <c r="M536" s="1551"/>
      <c r="N536" s="1551"/>
      <c r="O536" s="1528"/>
      <c r="P536" s="1551"/>
      <c r="Q536" s="1551"/>
      <c r="R536" s="1528"/>
      <c r="S536" s="1551">
        <f>'Part IV-Uses of Funds'!S107</f>
        <v>50000</v>
      </c>
      <c r="T536" s="1551"/>
      <c r="U536" s="1528"/>
      <c r="V536" s="1581">
        <f>'Part IV-Uses of Funds'!V107</f>
        <v>0</v>
      </c>
      <c r="W536" s="1629">
        <f>'Part IV-Uses of Funds'!W107</f>
        <v>0</v>
      </c>
      <c r="X536" s="1629"/>
    </row>
    <row r="537" spans="1:24">
      <c r="A537" s="1528"/>
      <c r="B537" s="1528" t="s">
        <v>294</v>
      </c>
      <c r="C537" s="1528"/>
      <c r="D537" s="1528"/>
      <c r="E537" s="1528"/>
      <c r="F537" s="1528"/>
      <c r="G537" s="1551">
        <f>'Part IV-Uses of Funds'!G108</f>
        <v>0</v>
      </c>
      <c r="H537" s="1551"/>
      <c r="I537" s="1528"/>
      <c r="J537" s="1551"/>
      <c r="K537" s="1551"/>
      <c r="L537" s="1552"/>
      <c r="M537" s="1551"/>
      <c r="N537" s="1551"/>
      <c r="O537" s="1528"/>
      <c r="P537" s="1551"/>
      <c r="Q537" s="1551"/>
      <c r="R537" s="1528"/>
      <c r="S537" s="1551">
        <f>'Part IV-Uses of Funds'!S108</f>
        <v>0</v>
      </c>
      <c r="T537" s="1551"/>
      <c r="U537" s="1528"/>
      <c r="V537" s="1581">
        <f>'Part IV-Uses of Funds'!V108</f>
        <v>0</v>
      </c>
      <c r="W537" s="1629"/>
      <c r="X537" s="1629"/>
    </row>
    <row r="538" spans="1:24">
      <c r="A538" s="1528"/>
      <c r="B538" s="1528" t="s">
        <v>2482</v>
      </c>
      <c r="C538" s="1528"/>
      <c r="D538" s="1528"/>
      <c r="E538" s="1528"/>
      <c r="F538" s="1528"/>
      <c r="G538" s="1551">
        <f>'Part IV-Uses of Funds'!G109</f>
        <v>0</v>
      </c>
      <c r="H538" s="1551"/>
      <c r="I538" s="1528"/>
      <c r="J538" s="1551"/>
      <c r="K538" s="1551"/>
      <c r="L538" s="1552"/>
      <c r="M538" s="1551"/>
      <c r="N538" s="1551"/>
      <c r="O538" s="1528"/>
      <c r="P538" s="1551"/>
      <c r="Q538" s="1551"/>
      <c r="R538" s="1528"/>
      <c r="S538" s="1551">
        <f>'Part IV-Uses of Funds'!S109</f>
        <v>0</v>
      </c>
      <c r="T538" s="1551"/>
      <c r="U538" s="1528"/>
      <c r="V538" s="1581">
        <f>'Part IV-Uses of Funds'!V109</f>
        <v>0</v>
      </c>
      <c r="W538" s="1629"/>
      <c r="X538" s="1629"/>
    </row>
    <row r="539" spans="1:24" ht="15.75">
      <c r="A539" s="1635" t="str">
        <f>IF(AND(G539&gt;0,OR(C539="",C539="&lt;Enter detailed description here; use Comments section if needed&gt;")),"X","")</f>
        <v/>
      </c>
      <c r="B539" s="1528" t="s">
        <v>778</v>
      </c>
      <c r="C539" s="1528" t="str">
        <f>'Part IV-Uses of Funds'!C110</f>
        <v>&lt;Enter detailed description here; use Comments section if needed&gt;</v>
      </c>
      <c r="D539" s="1528"/>
      <c r="E539" s="1528"/>
      <c r="F539" s="1528"/>
      <c r="G539" s="1551">
        <f>'Part IV-Uses of Funds'!G110</f>
        <v>0</v>
      </c>
      <c r="H539" s="1551"/>
      <c r="I539" s="1528"/>
      <c r="J539" s="1551"/>
      <c r="K539" s="1551"/>
      <c r="L539" s="1552"/>
      <c r="M539" s="1551"/>
      <c r="N539" s="1551"/>
      <c r="O539" s="1528"/>
      <c r="P539" s="1551"/>
      <c r="Q539" s="1551"/>
      <c r="R539" s="1528"/>
      <c r="S539" s="1551">
        <f>'Part IV-Uses of Funds'!S110</f>
        <v>0</v>
      </c>
      <c r="T539" s="1551"/>
      <c r="U539" s="1529" t="str">
        <f>IF(AND(G539&gt;0,OR(C539="",C539="&lt;Enter detailed description here; use Comments section if needed&gt;")),"NO DESCRIPTION PROVIDED - please enter detailed description in Other box at left; use Comments section below if needed.","")</f>
        <v/>
      </c>
      <c r="V539" s="1581">
        <f>'Part IV-Uses of Funds'!V110</f>
        <v>0</v>
      </c>
      <c r="W539" s="1629"/>
      <c r="X539" s="1629"/>
    </row>
    <row r="540" spans="1:24">
      <c r="A540" s="1528"/>
      <c r="B540" s="1528"/>
      <c r="C540" s="1528"/>
      <c r="D540" s="1528"/>
      <c r="E540" s="1528"/>
      <c r="F540" s="1636" t="s">
        <v>198</v>
      </c>
      <c r="G540" s="1551">
        <f>SUM(G536:H539)</f>
        <v>50000</v>
      </c>
      <c r="H540" s="1551"/>
      <c r="I540" s="1528"/>
      <c r="J540" s="1551"/>
      <c r="K540" s="1551"/>
      <c r="L540" s="1552"/>
      <c r="M540" s="1551"/>
      <c r="N540" s="1551"/>
      <c r="O540" s="1528"/>
      <c r="P540" s="1551"/>
      <c r="Q540" s="1551"/>
      <c r="R540" s="1528"/>
      <c r="S540" s="1551">
        <f>SUM(S536:T539)</f>
        <v>50000</v>
      </c>
      <c r="T540" s="1551"/>
      <c r="U540" s="1528"/>
      <c r="V540" s="1581">
        <f>SUM(V536:V539)</f>
        <v>0</v>
      </c>
      <c r="W540" s="1629"/>
      <c r="X540" s="1629"/>
    </row>
    <row r="541" spans="1:24">
      <c r="A541" s="1528"/>
      <c r="B541" s="1511" t="s">
        <v>295</v>
      </c>
      <c r="C541" s="1528"/>
      <c r="D541" s="1528"/>
      <c r="E541" s="1528"/>
      <c r="F541" s="1528"/>
      <c r="G541" s="1528"/>
      <c r="H541" s="1528"/>
      <c r="I541" s="1528"/>
      <c r="J541" s="1552"/>
      <c r="K541" s="1551"/>
      <c r="L541" s="1528"/>
      <c r="M541" s="1552"/>
      <c r="N541" s="1551"/>
      <c r="O541" s="1637" t="str">
        <f>B541</f>
        <v>DEVELOPER'S FEE</v>
      </c>
      <c r="P541" s="1552"/>
      <c r="Q541" s="1551"/>
      <c r="R541" s="1528"/>
      <c r="S541" s="1552"/>
      <c r="T541" s="1551"/>
      <c r="U541" s="1528"/>
      <c r="V541" s="1528"/>
      <c r="W541" s="1528" t="str">
        <f>B541</f>
        <v>DEVELOPER'S FEE</v>
      </c>
      <c r="X541" s="1528"/>
    </row>
    <row r="542" spans="1:24">
      <c r="A542" s="1528"/>
      <c r="B542" s="1528" t="s">
        <v>1940</v>
      </c>
      <c r="C542" s="1528"/>
      <c r="D542" s="1528"/>
      <c r="E542" s="1528"/>
      <c r="F542" s="1617">
        <f>IF($G$117=0,0,G542/$G$117)</f>
        <v>0</v>
      </c>
      <c r="G542" s="1551">
        <f>'Part IV-Uses of Funds'!G113</f>
        <v>2500000</v>
      </c>
      <c r="H542" s="1551"/>
      <c r="I542" s="1528"/>
      <c r="J542" s="1551">
        <f>'Part IV-Uses of Funds'!J113</f>
        <v>2500000</v>
      </c>
      <c r="K542" s="1551"/>
      <c r="L542" s="1637"/>
      <c r="M542" s="1551">
        <f>'Part IV-Uses of Funds'!M113</f>
        <v>0</v>
      </c>
      <c r="N542" s="1551"/>
      <c r="O542" s="1528"/>
      <c r="P542" s="1551">
        <f>'Part IV-Uses of Funds'!P113</f>
        <v>0</v>
      </c>
      <c r="Q542" s="1551"/>
      <c r="R542" s="1528"/>
      <c r="S542" s="1551">
        <f>'Part IV-Uses of Funds'!S113</f>
        <v>0</v>
      </c>
      <c r="T542" s="1551"/>
      <c r="U542" s="1528"/>
      <c r="V542" s="1581">
        <f>'Part IV-Uses of Funds'!V113</f>
        <v>0</v>
      </c>
      <c r="W542" s="1629">
        <f>'Part IV-Uses of Funds'!W113</f>
        <v>0</v>
      </c>
      <c r="X542" s="1629"/>
    </row>
    <row r="543" spans="1:24">
      <c r="A543" s="1528"/>
      <c r="B543" s="1528" t="s">
        <v>1941</v>
      </c>
      <c r="C543" s="1528"/>
      <c r="D543" s="1528"/>
      <c r="E543" s="1528"/>
      <c r="F543" s="1617">
        <f>IF($G$117=0,0,G543/$G$117)</f>
        <v>0</v>
      </c>
      <c r="G543" s="1551">
        <f>'Part IV-Uses of Funds'!G114</f>
        <v>0</v>
      </c>
      <c r="H543" s="1551"/>
      <c r="I543" s="1528"/>
      <c r="J543" s="1551">
        <f>'Part IV-Uses of Funds'!J114</f>
        <v>0</v>
      </c>
      <c r="K543" s="1551"/>
      <c r="L543" s="1552"/>
      <c r="M543" s="1551">
        <f>'Part IV-Uses of Funds'!M114</f>
        <v>0</v>
      </c>
      <c r="N543" s="1551"/>
      <c r="O543" s="1528"/>
      <c r="P543" s="1551">
        <f>'Part IV-Uses of Funds'!P114</f>
        <v>0</v>
      </c>
      <c r="Q543" s="1551"/>
      <c r="R543" s="1528"/>
      <c r="S543" s="1551">
        <f>'Part IV-Uses of Funds'!S114</f>
        <v>0</v>
      </c>
      <c r="T543" s="1551"/>
      <c r="U543" s="1528"/>
      <c r="V543" s="1581">
        <f>'Part IV-Uses of Funds'!V114</f>
        <v>0</v>
      </c>
      <c r="W543" s="1629"/>
      <c r="X543" s="1629"/>
    </row>
    <row r="544" spans="1:24">
      <c r="A544" s="1528"/>
      <c r="B544" s="1528" t="s">
        <v>4297</v>
      </c>
      <c r="C544" s="1528"/>
      <c r="D544" s="1528"/>
      <c r="E544" s="1528"/>
      <c r="F544" s="1617">
        <f>IF($G$117=0,0,G544/$G$117)</f>
        <v>0</v>
      </c>
      <c r="G544" s="1551">
        <f>'Part IV-Uses of Funds'!G115</f>
        <v>0</v>
      </c>
      <c r="H544" s="1551"/>
      <c r="I544" s="1528"/>
      <c r="J544" s="1551">
        <f>'Part IV-Uses of Funds'!J115</f>
        <v>0</v>
      </c>
      <c r="K544" s="1551"/>
      <c r="L544" s="1552"/>
      <c r="M544" s="1551">
        <f>'Part IV-Uses of Funds'!M115</f>
        <v>0</v>
      </c>
      <c r="N544" s="1551"/>
      <c r="O544" s="1528"/>
      <c r="P544" s="1551">
        <f>'Part IV-Uses of Funds'!P115</f>
        <v>0</v>
      </c>
      <c r="Q544" s="1551"/>
      <c r="R544" s="1528"/>
      <c r="S544" s="1551">
        <f>'Part IV-Uses of Funds'!S115</f>
        <v>0</v>
      </c>
      <c r="T544" s="1551"/>
      <c r="U544" s="1528"/>
      <c r="V544" s="1581">
        <f>'Part IV-Uses of Funds'!V115</f>
        <v>0</v>
      </c>
      <c r="W544" s="1629"/>
      <c r="X544" s="1629"/>
    </row>
    <row r="545" spans="1:24">
      <c r="A545" s="1528"/>
      <c r="B545" s="1528" t="s">
        <v>1933</v>
      </c>
      <c r="C545" s="1528"/>
      <c r="D545" s="1528"/>
      <c r="E545" s="1528"/>
      <c r="F545" s="1617">
        <f>IF($G$117=0,0,G545/$G$117)</f>
        <v>0</v>
      </c>
      <c r="G545" s="1551">
        <f>'Part IV-Uses of Funds'!G116</f>
        <v>0</v>
      </c>
      <c r="H545" s="1551"/>
      <c r="I545" s="1528"/>
      <c r="J545" s="1551">
        <f>'Part IV-Uses of Funds'!J116</f>
        <v>0</v>
      </c>
      <c r="K545" s="1551"/>
      <c r="L545" s="1552"/>
      <c r="M545" s="1551">
        <f>'Part IV-Uses of Funds'!M116</f>
        <v>0</v>
      </c>
      <c r="N545" s="1551"/>
      <c r="O545" s="1528"/>
      <c r="P545" s="1551">
        <f>'Part IV-Uses of Funds'!P116</f>
        <v>0</v>
      </c>
      <c r="Q545" s="1551"/>
      <c r="R545" s="1528"/>
      <c r="S545" s="1551">
        <f>'Part IV-Uses of Funds'!S116</f>
        <v>0</v>
      </c>
      <c r="T545" s="1551"/>
      <c r="U545" s="1528"/>
      <c r="V545" s="1581">
        <f>'Part IV-Uses of Funds'!V116</f>
        <v>0</v>
      </c>
      <c r="W545" s="1629"/>
      <c r="X545" s="1629"/>
    </row>
    <row r="546" spans="1:24">
      <c r="A546" s="1528"/>
      <c r="B546" s="1528"/>
      <c r="C546" s="1529" t="str">
        <f>IF(G546&lt;='DCA Underwriting Assumptions'!$Q$92,"","Developer Fee exceeds DCA Program Maximum !!!")</f>
        <v>Developer Fee exceeds DCA Program Maximum !!!</v>
      </c>
      <c r="D546" s="1528"/>
      <c r="E546" s="1528"/>
      <c r="F546" s="1636" t="s">
        <v>198</v>
      </c>
      <c r="G546" s="1551">
        <f>SUM(G542:H545)</f>
        <v>2500000</v>
      </c>
      <c r="H546" s="1551"/>
      <c r="I546" s="1528"/>
      <c r="J546" s="1551">
        <f>SUM(J542:K545)</f>
        <v>2500000</v>
      </c>
      <c r="K546" s="1551"/>
      <c r="L546" s="1552"/>
      <c r="M546" s="1551">
        <f>SUM(M542:N545)</f>
        <v>0</v>
      </c>
      <c r="N546" s="1551"/>
      <c r="O546" s="1528"/>
      <c r="P546" s="1551">
        <f>SUM(P542:Q545)</f>
        <v>0</v>
      </c>
      <c r="Q546" s="1551"/>
      <c r="R546" s="1528"/>
      <c r="S546" s="1551">
        <f>SUM(S542:T545)</f>
        <v>0</v>
      </c>
      <c r="T546" s="1551"/>
      <c r="U546" s="1528"/>
      <c r="V546" s="1581">
        <f>SUM(V542:V545)</f>
        <v>0</v>
      </c>
      <c r="W546" s="1629"/>
      <c r="X546" s="1629"/>
    </row>
    <row r="547" spans="1:24">
      <c r="A547" s="1528"/>
      <c r="B547" s="1511" t="s">
        <v>1365</v>
      </c>
      <c r="C547" s="1528"/>
      <c r="D547" s="1528"/>
      <c r="E547" s="1528"/>
      <c r="F547" s="1528"/>
      <c r="G547" s="1528"/>
      <c r="H547" s="1528"/>
      <c r="I547" s="1528"/>
      <c r="J547" s="1551"/>
      <c r="K547" s="1551"/>
      <c r="L547" s="1528"/>
      <c r="M547" s="1551"/>
      <c r="N547" s="1551"/>
      <c r="O547" s="1637" t="str">
        <f>B547</f>
        <v>START-UP AND RESERVES</v>
      </c>
      <c r="P547" s="1551"/>
      <c r="Q547" s="1551"/>
      <c r="R547" s="1528"/>
      <c r="S547" s="1551"/>
      <c r="T547" s="1551"/>
      <c r="U547" s="1528"/>
      <c r="V547" s="1528"/>
      <c r="W547" s="1528" t="str">
        <f>B547</f>
        <v>START-UP AND RESERVES</v>
      </c>
      <c r="X547" s="1528"/>
    </row>
    <row r="548" spans="1:24">
      <c r="A548" s="1528"/>
      <c r="B548" s="1528" t="s">
        <v>263</v>
      </c>
      <c r="C548" s="1528"/>
      <c r="D548" s="1528"/>
      <c r="E548" s="1528"/>
      <c r="F548" s="1528"/>
      <c r="G548" s="1551">
        <f>'Part IV-Uses of Funds'!G119</f>
        <v>75000</v>
      </c>
      <c r="H548" s="1551"/>
      <c r="I548" s="1528"/>
      <c r="J548" s="1654"/>
      <c r="K548" s="1654"/>
      <c r="L548" s="1654"/>
      <c r="M548" s="1654"/>
      <c r="N548" s="1654"/>
      <c r="O548" s="1528"/>
      <c r="P548" s="1654"/>
      <c r="Q548" s="1654"/>
      <c r="R548" s="1528"/>
      <c r="S548" s="1551">
        <f>'Part IV-Uses of Funds'!S119</f>
        <v>75000</v>
      </c>
      <c r="T548" s="1551"/>
      <c r="U548" s="1528"/>
      <c r="V548" s="1581">
        <f>'Part IV-Uses of Funds'!V119</f>
        <v>0</v>
      </c>
      <c r="W548" s="1629">
        <f>'Part IV-Uses of Funds'!W119</f>
        <v>0</v>
      </c>
      <c r="X548" s="1629"/>
    </row>
    <row r="549" spans="1:24">
      <c r="A549" s="1528"/>
      <c r="B549" s="1528" t="s">
        <v>1602</v>
      </c>
      <c r="C549" s="1528"/>
      <c r="D549" s="1528"/>
      <c r="E549" s="1528"/>
      <c r="F549" s="1581">
        <f>+'Part VI-Revenues &amp; Expenses'!$P$176*('DCA Underwriting Assumptions'!$Q$105/12)</f>
        <v>192809</v>
      </c>
      <c r="G549" s="1551">
        <f>'Part IV-Uses of Funds'!G120</f>
        <v>192809</v>
      </c>
      <c r="H549" s="1551"/>
      <c r="I549" s="1528"/>
      <c r="J549" s="1551"/>
      <c r="K549" s="1551"/>
      <c r="L549" s="1552"/>
      <c r="M549" s="1551"/>
      <c r="N549" s="1551"/>
      <c r="O549" s="1528"/>
      <c r="P549" s="1551"/>
      <c r="Q549" s="1551"/>
      <c r="R549" s="1528"/>
      <c r="S549" s="1551">
        <f>'Part IV-Uses of Funds'!S120</f>
        <v>192809</v>
      </c>
      <c r="T549" s="1551"/>
      <c r="U549" s="1528"/>
      <c r="V549" s="1581">
        <f>'Part IV-Uses of Funds'!V120</f>
        <v>0</v>
      </c>
      <c r="W549" s="1629"/>
      <c r="X549" s="1629"/>
    </row>
    <row r="550" spans="1:24">
      <c r="A550" s="1528"/>
      <c r="B550" s="1528" t="s">
        <v>711</v>
      </c>
      <c r="C550" s="1528"/>
      <c r="D550" s="1528"/>
      <c r="E550" s="1528"/>
      <c r="F550" s="1656">
        <f>'Part VI-Revenues &amp; Expenses'!$P$176*('DCA Underwriting Assumptions'!$Q$104/12)+('Part VII-Pro Forma'!$B$23+'Part VII-Pro Forma'!$B$24+'Part VII-Pro Forma'!$B$25+'Part VII-Pro Forma'!$B$26)*'DCA Underwriting Assumptions'!$Q$103/(-12)</f>
        <v>617423.09771648666</v>
      </c>
      <c r="G550" s="1551">
        <f>'Part IV-Uses of Funds'!G121</f>
        <v>617423</v>
      </c>
      <c r="H550" s="1551"/>
      <c r="I550" s="1528"/>
      <c r="J550" s="1654"/>
      <c r="K550" s="1654"/>
      <c r="L550" s="1654"/>
      <c r="M550" s="1654"/>
      <c r="N550" s="1654"/>
      <c r="O550" s="1528"/>
      <c r="P550" s="1654"/>
      <c r="Q550" s="1654"/>
      <c r="R550" s="1528"/>
      <c r="S550" s="1551">
        <f>'Part IV-Uses of Funds'!S121</f>
        <v>617423</v>
      </c>
      <c r="T550" s="1551"/>
      <c r="U550" s="1528"/>
      <c r="V550" s="1581">
        <f>'Part IV-Uses of Funds'!V121</f>
        <v>0</v>
      </c>
      <c r="W550" s="1629"/>
      <c r="X550" s="1629"/>
    </row>
    <row r="551" spans="1:24">
      <c r="A551" s="1528"/>
      <c r="B551" s="1528" t="s">
        <v>1298</v>
      </c>
      <c r="C551" s="1528"/>
      <c r="D551" s="1528"/>
      <c r="E551" s="1528"/>
      <c r="F551" s="1528"/>
      <c r="G551" s="1551">
        <f>'Part IV-Uses of Funds'!G122</f>
        <v>0</v>
      </c>
      <c r="H551" s="1551"/>
      <c r="I551" s="1528"/>
      <c r="J551" s="1654"/>
      <c r="K551" s="1654"/>
      <c r="L551" s="1654"/>
      <c r="M551" s="1654"/>
      <c r="N551" s="1654"/>
      <c r="O551" s="1528"/>
      <c r="P551" s="1654"/>
      <c r="Q551" s="1654"/>
      <c r="R551" s="1528"/>
      <c r="S551" s="1551">
        <f>'Part IV-Uses of Funds'!S122</f>
        <v>0</v>
      </c>
      <c r="T551" s="1551"/>
      <c r="U551" s="1528"/>
      <c r="V551" s="1581">
        <f>'Part IV-Uses of Funds'!V122</f>
        <v>0</v>
      </c>
      <c r="W551" s="1629"/>
      <c r="X551" s="1629"/>
    </row>
    <row r="552" spans="1:24">
      <c r="A552" s="1528"/>
      <c r="B552" s="1528" t="s">
        <v>1299</v>
      </c>
      <c r="C552" s="1528"/>
      <c r="D552" s="1528"/>
      <c r="E552" s="1657" t="s">
        <v>4092</v>
      </c>
      <c r="F552" s="1658">
        <f>IF('Part VI-Revenues &amp; Expenses'!$O$62=0,0,G552/'Part VI-Revenues &amp; Expenses'!$O$62)</f>
        <v>1234.5679012345679</v>
      </c>
      <c r="G552" s="1551">
        <f>'Part IV-Uses of Funds'!G123</f>
        <v>200000</v>
      </c>
      <c r="H552" s="1551"/>
      <c r="I552" s="1528"/>
      <c r="J552" s="1551">
        <f>'Part IV-Uses of Funds'!J123</f>
        <v>200000</v>
      </c>
      <c r="K552" s="1551"/>
      <c r="L552" s="1552"/>
      <c r="M552" s="1551">
        <f>'Part IV-Uses of Funds'!M123</f>
        <v>0</v>
      </c>
      <c r="N552" s="1551"/>
      <c r="O552" s="1528"/>
      <c r="P552" s="1551">
        <f>'Part IV-Uses of Funds'!P123</f>
        <v>0</v>
      </c>
      <c r="Q552" s="1551"/>
      <c r="R552" s="1528"/>
      <c r="S552" s="1551">
        <f>'Part IV-Uses of Funds'!S123</f>
        <v>0</v>
      </c>
      <c r="T552" s="1551"/>
      <c r="U552" s="1528"/>
      <c r="V552" s="1581">
        <f>'Part IV-Uses of Funds'!V123</f>
        <v>0</v>
      </c>
      <c r="W552" s="1629"/>
      <c r="X552" s="1629"/>
    </row>
    <row r="553" spans="1:24" ht="15.75">
      <c r="A553" s="1635" t="str">
        <f>IF(AND(G553&gt;0,OR(C553="",C553="&lt;Enter detailed description here; use Comments section if needed&gt;")),"X","")</f>
        <v/>
      </c>
      <c r="B553" s="1528" t="s">
        <v>778</v>
      </c>
      <c r="C553" s="1528" t="str">
        <f>'Part IV-Uses of Funds'!C124</f>
        <v>Tax &amp; Insurance Escrows</v>
      </c>
      <c r="D553" s="1528"/>
      <c r="E553" s="1528"/>
      <c r="F553" s="1528"/>
      <c r="G553" s="1551">
        <f>'Part IV-Uses of Funds'!G124</f>
        <v>60000</v>
      </c>
      <c r="H553" s="1551"/>
      <c r="I553" s="1528"/>
      <c r="J553" s="1551">
        <f>'Part IV-Uses of Funds'!J124</f>
        <v>0</v>
      </c>
      <c r="K553" s="1551"/>
      <c r="L553" s="1552"/>
      <c r="M553" s="1551">
        <f>'Part IV-Uses of Funds'!M124</f>
        <v>0</v>
      </c>
      <c r="N553" s="1551"/>
      <c r="O553" s="1528"/>
      <c r="P553" s="1551">
        <f>'Part IV-Uses of Funds'!P124</f>
        <v>0</v>
      </c>
      <c r="Q553" s="1551"/>
      <c r="R553" s="1528"/>
      <c r="S553" s="1551">
        <f>'Part IV-Uses of Funds'!S124</f>
        <v>60000</v>
      </c>
      <c r="T553" s="1551"/>
      <c r="U553" s="1529" t="str">
        <f>IF(AND(G553&gt;0,OR(C553="",C553="&lt;Enter detailed description here; use Comments section if needed&gt;")),"NO DESCRIPTION PROVIDED - please enter detailed description in Other box at left; use Comments section below if needed.","")</f>
        <v/>
      </c>
      <c r="V553" s="1581">
        <f>'Part IV-Uses of Funds'!V124</f>
        <v>0</v>
      </c>
      <c r="W553" s="1629"/>
      <c r="X553" s="1629"/>
    </row>
    <row r="554" spans="1:24">
      <c r="A554" s="1528"/>
      <c r="B554" s="1659"/>
      <c r="C554" s="1528"/>
      <c r="D554" s="1528"/>
      <c r="E554" s="1528"/>
      <c r="F554" s="1636" t="s">
        <v>198</v>
      </c>
      <c r="G554" s="1551">
        <f>SUM(G548:H553)</f>
        <v>1145232</v>
      </c>
      <c r="H554" s="1551"/>
      <c r="I554" s="1528"/>
      <c r="J554" s="1551">
        <f>SUM(J552:K553)</f>
        <v>200000</v>
      </c>
      <c r="K554" s="1551"/>
      <c r="L554" s="1552"/>
      <c r="M554" s="1551">
        <f>SUM(M552:N553)</f>
        <v>0</v>
      </c>
      <c r="N554" s="1551"/>
      <c r="O554" s="1528"/>
      <c r="P554" s="1551">
        <f>SUM(P552:Q553)</f>
        <v>0</v>
      </c>
      <c r="Q554" s="1551"/>
      <c r="R554" s="1528"/>
      <c r="S554" s="1551">
        <f>SUM(S548:T553)</f>
        <v>945232</v>
      </c>
      <c r="T554" s="1551"/>
      <c r="U554" s="1528"/>
      <c r="V554" s="1581">
        <f>SUM(V548:V553)</f>
        <v>0</v>
      </c>
      <c r="W554" s="1629"/>
      <c r="X554" s="1629"/>
    </row>
    <row r="555" spans="1:24">
      <c r="A555" s="1528"/>
      <c r="B555" s="1511" t="s">
        <v>640</v>
      </c>
      <c r="C555" s="1534"/>
      <c r="D555" s="1528"/>
      <c r="E555" s="1528"/>
      <c r="F555" s="1528"/>
      <c r="G555" s="1528"/>
      <c r="H555" s="1660"/>
      <c r="I555" s="1660"/>
      <c r="J555" s="1551"/>
      <c r="K555" s="1551"/>
      <c r="L555" s="1528"/>
      <c r="M555" s="1551"/>
      <c r="N555" s="1551"/>
      <c r="O555" s="1637" t="str">
        <f>B555</f>
        <v>OTHER COSTS</v>
      </c>
      <c r="P555" s="1551"/>
      <c r="Q555" s="1551"/>
      <c r="R555" s="1528"/>
      <c r="S555" s="1551"/>
      <c r="T555" s="1551"/>
      <c r="U555" s="1528"/>
      <c r="V555" s="1528"/>
      <c r="W555" s="1528" t="str">
        <f>B555</f>
        <v>OTHER COSTS</v>
      </c>
      <c r="X555" s="1528"/>
    </row>
    <row r="556" spans="1:24">
      <c r="A556" s="1528"/>
      <c r="B556" s="1528" t="s">
        <v>641</v>
      </c>
      <c r="C556" s="1534"/>
      <c r="D556" s="1528"/>
      <c r="E556" s="1528"/>
      <c r="F556" s="1528"/>
      <c r="G556" s="1551">
        <f>'Part IV-Uses of Funds'!G127</f>
        <v>0</v>
      </c>
      <c r="H556" s="1551"/>
      <c r="I556" s="1528"/>
      <c r="J556" s="1551">
        <f>'Part IV-Uses of Funds'!J127</f>
        <v>0</v>
      </c>
      <c r="K556" s="1551"/>
      <c r="L556" s="1637"/>
      <c r="M556" s="1551">
        <f>'Part IV-Uses of Funds'!M127</f>
        <v>0</v>
      </c>
      <c r="N556" s="1551"/>
      <c r="O556" s="1528"/>
      <c r="P556" s="1551">
        <f>'Part IV-Uses of Funds'!P127</f>
        <v>0</v>
      </c>
      <c r="Q556" s="1551"/>
      <c r="R556" s="1528"/>
      <c r="S556" s="1551">
        <f>'Part IV-Uses of Funds'!S127</f>
        <v>0</v>
      </c>
      <c r="T556" s="1551"/>
      <c r="U556" s="1528"/>
      <c r="V556" s="1581">
        <f>'Part IV-Uses of Funds'!V127</f>
        <v>0</v>
      </c>
      <c r="W556" s="1629">
        <f>'Part IV-Uses of Funds'!W127</f>
        <v>0</v>
      </c>
      <c r="X556" s="1629"/>
    </row>
    <row r="557" spans="1:24" ht="15.75">
      <c r="A557" s="1635" t="str">
        <f>IF(AND(G557&gt;0,OR(C557="",C557="&lt;Enter detailed description here; use Comments section if needed&gt;")),"X","")</f>
        <v/>
      </c>
      <c r="B557" s="1528" t="s">
        <v>778</v>
      </c>
      <c r="C557" s="1528" t="str">
        <f>'Part IV-Uses of Funds'!C128</f>
        <v>&lt;Enter detailed description here; use Comments section if needed&gt;</v>
      </c>
      <c r="D557" s="1528"/>
      <c r="E557" s="1528"/>
      <c r="F557" s="1528"/>
      <c r="G557" s="1551">
        <f>'Part IV-Uses of Funds'!G128</f>
        <v>0</v>
      </c>
      <c r="H557" s="1551"/>
      <c r="I557" s="1528"/>
      <c r="J557" s="1551">
        <f>'Part IV-Uses of Funds'!J128</f>
        <v>0</v>
      </c>
      <c r="K557" s="1551"/>
      <c r="L557" s="1552"/>
      <c r="M557" s="1551">
        <f>'Part IV-Uses of Funds'!M128</f>
        <v>0</v>
      </c>
      <c r="N557" s="1551"/>
      <c r="O557" s="1528"/>
      <c r="P557" s="1551">
        <f>'Part IV-Uses of Funds'!P128</f>
        <v>0</v>
      </c>
      <c r="Q557" s="1551"/>
      <c r="R557" s="1528"/>
      <c r="S557" s="1551">
        <f>'Part IV-Uses of Funds'!S128</f>
        <v>0</v>
      </c>
      <c r="T557" s="1551"/>
      <c r="U557" s="1529" t="str">
        <f>IF(AND(G557&gt;0,OR(C557="",C557="&lt;Enter detailed description here; use Comments section if needed&gt;")),"NO DESCRIPTION PROVIDED - please enter detailed description in Other box at left; use Comments section below if needed.","")</f>
        <v/>
      </c>
      <c r="V557" s="1581">
        <f>'Part IV-Uses of Funds'!V128</f>
        <v>0</v>
      </c>
      <c r="W557" s="1629"/>
      <c r="X557" s="1629"/>
    </row>
    <row r="558" spans="1:24">
      <c r="A558" s="1528"/>
      <c r="B558" s="1528"/>
      <c r="C558" s="1534"/>
      <c r="D558" s="1528"/>
      <c r="E558" s="1528"/>
      <c r="F558" s="1636" t="s">
        <v>198</v>
      </c>
      <c r="G558" s="1551">
        <f>SUM(G556:H557)</f>
        <v>0</v>
      </c>
      <c r="H558" s="1551"/>
      <c r="I558" s="1528"/>
      <c r="J558" s="1551">
        <f>SUM(J556:K557)</f>
        <v>0</v>
      </c>
      <c r="K558" s="1551"/>
      <c r="L558" s="1552"/>
      <c r="M558" s="1551">
        <f>SUM(M556:N557)</f>
        <v>0</v>
      </c>
      <c r="N558" s="1551"/>
      <c r="O558" s="1528"/>
      <c r="P558" s="1551">
        <f>SUM(P556:Q557)</f>
        <v>0</v>
      </c>
      <c r="Q558" s="1551"/>
      <c r="R558" s="1528"/>
      <c r="S558" s="1551">
        <f>SUM(S556:T557)</f>
        <v>0</v>
      </c>
      <c r="T558" s="1551"/>
      <c r="U558" s="1528"/>
      <c r="V558" s="1581">
        <f>SUM(V556:V557)</f>
        <v>0</v>
      </c>
      <c r="W558" s="1629"/>
      <c r="X558" s="1629"/>
    </row>
    <row r="559" spans="1:24">
      <c r="A559" s="1528"/>
      <c r="B559" s="1528"/>
      <c r="C559" s="1534"/>
      <c r="D559" s="1528"/>
      <c r="E559" s="1528"/>
      <c r="F559" s="1528"/>
      <c r="G559" s="1528"/>
      <c r="H559" s="1660"/>
      <c r="I559" s="1660"/>
      <c r="J559" s="1528"/>
      <c r="K559" s="1528"/>
      <c r="L559" s="1528"/>
      <c r="M559" s="1528"/>
      <c r="N559" s="1528"/>
      <c r="O559" s="1528"/>
      <c r="P559" s="1528"/>
      <c r="Q559" s="1528"/>
      <c r="R559" s="1528"/>
      <c r="S559" s="1528"/>
      <c r="T559" s="1528"/>
      <c r="U559" s="1528"/>
      <c r="V559" s="1528"/>
      <c r="W559" s="1629"/>
      <c r="X559" s="1629"/>
    </row>
    <row r="560" spans="1:24">
      <c r="A560" s="1528"/>
      <c r="B560" s="1529" t="s">
        <v>4565</v>
      </c>
      <c r="C560" s="1528"/>
      <c r="D560" s="1528"/>
      <c r="E560" s="1528"/>
      <c r="F560" s="1528"/>
      <c r="G560" s="1661">
        <f>G446+G452+G456+G462+G467+G470+G476+G493+G506+G512+G520+G534+G540+G546+G554+G558</f>
        <v>23748176.5</v>
      </c>
      <c r="H560" s="1661"/>
      <c r="I560" s="1528"/>
      <c r="J560" s="1661">
        <f>J446+J452+J456+J462+J467+J470+J476+J493+J506+J512+J520+J534+J540+J546+J554+J558</f>
        <v>20581941.5</v>
      </c>
      <c r="K560" s="1661"/>
      <c r="L560" s="1528"/>
      <c r="M560" s="1661">
        <f>M446+M452+M456+M462+M467+M470+M476+M493+M506+M512+M520+M534+M540+M546+M554+M558</f>
        <v>0</v>
      </c>
      <c r="N560" s="1661"/>
      <c r="O560" s="1528"/>
      <c r="P560" s="1661">
        <f>P446+P452+P456+P462+P467+P470+P476+P493+P506+P512+P520+P534+P540+P546+P554+P558</f>
        <v>0</v>
      </c>
      <c r="Q560" s="1661"/>
      <c r="R560" s="1528"/>
      <c r="S560" s="1661">
        <f>S446+S452+S456+S462+S467+S470+S476+S493+S506+S512+S520+S534+S540+S546+S554+S558</f>
        <v>3166235</v>
      </c>
      <c r="T560" s="1661"/>
      <c r="U560" s="1528"/>
      <c r="V560" s="1581">
        <f>V446+V452+V456+V462+V467+V470+V476+V493+V506+V512+V520+V534+V540+V546+V554+V558</f>
        <v>0</v>
      </c>
      <c r="W560" s="1629"/>
      <c r="X560" s="1629"/>
    </row>
    <row r="561" spans="1:24">
      <c r="A561" s="1528"/>
      <c r="B561" s="1528"/>
      <c r="C561" s="1534"/>
      <c r="D561" s="1528"/>
      <c r="E561" s="1528"/>
      <c r="F561" s="1528"/>
      <c r="G561" s="1528"/>
      <c r="H561" s="1660"/>
      <c r="I561" s="1660"/>
      <c r="J561" s="1528"/>
      <c r="K561" s="1528"/>
      <c r="L561" s="1528"/>
      <c r="M561" s="1528"/>
      <c r="N561" s="1528"/>
      <c r="O561" s="1528"/>
      <c r="P561" s="1528"/>
      <c r="Q561" s="1528"/>
      <c r="R561" s="1528"/>
      <c r="S561" s="1528"/>
      <c r="T561" s="1528"/>
      <c r="U561" s="1528"/>
      <c r="V561" s="1528"/>
      <c r="W561" s="1528"/>
      <c r="X561" s="1528"/>
    </row>
    <row r="562" spans="1:24">
      <c r="A562" s="1528"/>
      <c r="B562" s="1662" t="s">
        <v>4566</v>
      </c>
      <c r="C562" s="1646"/>
      <c r="D562" s="1663">
        <f>IF('Part VI-Revenues &amp; Expenses'!$O$62=0,0,G560/'Part VI-Revenues &amp; Expenses'!$O$62)</f>
        <v>146593.68209876542</v>
      </c>
      <c r="E562" s="1663"/>
      <c r="F562" s="1653" t="s">
        <v>2968</v>
      </c>
      <c r="G562" s="1663">
        <f>IF('Part I-Project Information'!$P$60=0,0,G560/'Part I-Project Information'!$P$60)</f>
        <v>176.75166159319434</v>
      </c>
      <c r="H562" s="1663"/>
      <c r="I562" s="1664"/>
      <c r="J562" s="1528"/>
      <c r="K562" s="1528"/>
      <c r="L562" s="1528"/>
      <c r="M562" s="1528"/>
      <c r="N562" s="1528"/>
      <c r="O562" s="1528"/>
      <c r="P562" s="1528"/>
      <c r="Q562" s="1528"/>
      <c r="R562" s="1528"/>
      <c r="S562" s="1528"/>
      <c r="T562" s="1528"/>
      <c r="U562" s="1528"/>
      <c r="V562" s="1528"/>
      <c r="W562" s="1528"/>
      <c r="X562" s="1528"/>
    </row>
    <row r="563" spans="1:24">
      <c r="A563" s="1528"/>
      <c r="B563" s="1528"/>
      <c r="C563" s="1528"/>
      <c r="D563" s="1528"/>
      <c r="E563" s="1528"/>
      <c r="F563" s="1528"/>
      <c r="G563" s="1528"/>
      <c r="H563" s="1528"/>
      <c r="I563" s="1664"/>
      <c r="J563" s="1528"/>
      <c r="K563" s="1528"/>
      <c r="L563" s="1664"/>
      <c r="M563" s="1528"/>
      <c r="N563" s="1528"/>
      <c r="O563" s="1528"/>
      <c r="P563" s="1528"/>
      <c r="Q563" s="1528"/>
      <c r="R563" s="1528"/>
      <c r="S563" s="1528"/>
      <c r="T563" s="1528"/>
      <c r="U563" s="1528"/>
      <c r="V563" s="1528"/>
      <c r="W563" s="1528"/>
      <c r="X563" s="1528"/>
    </row>
    <row r="564" spans="1:24">
      <c r="A564" s="1528"/>
      <c r="B564" s="1528"/>
      <c r="C564" s="1528"/>
      <c r="D564" s="1534"/>
      <c r="E564" s="1534"/>
      <c r="F564" s="1528"/>
      <c r="G564" s="1528"/>
      <c r="H564" s="1528"/>
      <c r="I564" s="1660"/>
      <c r="J564" s="1660"/>
      <c r="K564" s="1665"/>
      <c r="L564" s="1534"/>
      <c r="M564" s="1528"/>
      <c r="N564" s="1528"/>
      <c r="O564" s="1528"/>
      <c r="P564" s="1528"/>
      <c r="Q564" s="1528"/>
      <c r="R564" s="1528"/>
      <c r="S564" s="1528"/>
      <c r="T564" s="1528"/>
      <c r="U564" s="1528"/>
      <c r="V564" s="1528"/>
      <c r="W564" s="1528"/>
      <c r="X564" s="1528"/>
    </row>
    <row r="565" spans="1:24" ht="16.5" customHeight="1">
      <c r="A565" s="1630" t="s">
        <v>777</v>
      </c>
      <c r="B565" s="1666" t="s">
        <v>1488</v>
      </c>
      <c r="C565" s="1527"/>
      <c r="D565" s="1552"/>
      <c r="E565" s="1552"/>
      <c r="F565" s="1552"/>
      <c r="G565" s="1528"/>
      <c r="H565" s="1528"/>
      <c r="I565" s="1667"/>
      <c r="J565" s="1631" t="s">
        <v>284</v>
      </c>
      <c r="K565" s="1631"/>
      <c r="L565" s="1528"/>
      <c r="M565" s="1631" t="s">
        <v>102</v>
      </c>
      <c r="N565" s="1631"/>
      <c r="O565" s="1528"/>
      <c r="P565" s="1631" t="s">
        <v>285</v>
      </c>
      <c r="Q565" s="1631"/>
      <c r="R565" s="1528"/>
      <c r="S565" s="1528"/>
      <c r="T565" s="1528"/>
      <c r="U565" s="1528"/>
      <c r="V565" s="1528"/>
      <c r="W565" s="1633" t="str">
        <f>B565</f>
        <v>TAX CREDIT CALCULATION - BASIS METHOD</v>
      </c>
      <c r="X565" s="1528"/>
    </row>
    <row r="566" spans="1:24">
      <c r="A566" s="1528"/>
      <c r="B566" s="1529" t="s">
        <v>2132</v>
      </c>
      <c r="C566" s="1528"/>
      <c r="D566" s="1552"/>
      <c r="E566" s="1552"/>
      <c r="F566" s="1528"/>
      <c r="G566" s="1528"/>
      <c r="H566" s="1528"/>
      <c r="I566" s="1667"/>
      <c r="J566" s="1631"/>
      <c r="K566" s="1631"/>
      <c r="L566" s="1527"/>
      <c r="M566" s="1631"/>
      <c r="N566" s="1631"/>
      <c r="O566" s="1528"/>
      <c r="P566" s="1631"/>
      <c r="Q566" s="1631"/>
      <c r="R566" s="1528"/>
      <c r="S566" s="1528"/>
      <c r="T566" s="1528"/>
      <c r="U566" s="1528"/>
      <c r="V566" s="1528"/>
      <c r="W566" s="1528" t="str">
        <f>B566</f>
        <v>Subtractions From Eligible Basis</v>
      </c>
      <c r="X566" s="1572"/>
    </row>
    <row r="567" spans="1:24">
      <c r="A567" s="1528"/>
      <c r="B567" s="1528"/>
      <c r="C567" s="1528"/>
      <c r="D567" s="1534"/>
      <c r="E567" s="1534"/>
      <c r="F567" s="1528"/>
      <c r="G567" s="1528"/>
      <c r="H567" s="1528"/>
      <c r="I567" s="1660"/>
      <c r="J567" s="1660"/>
      <c r="K567" s="1665"/>
      <c r="L567" s="1534"/>
      <c r="M567" s="1528"/>
      <c r="N567" s="1528"/>
      <c r="O567" s="1528"/>
      <c r="P567" s="1528"/>
      <c r="Q567" s="1528"/>
      <c r="R567" s="1528"/>
      <c r="S567" s="1528"/>
      <c r="T567" s="1528"/>
      <c r="U567" s="1528"/>
      <c r="V567" s="1528"/>
      <c r="W567" s="1528"/>
      <c r="X567" s="1528"/>
    </row>
    <row r="568" spans="1:24">
      <c r="A568" s="1528"/>
      <c r="B568" s="1534" t="s">
        <v>146</v>
      </c>
      <c r="C568" s="1528"/>
      <c r="D568" s="1528"/>
      <c r="E568" s="1528"/>
      <c r="F568" s="1528"/>
      <c r="G568" s="1528"/>
      <c r="H568" s="1528"/>
      <c r="I568" s="1667"/>
      <c r="J568" s="1615">
        <f>'Part IV-Uses of Funds'!J139</f>
        <v>0</v>
      </c>
      <c r="K568" s="1615"/>
      <c r="L568" s="1528"/>
      <c r="M568" s="1528"/>
      <c r="N568" s="1528"/>
      <c r="O568" s="1528"/>
      <c r="P568" s="1615">
        <f>'Part IV-Uses of Funds'!P139</f>
        <v>0</v>
      </c>
      <c r="Q568" s="1615"/>
      <c r="R568" s="1528"/>
      <c r="S568" s="1528"/>
      <c r="T568" s="1528"/>
      <c r="U568" s="1528"/>
      <c r="V568" s="1581">
        <f>'Part IV-Uses of Funds'!V139</f>
        <v>0</v>
      </c>
      <c r="W568" s="1629">
        <f>'Part IV-Uses of Funds'!W139</f>
        <v>0</v>
      </c>
      <c r="X568" s="1629"/>
    </row>
    <row r="569" spans="1:24">
      <c r="A569" s="1528"/>
      <c r="B569" s="1528" t="s">
        <v>2240</v>
      </c>
      <c r="C569" s="1528"/>
      <c r="D569" s="1528"/>
      <c r="E569" s="1528"/>
      <c r="F569" s="1528"/>
      <c r="G569" s="1528"/>
      <c r="H569" s="1528"/>
      <c r="I569" s="1667"/>
      <c r="J569" s="1615">
        <f>'Part IV-Uses of Funds'!J140</f>
        <v>0</v>
      </c>
      <c r="K569" s="1615"/>
      <c r="L569" s="1528"/>
      <c r="M569" s="1528"/>
      <c r="N569" s="1528"/>
      <c r="O569" s="1528"/>
      <c r="P569" s="1615">
        <f>'Part IV-Uses of Funds'!P140</f>
        <v>0</v>
      </c>
      <c r="Q569" s="1615"/>
      <c r="R569" s="1528"/>
      <c r="S569" s="1528"/>
      <c r="T569" s="1528"/>
      <c r="U569" s="1528"/>
      <c r="V569" s="1581">
        <f>'Part IV-Uses of Funds'!V140</f>
        <v>0</v>
      </c>
      <c r="W569" s="1629"/>
      <c r="X569" s="1629"/>
    </row>
    <row r="570" spans="1:24">
      <c r="A570" s="1528"/>
      <c r="B570" s="1528" t="s">
        <v>1943</v>
      </c>
      <c r="C570" s="1528"/>
      <c r="D570" s="1528"/>
      <c r="E570" s="1528"/>
      <c r="F570" s="1528"/>
      <c r="G570" s="1528"/>
      <c r="H570" s="1528"/>
      <c r="I570" s="1667"/>
      <c r="J570" s="1615">
        <f>'Part IV-Uses of Funds'!J141</f>
        <v>0</v>
      </c>
      <c r="K570" s="1615"/>
      <c r="L570" s="1528"/>
      <c r="M570" s="1528"/>
      <c r="N570" s="1528"/>
      <c r="O570" s="1528"/>
      <c r="P570" s="1615">
        <f>'Part IV-Uses of Funds'!P141</f>
        <v>0</v>
      </c>
      <c r="Q570" s="1615"/>
      <c r="R570" s="1528"/>
      <c r="S570" s="1528"/>
      <c r="T570" s="1528"/>
      <c r="U570" s="1528"/>
      <c r="V570" s="1581">
        <f>'Part IV-Uses of Funds'!V141</f>
        <v>0</v>
      </c>
      <c r="W570" s="1629"/>
      <c r="X570" s="1629"/>
    </row>
    <row r="571" spans="1:24">
      <c r="A571" s="1528"/>
      <c r="B571" s="1528" t="s">
        <v>1944</v>
      </c>
      <c r="C571" s="1528"/>
      <c r="D571" s="1528"/>
      <c r="E571" s="1528"/>
      <c r="F571" s="1528"/>
      <c r="G571" s="1528"/>
      <c r="H571" s="1528"/>
      <c r="I571" s="1667"/>
      <c r="J571" s="1615">
        <f>'Part IV-Uses of Funds'!J142</f>
        <v>0</v>
      </c>
      <c r="K571" s="1615"/>
      <c r="L571" s="1528"/>
      <c r="M571" s="1528"/>
      <c r="N571" s="1528"/>
      <c r="O571" s="1528"/>
      <c r="P571" s="1615">
        <f>'Part IV-Uses of Funds'!P142</f>
        <v>0</v>
      </c>
      <c r="Q571" s="1615"/>
      <c r="R571" s="1528"/>
      <c r="S571" s="1528"/>
      <c r="T571" s="1528"/>
      <c r="U571" s="1528"/>
      <c r="V571" s="1581">
        <f>'Part IV-Uses of Funds'!V142</f>
        <v>0</v>
      </c>
      <c r="W571" s="1629"/>
      <c r="X571" s="1629"/>
    </row>
    <row r="572" spans="1:24">
      <c r="A572" s="1528"/>
      <c r="B572" s="1528" t="s">
        <v>266</v>
      </c>
      <c r="C572" s="1528"/>
      <c r="D572" s="1528"/>
      <c r="E572" s="1528"/>
      <c r="F572" s="1528"/>
      <c r="G572" s="1528"/>
      <c r="H572" s="1528"/>
      <c r="I572" s="1667"/>
      <c r="J572" s="1615">
        <f>'Part IV-Uses of Funds'!J143</f>
        <v>0</v>
      </c>
      <c r="K572" s="1615"/>
      <c r="L572" s="1528"/>
      <c r="M572" s="1528"/>
      <c r="N572" s="1528"/>
      <c r="O572" s="1528"/>
      <c r="P572" s="1615">
        <f>'Part IV-Uses of Funds'!P143</f>
        <v>0</v>
      </c>
      <c r="Q572" s="1615"/>
      <c r="R572" s="1528"/>
      <c r="S572" s="1528"/>
      <c r="T572" s="1528"/>
      <c r="U572" s="1528"/>
      <c r="V572" s="1581">
        <f>'Part IV-Uses of Funds'!V143</f>
        <v>0</v>
      </c>
      <c r="W572" s="1629"/>
      <c r="X572" s="1629"/>
    </row>
    <row r="573" spans="1:24">
      <c r="A573" s="1528"/>
      <c r="B573" s="1528" t="s">
        <v>1669</v>
      </c>
      <c r="C573" s="1528" t="str">
        <f>'Part IV-Uses of Funds'!C144</f>
        <v>&lt;Enter detailed description here; use Comments section if needed&gt;</v>
      </c>
      <c r="D573" s="1528"/>
      <c r="E573" s="1528"/>
      <c r="F573" s="1528"/>
      <c r="G573" s="1528"/>
      <c r="H573" s="1528"/>
      <c r="I573" s="1528"/>
      <c r="J573" s="1615">
        <f>'Part IV-Uses of Funds'!J144</f>
        <v>0</v>
      </c>
      <c r="K573" s="1615"/>
      <c r="L573" s="1528"/>
      <c r="M573" s="1528"/>
      <c r="N573" s="1528"/>
      <c r="O573" s="1528"/>
      <c r="P573" s="1615">
        <f>'Part IV-Uses of Funds'!P144</f>
        <v>0</v>
      </c>
      <c r="Q573" s="1615"/>
      <c r="R573" s="1528"/>
      <c r="S573" s="1528"/>
      <c r="T573" s="1528"/>
      <c r="U573" s="1528"/>
      <c r="V573" s="1581">
        <f>'Part IV-Uses of Funds'!V144</f>
        <v>0</v>
      </c>
      <c r="W573" s="1629"/>
      <c r="X573" s="1629"/>
    </row>
    <row r="574" spans="1:24">
      <c r="A574" s="1528"/>
      <c r="B574" s="1511" t="s">
        <v>1945</v>
      </c>
      <c r="C574" s="1550"/>
      <c r="D574" s="1528"/>
      <c r="E574" s="1528"/>
      <c r="F574" s="1528"/>
      <c r="G574" s="1528"/>
      <c r="H574" s="1528"/>
      <c r="I574" s="1528"/>
      <c r="J574" s="1615">
        <f>SUM(J568:K573)</f>
        <v>0</v>
      </c>
      <c r="K574" s="1615"/>
      <c r="L574" s="1528"/>
      <c r="M574" s="1528"/>
      <c r="N574" s="1528"/>
      <c r="O574" s="1528"/>
      <c r="P574" s="1615">
        <f>SUM(P568:Q573)</f>
        <v>0</v>
      </c>
      <c r="Q574" s="1615"/>
      <c r="R574" s="1528"/>
      <c r="S574" s="1528"/>
      <c r="T574" s="1528"/>
      <c r="U574" s="1528"/>
      <c r="V574" s="1581">
        <f>SUM(V568:V573)</f>
        <v>0</v>
      </c>
      <c r="W574" s="1629"/>
      <c r="X574" s="1629"/>
    </row>
    <row r="575" spans="1:24">
      <c r="A575" s="1528"/>
      <c r="B575" s="1528"/>
      <c r="C575" s="1528"/>
      <c r="D575" s="1528"/>
      <c r="E575" s="1528"/>
      <c r="F575" s="1528"/>
      <c r="G575" s="1528"/>
      <c r="H575" s="1528"/>
      <c r="I575" s="1528"/>
      <c r="J575" s="1528"/>
      <c r="K575" s="1528"/>
      <c r="L575" s="1528"/>
      <c r="M575" s="1528"/>
      <c r="N575" s="1528"/>
      <c r="O575" s="1528"/>
      <c r="P575" s="1528"/>
      <c r="Q575" s="1528"/>
      <c r="R575" s="1528"/>
      <c r="S575" s="1528"/>
      <c r="T575" s="1528"/>
      <c r="U575" s="1528"/>
      <c r="V575" s="1528"/>
      <c r="W575" s="1528"/>
      <c r="X575" s="1528"/>
    </row>
    <row r="576" spans="1:24">
      <c r="A576" s="1528"/>
      <c r="B576" s="1511" t="s">
        <v>2432</v>
      </c>
      <c r="C576" s="1528"/>
      <c r="D576" s="1528"/>
      <c r="E576" s="1528"/>
      <c r="F576" s="1528"/>
      <c r="G576" s="1528"/>
      <c r="H576" s="1528"/>
      <c r="I576" s="1528"/>
      <c r="J576" s="1528"/>
      <c r="K576" s="1528"/>
      <c r="L576" s="1528"/>
      <c r="M576" s="1528"/>
      <c r="N576" s="1528"/>
      <c r="O576" s="1528"/>
      <c r="P576" s="1528"/>
      <c r="Q576" s="1528"/>
      <c r="R576" s="1528"/>
      <c r="S576" s="1528"/>
      <c r="T576" s="1528"/>
      <c r="U576" s="1528"/>
      <c r="V576" s="1528"/>
      <c r="W576" s="1528" t="str">
        <f>B576</f>
        <v>Eligible Basis Calculation</v>
      </c>
      <c r="X576" s="1528"/>
    </row>
    <row r="577" spans="1:24">
      <c r="A577" s="1528"/>
      <c r="B577" s="1528" t="s">
        <v>1866</v>
      </c>
      <c r="C577" s="1528"/>
      <c r="D577" s="1528"/>
      <c r="E577" s="1528"/>
      <c r="F577" s="1528"/>
      <c r="G577" s="1528"/>
      <c r="H577" s="1528"/>
      <c r="I577" s="1528"/>
      <c r="J577" s="1558">
        <f>J560</f>
        <v>20581941.5</v>
      </c>
      <c r="K577" s="1558"/>
      <c r="L577" s="1528"/>
      <c r="M577" s="1558">
        <f>M560</f>
        <v>0</v>
      </c>
      <c r="N577" s="1558"/>
      <c r="O577" s="1528"/>
      <c r="P577" s="1558">
        <f>P560</f>
        <v>0</v>
      </c>
      <c r="Q577" s="1558"/>
      <c r="R577" s="1528"/>
      <c r="S577" s="1528"/>
      <c r="T577" s="1528"/>
      <c r="U577" s="1528"/>
      <c r="V577" s="1581">
        <f>'Part IV-Uses of Funds'!V148</f>
        <v>0</v>
      </c>
      <c r="W577" s="1629">
        <f>'Part IV-Uses of Funds'!W148</f>
        <v>0</v>
      </c>
      <c r="X577" s="1629"/>
    </row>
    <row r="578" spans="1:24">
      <c r="A578" s="1528"/>
      <c r="B578" s="1528" t="s">
        <v>2310</v>
      </c>
      <c r="C578" s="1528"/>
      <c r="D578" s="1528"/>
      <c r="E578" s="1528"/>
      <c r="F578" s="1528"/>
      <c r="G578" s="1528"/>
      <c r="H578" s="1528"/>
      <c r="I578" s="1528"/>
      <c r="J578" s="1558">
        <f>J574</f>
        <v>0</v>
      </c>
      <c r="K578" s="1558"/>
      <c r="L578" s="1528"/>
      <c r="M578" s="1558"/>
      <c r="N578" s="1558"/>
      <c r="O578" s="1528"/>
      <c r="P578" s="1558">
        <f>P574</f>
        <v>0</v>
      </c>
      <c r="Q578" s="1558"/>
      <c r="R578" s="1528"/>
      <c r="S578" s="1528"/>
      <c r="T578" s="1528"/>
      <c r="U578" s="1528"/>
      <c r="V578" s="1581">
        <f>'Part IV-Uses of Funds'!V149</f>
        <v>0</v>
      </c>
      <c r="W578" s="1629"/>
      <c r="X578" s="1629"/>
    </row>
    <row r="579" spans="1:24">
      <c r="A579" s="1528"/>
      <c r="B579" s="1528" t="s">
        <v>2311</v>
      </c>
      <c r="C579" s="1528"/>
      <c r="D579" s="1528"/>
      <c r="E579" s="1528"/>
      <c r="F579" s="1528"/>
      <c r="G579" s="1528"/>
      <c r="H579" s="1528"/>
      <c r="I579" s="1528"/>
      <c r="J579" s="1558">
        <f>J577-J578</f>
        <v>20581941.5</v>
      </c>
      <c r="K579" s="1558"/>
      <c r="L579" s="1528"/>
      <c r="M579" s="1558">
        <f>M577</f>
        <v>0</v>
      </c>
      <c r="N579" s="1558"/>
      <c r="O579" s="1528"/>
      <c r="P579" s="1558">
        <f>P577-P578</f>
        <v>0</v>
      </c>
      <c r="Q579" s="1558"/>
      <c r="R579" s="1528"/>
      <c r="S579" s="1528"/>
      <c r="T579" s="1528"/>
      <c r="U579" s="1528"/>
      <c r="V579" s="1581">
        <f>'Part IV-Uses of Funds'!V150</f>
        <v>0</v>
      </c>
      <c r="W579" s="1629"/>
      <c r="X579" s="1629"/>
    </row>
    <row r="580" spans="1:24">
      <c r="A580" s="1528"/>
      <c r="B580" s="1528" t="s">
        <v>1551</v>
      </c>
      <c r="C580" s="1528"/>
      <c r="D580" s="1528"/>
      <c r="E580" s="1528"/>
      <c r="F580" s="1528"/>
      <c r="G580" s="1531" t="s">
        <v>1788</v>
      </c>
      <c r="H580" s="1528" t="str">
        <f>'Part IV-Uses of Funds'!H151</f>
        <v>DDA/QCT</v>
      </c>
      <c r="I580" s="1528"/>
      <c r="J580" s="1668">
        <f>'Part IV-Uses of Funds'!J151</f>
        <v>1.3</v>
      </c>
      <c r="K580" s="1668"/>
      <c r="L580" s="1528"/>
      <c r="M580" s="1668"/>
      <c r="N580" s="1668"/>
      <c r="O580" s="1528"/>
      <c r="P580" s="1668">
        <f>'Part IV-Uses of Funds'!P151</f>
        <v>0</v>
      </c>
      <c r="Q580" s="1668"/>
      <c r="R580" s="1528"/>
      <c r="S580" s="1528"/>
      <c r="T580" s="1528"/>
      <c r="U580" s="1528"/>
      <c r="V580" s="1581">
        <f>'Part IV-Uses of Funds'!V151</f>
        <v>0</v>
      </c>
      <c r="W580" s="1629"/>
      <c r="X580" s="1629"/>
    </row>
    <row r="581" spans="1:24">
      <c r="A581" s="1528"/>
      <c r="B581" s="1528" t="s">
        <v>2142</v>
      </c>
      <c r="C581" s="1528"/>
      <c r="D581" s="1528"/>
      <c r="E581" s="1528"/>
      <c r="F581" s="1528"/>
      <c r="G581" s="1528"/>
      <c r="H581" s="1528"/>
      <c r="I581" s="1528"/>
      <c r="J581" s="1558">
        <f>J579*J580</f>
        <v>26756523.949999999</v>
      </c>
      <c r="K581" s="1558"/>
      <c r="L581" s="1528"/>
      <c r="M581" s="1558">
        <f>+M579</f>
        <v>0</v>
      </c>
      <c r="N581" s="1558"/>
      <c r="O581" s="1528"/>
      <c r="P581" s="1558">
        <f>P579*P580</f>
        <v>0</v>
      </c>
      <c r="Q581" s="1558"/>
      <c r="R581" s="1528"/>
      <c r="S581" s="1528"/>
      <c r="T581" s="1528"/>
      <c r="U581" s="1528"/>
      <c r="V581" s="1581">
        <f>'Part IV-Uses of Funds'!V152</f>
        <v>0</v>
      </c>
      <c r="W581" s="1629"/>
      <c r="X581" s="1629"/>
    </row>
    <row r="582" spans="1:24">
      <c r="A582" s="1528"/>
      <c r="B582" s="1528" t="s">
        <v>2641</v>
      </c>
      <c r="C582" s="1528"/>
      <c r="D582" s="1528"/>
      <c r="E582" s="1528"/>
      <c r="F582" s="1528"/>
      <c r="G582" s="1528"/>
      <c r="H582" s="1528"/>
      <c r="I582" s="1528"/>
      <c r="J582" s="1669">
        <f>MIN('Part VI-Revenues &amp; Expenses'!$O$58/'Part VI-Revenues &amp; Expenses'!$O$60,'Part VI-Revenues &amp; Expenses'!$O$115/'Part VI-Revenues &amp; Expenses'!$O$117)</f>
        <v>1</v>
      </c>
      <c r="K582" s="1669"/>
      <c r="L582" s="1528"/>
      <c r="M582" s="1669">
        <f>MIN('Part VI-Revenues &amp; Expenses'!$O$58/'Part VI-Revenues &amp; Expenses'!$O$60,'Part VI-Revenues &amp; Expenses'!$O$115/'Part VI-Revenues &amp; Expenses'!$O$117)</f>
        <v>1</v>
      </c>
      <c r="N582" s="1669"/>
      <c r="O582" s="1528"/>
      <c r="P582" s="1669">
        <f>MIN('Part VI-Revenues &amp; Expenses'!$O$58/'Part VI-Revenues &amp; Expenses'!$O$60,'Part VI-Revenues &amp; Expenses'!$O$115/'Part VI-Revenues &amp; Expenses'!$O$117)</f>
        <v>1</v>
      </c>
      <c r="Q582" s="1669"/>
      <c r="R582" s="1528"/>
      <c r="S582" s="1528"/>
      <c r="T582" s="1528"/>
      <c r="U582" s="1528"/>
      <c r="V582" s="1581">
        <f>'Part IV-Uses of Funds'!V153</f>
        <v>0</v>
      </c>
      <c r="W582" s="1629"/>
      <c r="X582" s="1629"/>
    </row>
    <row r="583" spans="1:24">
      <c r="A583" s="1528"/>
      <c r="B583" s="1528" t="s">
        <v>2133</v>
      </c>
      <c r="C583" s="1528"/>
      <c r="D583" s="1528"/>
      <c r="E583" s="1528"/>
      <c r="F583" s="1528"/>
      <c r="G583" s="1528"/>
      <c r="H583" s="1528"/>
      <c r="I583" s="1528"/>
      <c r="J583" s="1558">
        <f>J581*J582</f>
        <v>26756523.949999999</v>
      </c>
      <c r="K583" s="1558"/>
      <c r="L583" s="1528"/>
      <c r="M583" s="1558">
        <f>M581*M582</f>
        <v>0</v>
      </c>
      <c r="N583" s="1558"/>
      <c r="O583" s="1528"/>
      <c r="P583" s="1558">
        <f>P581*P582</f>
        <v>0</v>
      </c>
      <c r="Q583" s="1558"/>
      <c r="R583" s="1528"/>
      <c r="S583" s="1528"/>
      <c r="T583" s="1528"/>
      <c r="U583" s="1528"/>
      <c r="V583" s="1581">
        <f>'Part IV-Uses of Funds'!V154</f>
        <v>0</v>
      </c>
      <c r="W583" s="1629"/>
      <c r="X583" s="1629"/>
    </row>
    <row r="584" spans="1:24">
      <c r="A584" s="1528"/>
      <c r="B584" s="1528" t="s">
        <v>2134</v>
      </c>
      <c r="C584" s="1528"/>
      <c r="D584" s="1528"/>
      <c r="E584" s="1528"/>
      <c r="F584" s="1528"/>
      <c r="G584" s="1528"/>
      <c r="H584" s="1528"/>
      <c r="I584" s="1528"/>
      <c r="J584" s="1668">
        <f>'Part IV-Uses of Funds'!J155</f>
        <v>3.1899999999999998E-2</v>
      </c>
      <c r="K584" s="1668"/>
      <c r="L584" s="1528"/>
      <c r="M584" s="1668">
        <f>'Part IV-Uses of Funds'!M155</f>
        <v>0</v>
      </c>
      <c r="N584" s="1668"/>
      <c r="O584" s="1528"/>
      <c r="P584" s="1668">
        <f>'Part IV-Uses of Funds'!P155</f>
        <v>0</v>
      </c>
      <c r="Q584" s="1668"/>
      <c r="R584" s="1528"/>
      <c r="S584" s="1528"/>
      <c r="T584" s="1528"/>
      <c r="U584" s="1528"/>
      <c r="V584" s="1581">
        <f>'Part IV-Uses of Funds'!V155</f>
        <v>0</v>
      </c>
      <c r="W584" s="1629"/>
      <c r="X584" s="1629"/>
    </row>
    <row r="585" spans="1:24">
      <c r="A585" s="1528"/>
      <c r="B585" s="1528" t="s">
        <v>2642</v>
      </c>
      <c r="C585" s="1528"/>
      <c r="D585" s="1528"/>
      <c r="E585" s="1528"/>
      <c r="F585" s="1528"/>
      <c r="G585" s="1528"/>
      <c r="H585" s="1528"/>
      <c r="I585" s="1528"/>
      <c r="J585" s="1558">
        <f>J583*J584</f>
        <v>853533.11400499986</v>
      </c>
      <c r="K585" s="1558"/>
      <c r="L585" s="1528"/>
      <c r="M585" s="1558">
        <f>M583*M584</f>
        <v>0</v>
      </c>
      <c r="N585" s="1558"/>
      <c r="O585" s="1528"/>
      <c r="P585" s="1558">
        <f>P583*P584</f>
        <v>0</v>
      </c>
      <c r="Q585" s="1558"/>
      <c r="R585" s="1528"/>
      <c r="S585" s="1528"/>
      <c r="T585" s="1528"/>
      <c r="U585" s="1528"/>
      <c r="V585" s="1581">
        <f>'Part IV-Uses of Funds'!V156</f>
        <v>0</v>
      </c>
      <c r="W585" s="1629"/>
      <c r="X585" s="1629"/>
    </row>
    <row r="586" spans="1:24">
      <c r="A586" s="1528"/>
      <c r="B586" s="1511" t="s">
        <v>1486</v>
      </c>
      <c r="C586" s="1528"/>
      <c r="D586" s="1528"/>
      <c r="E586" s="1528"/>
      <c r="F586" s="1528"/>
      <c r="G586" s="1528"/>
      <c r="H586" s="1528"/>
      <c r="I586" s="1528"/>
      <c r="J586" s="1615">
        <f>J585+M585+P585</f>
        <v>853533.11400499986</v>
      </c>
      <c r="K586" s="1615"/>
      <c r="L586" s="1615"/>
      <c r="M586" s="1615"/>
      <c r="N586" s="1615"/>
      <c r="O586" s="1615"/>
      <c r="P586" s="1615"/>
      <c r="Q586" s="1615"/>
      <c r="R586" s="1528"/>
      <c r="S586" s="1528"/>
      <c r="T586" s="1528"/>
      <c r="U586" s="1528"/>
      <c r="V586" s="1581">
        <f>'Part IV-Uses of Funds'!V157</f>
        <v>0</v>
      </c>
      <c r="W586" s="1629"/>
      <c r="X586" s="1629"/>
    </row>
    <row r="587" spans="1:24">
      <c r="A587" s="1528"/>
      <c r="B587" s="1670"/>
      <c r="C587" s="1528"/>
      <c r="D587" s="1528"/>
      <c r="E587" s="1528"/>
      <c r="F587" s="1528"/>
      <c r="G587" s="1528"/>
      <c r="H587" s="1528"/>
      <c r="I587" s="1528"/>
      <c r="J587" s="1528"/>
      <c r="K587" s="1528"/>
      <c r="L587" s="1627"/>
      <c r="M587" s="1627"/>
      <c r="N587" s="1627"/>
      <c r="O587" s="1627"/>
      <c r="P587" s="1528"/>
      <c r="Q587" s="1528"/>
      <c r="R587" s="1528"/>
      <c r="S587" s="1528"/>
      <c r="T587" s="1528"/>
      <c r="U587" s="1528"/>
      <c r="V587" s="1528"/>
      <c r="W587" s="1528"/>
      <c r="X587" s="1528"/>
    </row>
    <row r="588" spans="1:24" ht="16.5">
      <c r="A588" s="1633" t="s">
        <v>779</v>
      </c>
      <c r="B588" s="1633" t="s">
        <v>1489</v>
      </c>
      <c r="C588" s="1528"/>
      <c r="D588" s="1528"/>
      <c r="E588" s="1528"/>
      <c r="F588" s="1528"/>
      <c r="G588" s="1528"/>
      <c r="H588" s="1660"/>
      <c r="I588" s="1660"/>
      <c r="J588" s="1528"/>
      <c r="K588" s="1528"/>
      <c r="L588" s="1528"/>
      <c r="M588" s="1671"/>
      <c r="N588" s="1528"/>
      <c r="O588" s="1528"/>
      <c r="P588" s="1528"/>
      <c r="Q588" s="1528"/>
      <c r="R588" s="1528"/>
      <c r="S588" s="1528"/>
      <c r="T588" s="1528"/>
      <c r="U588" s="1528"/>
      <c r="V588" s="1528"/>
      <c r="W588" s="1528"/>
      <c r="X588" s="1528"/>
    </row>
    <row r="589" spans="1:24" ht="16.5">
      <c r="A589" s="1528"/>
      <c r="B589" s="1511" t="s">
        <v>180</v>
      </c>
      <c r="C589" s="1528"/>
      <c r="D589" s="1528"/>
      <c r="E589" s="1528"/>
      <c r="F589" s="1528"/>
      <c r="G589" s="1528"/>
      <c r="H589" s="1538"/>
      <c r="I589" s="1528"/>
      <c r="J589" s="1528"/>
      <c r="K589" s="1528"/>
      <c r="L589" s="1528"/>
      <c r="M589" s="1671"/>
      <c r="N589" s="1528"/>
      <c r="O589" s="1528"/>
      <c r="P589" s="1528"/>
      <c r="Q589" s="1528"/>
      <c r="R589" s="1528"/>
      <c r="S589" s="1528"/>
      <c r="T589" s="1528"/>
      <c r="U589" s="1528"/>
      <c r="V589" s="1528"/>
      <c r="W589" s="1633" t="str">
        <f>B588</f>
        <v>TAX CREDIT CALCULATION - GAP METHOD</v>
      </c>
      <c r="X589" s="1528"/>
    </row>
    <row r="590" spans="1:24" ht="13.5" customHeight="1">
      <c r="A590" s="1528"/>
      <c r="B590" s="1530" t="s">
        <v>4567</v>
      </c>
      <c r="C590" s="1528"/>
      <c r="D590" s="1528"/>
      <c r="E590" s="1528"/>
      <c r="F590" s="1528"/>
      <c r="G590" s="1672" t="str">
        <f>IF(J591&gt;J590,"TDC exceeds QAP PUCL!","")</f>
        <v/>
      </c>
      <c r="H590" s="1672"/>
      <c r="I590" s="1672"/>
      <c r="J590" s="1613">
        <f>'Part VIII-Threshold Criteria'!$P$65</f>
        <v>26262265</v>
      </c>
      <c r="K590" s="1613"/>
      <c r="L590" s="1613"/>
      <c r="M590" s="1673" t="s">
        <v>2886</v>
      </c>
      <c r="N590" s="1673"/>
      <c r="O590" s="1673"/>
      <c r="P590" s="1673"/>
      <c r="Q590" s="1673"/>
      <c r="R590" s="1673"/>
      <c r="S590" s="1673" t="s">
        <v>4466</v>
      </c>
      <c r="T590" s="1673"/>
      <c r="U590" s="1528"/>
      <c r="V590" s="1581">
        <f>'Part IV-Uses of Funds'!V161</f>
        <v>0</v>
      </c>
      <c r="W590" s="1629">
        <f>'Part IV-Uses of Funds'!W161</f>
        <v>0</v>
      </c>
      <c r="X590" s="1629"/>
    </row>
    <row r="591" spans="1:24">
      <c r="A591" s="1528"/>
      <c r="B591" s="1528" t="s">
        <v>4568</v>
      </c>
      <c r="C591" s="1528"/>
      <c r="D591" s="1528"/>
      <c r="E591" s="1528"/>
      <c r="F591" s="1528"/>
      <c r="G591" s="1528"/>
      <c r="H591" s="1528"/>
      <c r="I591" s="1528"/>
      <c r="J591" s="1558">
        <f>'Part IV-Uses of Funds'!J162</f>
        <v>23748176.5</v>
      </c>
      <c r="K591" s="1558"/>
      <c r="L591" s="1558"/>
      <c r="M591" s="1673"/>
      <c r="N591" s="1673"/>
      <c r="O591" s="1673"/>
      <c r="P591" s="1673"/>
      <c r="Q591" s="1673"/>
      <c r="R591" s="1673"/>
      <c r="S591" s="1673"/>
      <c r="T591" s="1673"/>
      <c r="U591" s="1528"/>
      <c r="V591" s="1581">
        <f>'Part IV-Uses of Funds'!V162</f>
        <v>0</v>
      </c>
      <c r="W591" s="1629"/>
      <c r="X591" s="1629"/>
    </row>
    <row r="592" spans="1:24">
      <c r="A592" s="1528"/>
      <c r="B592" s="1528" t="s">
        <v>276</v>
      </c>
      <c r="C592" s="1528"/>
      <c r="D592" s="1528"/>
      <c r="E592" s="1528"/>
      <c r="F592" s="1528"/>
      <c r="G592" s="1528"/>
      <c r="H592" s="1528"/>
      <c r="I592" s="1528"/>
      <c r="J592" s="1558">
        <f>'Part III-Sources of Funds'!$I$54-'Part III-Sources of Funds'!$I$41-'Part III-Sources of Funds'!$I$42-'Part III-Sources of Funds'!$I$45-'Part III-Sources of Funds'!$I$46</f>
        <v>9676515</v>
      </c>
      <c r="K592" s="1558"/>
      <c r="L592" s="1558"/>
      <c r="M592" s="1673"/>
      <c r="N592" s="1673"/>
      <c r="O592" s="1673"/>
      <c r="P592" s="1673"/>
      <c r="Q592" s="1673"/>
      <c r="R592" s="1673"/>
      <c r="S592" s="1673"/>
      <c r="T592" s="1673"/>
      <c r="U592" s="1528"/>
      <c r="V592" s="1581">
        <f>'Part IV-Uses of Funds'!V163</f>
        <v>0</v>
      </c>
      <c r="W592" s="1629"/>
      <c r="X592" s="1629"/>
    </row>
    <row r="593" spans="1:24" ht="13.5">
      <c r="A593" s="1528"/>
      <c r="B593" s="1528" t="s">
        <v>2322</v>
      </c>
      <c r="C593" s="1528"/>
      <c r="D593" s="1528"/>
      <c r="E593" s="1528"/>
      <c r="F593" s="1528"/>
      <c r="G593" s="1528"/>
      <c r="H593" s="1528"/>
      <c r="I593" s="1528"/>
      <c r="J593" s="1558">
        <f>+J591-J592</f>
        <v>14071661.5</v>
      </c>
      <c r="K593" s="1558"/>
      <c r="L593" s="1558"/>
      <c r="M593" s="1538" t="s">
        <v>2887</v>
      </c>
      <c r="N593" s="1538"/>
      <c r="O593" s="1674">
        <f>'Part III-Sources of Funds'!$I$41</f>
        <v>0</v>
      </c>
      <c r="P593" s="1674"/>
      <c r="Q593" s="1674"/>
      <c r="R593" s="1674"/>
      <c r="S593" s="1675" t="s">
        <v>1731</v>
      </c>
      <c r="T593" s="1676">
        <f>'Part IV-Uses of Funds'!T164</f>
        <v>0</v>
      </c>
      <c r="U593" s="1528"/>
      <c r="V593" s="1581">
        <f>'Part IV-Uses of Funds'!V164</f>
        <v>0</v>
      </c>
      <c r="W593" s="1629"/>
      <c r="X593" s="1629"/>
    </row>
    <row r="594" spans="1:24" ht="13.5">
      <c r="A594" s="1528"/>
      <c r="B594" s="1528" t="s">
        <v>1342</v>
      </c>
      <c r="C594" s="1528"/>
      <c r="D594" s="1528"/>
      <c r="E594" s="1528"/>
      <c r="F594" s="1528"/>
      <c r="G594" s="1528"/>
      <c r="H594" s="1528"/>
      <c r="I594" s="1528"/>
      <c r="J594" s="1528" t="str">
        <f>"/ 10"</f>
        <v>/ 10</v>
      </c>
      <c r="K594" s="1528"/>
      <c r="L594" s="1528"/>
      <c r="M594" s="1528"/>
      <c r="N594" s="1674"/>
      <c r="O594" s="1674"/>
      <c r="P594" s="1674"/>
      <c r="Q594" s="1674"/>
      <c r="R594" s="1674"/>
      <c r="S594" s="1528"/>
      <c r="T594" s="1528"/>
      <c r="U594" s="1528"/>
      <c r="V594" s="1528"/>
      <c r="W594" s="1629"/>
      <c r="X594" s="1629"/>
    </row>
    <row r="595" spans="1:24">
      <c r="A595" s="1528"/>
      <c r="B595" s="1528" t="s">
        <v>1343</v>
      </c>
      <c r="C595" s="1528"/>
      <c r="D595" s="1528"/>
      <c r="E595" s="1528"/>
      <c r="F595" s="1528"/>
      <c r="G595" s="1528"/>
      <c r="H595" s="1528"/>
      <c r="I595" s="1528"/>
      <c r="J595" s="1558">
        <f>J593/10</f>
        <v>1407166.15</v>
      </c>
      <c r="K595" s="1558"/>
      <c r="L595" s="1558"/>
      <c r="M595" s="1533"/>
      <c r="N595" s="1528" t="s">
        <v>1344</v>
      </c>
      <c r="O595" s="1528"/>
      <c r="P595" s="1528"/>
      <c r="Q595" s="1528" t="s">
        <v>1875</v>
      </c>
      <c r="R595" s="1528"/>
      <c r="S595" s="1528"/>
      <c r="T595" s="1528"/>
      <c r="U595" s="1528"/>
      <c r="V595" s="1581">
        <f>'Part IV-Uses of Funds'!V166</f>
        <v>0</v>
      </c>
      <c r="W595" s="1629"/>
      <c r="X595" s="1629"/>
    </row>
    <row r="596" spans="1:24">
      <c r="A596" s="1528"/>
      <c r="B596" s="1528" t="s">
        <v>4569</v>
      </c>
      <c r="C596" s="1528"/>
      <c r="D596" s="1528"/>
      <c r="E596" s="1528"/>
      <c r="F596" s="1528"/>
      <c r="G596" s="1528"/>
      <c r="H596" s="1528"/>
      <c r="I596" s="1528"/>
      <c r="J596" s="1677">
        <f>N596+Q596</f>
        <v>1.6</v>
      </c>
      <c r="K596" s="1677"/>
      <c r="L596" s="1677"/>
      <c r="M596" s="1531" t="s">
        <v>1345</v>
      </c>
      <c r="N596" s="1678">
        <f>'Part IV-Uses of Funds'!N167</f>
        <v>1.05</v>
      </c>
      <c r="O596" s="1678"/>
      <c r="P596" s="1531" t="s">
        <v>642</v>
      </c>
      <c r="Q596" s="1678">
        <f>'Part IV-Uses of Funds'!Q167</f>
        <v>0.55000000000000004</v>
      </c>
      <c r="R596" s="1678"/>
      <c r="S596" s="1528"/>
      <c r="T596" s="1528"/>
      <c r="U596" s="1528"/>
      <c r="V596" s="1581">
        <f>'Part IV-Uses of Funds'!V167</f>
        <v>0</v>
      </c>
      <c r="W596" s="1629"/>
      <c r="X596" s="1629"/>
    </row>
    <row r="597" spans="1:24">
      <c r="A597" s="1528"/>
      <c r="B597" s="1511" t="s">
        <v>1487</v>
      </c>
      <c r="C597" s="1528"/>
      <c r="D597" s="1528"/>
      <c r="E597" s="1528"/>
      <c r="F597" s="1528"/>
      <c r="G597" s="1528"/>
      <c r="H597" s="1528"/>
      <c r="I597" s="1528"/>
      <c r="J597" s="1615">
        <f>IF(J596=0,"",J595/J596)</f>
        <v>879478.84374999988</v>
      </c>
      <c r="K597" s="1615"/>
      <c r="L597" s="1615"/>
      <c r="M597" s="1533"/>
      <c r="N597" s="1528"/>
      <c r="O597" s="1528"/>
      <c r="P597" s="1528"/>
      <c r="Q597" s="1528"/>
      <c r="R597" s="1528"/>
      <c r="S597" s="1528"/>
      <c r="T597" s="1528"/>
      <c r="U597" s="1528"/>
      <c r="V597" s="1581">
        <f>'Part IV-Uses of Funds'!V168</f>
        <v>0</v>
      </c>
      <c r="W597" s="1629"/>
      <c r="X597" s="1629"/>
    </row>
    <row r="598" spans="1:24">
      <c r="A598" s="1528"/>
      <c r="B598" s="1528"/>
      <c r="C598" s="1528"/>
      <c r="D598" s="1528"/>
      <c r="E598" s="1528"/>
      <c r="F598" s="1528"/>
      <c r="G598" s="1528"/>
      <c r="H598" s="1528"/>
      <c r="I598" s="1528"/>
      <c r="J598" s="1679"/>
      <c r="K598" s="1679"/>
      <c r="L598" s="1679"/>
      <c r="M598" s="1533"/>
      <c r="N598" s="1531"/>
      <c r="O598" s="1531"/>
      <c r="P598" s="1528"/>
      <c r="Q598" s="1528"/>
      <c r="R598" s="1528"/>
      <c r="S598" s="1528"/>
      <c r="T598" s="1528"/>
      <c r="U598" s="1528"/>
      <c r="V598" s="1528"/>
      <c r="W598" s="1629"/>
      <c r="X598" s="1629"/>
    </row>
    <row r="599" spans="1:24">
      <c r="A599" s="1528"/>
      <c r="B599" s="1511" t="s">
        <v>4570</v>
      </c>
      <c r="C599" s="1528"/>
      <c r="D599" s="1528"/>
      <c r="E599" s="1528"/>
      <c r="F599" s="1528"/>
      <c r="G599" s="1528"/>
      <c r="H599" s="1528"/>
      <c r="I599" s="1528"/>
      <c r="J599" s="1615">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853533.11400499986</v>
      </c>
      <c r="K599" s="1615"/>
      <c r="L599" s="1615"/>
      <c r="M599" s="1533"/>
      <c r="N599" s="1531"/>
      <c r="O599" s="1531"/>
      <c r="P599" s="1528"/>
      <c r="Q599" s="1528"/>
      <c r="R599" s="1528"/>
      <c r="S599" s="1528"/>
      <c r="T599" s="1528"/>
      <c r="U599" s="1528"/>
      <c r="V599" s="1581">
        <f>'Part IV-Uses of Funds'!V170</f>
        <v>0</v>
      </c>
      <c r="W599" s="1629"/>
      <c r="X599" s="1629"/>
    </row>
    <row r="600" spans="1:24">
      <c r="A600" s="1528"/>
      <c r="B600" s="1528"/>
      <c r="C600" s="1528"/>
      <c r="D600" s="1528"/>
      <c r="E600" s="1528"/>
      <c r="F600" s="1528"/>
      <c r="G600" s="1528"/>
      <c r="H600" s="1528"/>
      <c r="I600" s="1528"/>
      <c r="J600" s="1679"/>
      <c r="K600" s="1679"/>
      <c r="L600" s="1679"/>
      <c r="M600" s="1533"/>
      <c r="N600" s="1531"/>
      <c r="O600" s="1531"/>
      <c r="P600" s="1528"/>
      <c r="Q600" s="1528"/>
      <c r="R600" s="1528"/>
      <c r="S600" s="1528"/>
      <c r="T600" s="1528"/>
      <c r="U600" s="1528"/>
      <c r="V600" s="1528"/>
      <c r="W600" s="1629"/>
      <c r="X600" s="1629"/>
    </row>
    <row r="601" spans="1:24">
      <c r="A601" s="1528"/>
      <c r="B601" s="1511" t="s">
        <v>4571</v>
      </c>
      <c r="C601" s="1528"/>
      <c r="D601" s="1528"/>
      <c r="E601" s="1528"/>
      <c r="F601" s="1528"/>
      <c r="G601" s="1528"/>
      <c r="H601" s="1528"/>
      <c r="I601" s="1528"/>
      <c r="J601" s="1615">
        <f>'Part IV-Uses of Funds'!J172</f>
        <v>853533</v>
      </c>
      <c r="K601" s="1615"/>
      <c r="L601" s="1615"/>
      <c r="M601" s="1529" t="str">
        <f>IF(J599=0,"",IF(J601&gt;J599,"ALLOCATION CANNOT EXCEED MAXIMUM - REVISE REQUEST!",""))</f>
        <v/>
      </c>
      <c r="N601" s="1531"/>
      <c r="O601" s="1531"/>
      <c r="P601" s="1528"/>
      <c r="Q601" s="1528"/>
      <c r="R601" s="1528"/>
      <c r="S601" s="1528"/>
      <c r="T601" s="1528"/>
      <c r="U601" s="1528"/>
      <c r="V601" s="1581">
        <f>'Part IV-Uses of Funds'!V172</f>
        <v>0</v>
      </c>
      <c r="W601" s="1629"/>
      <c r="X601" s="1629"/>
    </row>
    <row r="602" spans="1:24">
      <c r="A602" s="1528"/>
      <c r="B602" s="1528"/>
      <c r="C602" s="1528"/>
      <c r="D602" s="1528"/>
      <c r="E602" s="1528"/>
      <c r="F602" s="1528"/>
      <c r="G602" s="1528"/>
      <c r="H602" s="1528"/>
      <c r="I602" s="1528"/>
      <c r="J602" s="1679"/>
      <c r="K602" s="1679"/>
      <c r="L602" s="1679"/>
      <c r="M602" s="1533"/>
      <c r="N602" s="1531"/>
      <c r="O602" s="1531"/>
      <c r="P602" s="1528"/>
      <c r="Q602" s="1528"/>
      <c r="R602" s="1528"/>
      <c r="S602" s="1528"/>
      <c r="T602" s="1528"/>
      <c r="U602" s="1528"/>
      <c r="V602" s="1528"/>
      <c r="W602" s="1629"/>
      <c r="X602" s="1629"/>
    </row>
    <row r="603" spans="1:24" ht="16.5">
      <c r="A603" s="1633" t="s">
        <v>1868</v>
      </c>
      <c r="B603" s="1633" t="s">
        <v>4572</v>
      </c>
      <c r="C603" s="1528"/>
      <c r="D603" s="1533"/>
      <c r="E603" s="1533"/>
      <c r="F603" s="1534"/>
      <c r="G603" s="1528"/>
      <c r="H603" s="1528"/>
      <c r="I603" s="1528"/>
      <c r="J603" s="1615">
        <f>IF(J601="",0,+MIN(J599,J601))</f>
        <v>853533</v>
      </c>
      <c r="K603" s="1615"/>
      <c r="L603" s="1615"/>
      <c r="M603" s="1528"/>
      <c r="N603" s="1553"/>
      <c r="O603" s="1553"/>
      <c r="P603" s="1553"/>
      <c r="Q603" s="1553"/>
      <c r="R603" s="1553"/>
      <c r="S603" s="1553"/>
      <c r="T603" s="1553"/>
      <c r="U603" s="1528"/>
      <c r="V603" s="1581">
        <f>'Part IV-Uses of Funds'!V174</f>
        <v>0</v>
      </c>
      <c r="W603" s="1629"/>
      <c r="X603" s="1629"/>
    </row>
    <row r="604" spans="1:24">
      <c r="A604" s="1533"/>
      <c r="B604" s="1533"/>
      <c r="C604" s="1533"/>
      <c r="D604" s="1533"/>
      <c r="E604" s="1533"/>
      <c r="F604" s="1533"/>
      <c r="G604" s="1533"/>
      <c r="H604" s="1533"/>
      <c r="I604" s="1533"/>
      <c r="J604" s="1533"/>
      <c r="K604" s="1533"/>
      <c r="L604" s="1533"/>
      <c r="M604" s="1533"/>
      <c r="N604" s="1533"/>
      <c r="O604" s="1533"/>
      <c r="P604" s="1533"/>
      <c r="Q604" s="1533"/>
      <c r="R604" s="1533"/>
      <c r="S604" s="1533"/>
      <c r="T604" s="1533"/>
      <c r="U604" s="1533"/>
      <c r="V604" s="1533"/>
      <c r="W604" s="1533"/>
      <c r="X604" s="1533"/>
    </row>
    <row r="605" spans="1:24">
      <c r="A605" s="1533"/>
      <c r="B605" s="1533"/>
      <c r="C605" s="1533"/>
      <c r="D605" s="1533"/>
      <c r="E605" s="1533"/>
      <c r="F605" s="1533"/>
      <c r="G605" s="1533"/>
      <c r="H605" s="1533"/>
      <c r="I605" s="1533"/>
      <c r="J605" s="1533"/>
      <c r="K605" s="1533"/>
      <c r="L605" s="1533"/>
      <c r="M605" s="1533"/>
      <c r="N605" s="1533"/>
      <c r="O605" s="1533"/>
      <c r="P605" s="1533"/>
      <c r="Q605" s="1533"/>
      <c r="R605" s="1533"/>
      <c r="S605" s="1533"/>
      <c r="T605" s="1533"/>
      <c r="U605" s="1533"/>
      <c r="V605" s="1533"/>
      <c r="W605" s="1533"/>
      <c r="X605" s="1533"/>
    </row>
    <row r="606" spans="1:24">
      <c r="A606" s="1511" t="s">
        <v>1870</v>
      </c>
      <c r="B606" s="1570" t="s">
        <v>599</v>
      </c>
      <c r="C606" s="1533"/>
      <c r="D606" s="1533"/>
      <c r="E606" s="1533"/>
      <c r="F606" s="1533"/>
      <c r="G606" s="1533"/>
      <c r="H606" s="1533"/>
      <c r="I606" s="1533"/>
      <c r="J606" s="1533"/>
      <c r="K606" s="1511" t="s">
        <v>555</v>
      </c>
      <c r="L606" s="1511" t="s">
        <v>81</v>
      </c>
      <c r="M606" s="1533"/>
      <c r="N606" s="1533"/>
      <c r="O606" s="1533"/>
      <c r="P606" s="1533"/>
      <c r="Q606" s="1533"/>
      <c r="R606" s="1533"/>
      <c r="S606" s="1533"/>
      <c r="T606" s="1533"/>
      <c r="U606" s="1533"/>
      <c r="V606" s="1533"/>
      <c r="W606" s="1533"/>
      <c r="X606" s="1533"/>
    </row>
    <row r="607" spans="1:24" ht="15.75" customHeight="1">
      <c r="A607" s="1596" t="str">
        <f>'Part IV-Uses of Funds'!A178</f>
        <v>* To all applicants: please provide methodology for determining applicable construction hard costs.</v>
      </c>
      <c r="B607" s="1596"/>
      <c r="C607" s="1596"/>
      <c r="D607" s="1596"/>
      <c r="E607" s="1596"/>
      <c r="F607" s="1596"/>
      <c r="G607" s="1596"/>
      <c r="H607" s="1596"/>
      <c r="I607" s="1596"/>
      <c r="J607" s="1596"/>
      <c r="K607" s="1596">
        <f>'Part IV-Uses of Funds'!K178</f>
        <v>0</v>
      </c>
      <c r="L607" s="1596"/>
      <c r="M607" s="1596"/>
      <c r="N607" s="1596"/>
      <c r="O607" s="1596"/>
      <c r="P607" s="1596"/>
      <c r="Q607" s="1596"/>
      <c r="R607" s="1596"/>
      <c r="S607" s="1596"/>
      <c r="T607" s="1596"/>
      <c r="U607" s="1533"/>
      <c r="V607" s="1533"/>
      <c r="W607" s="1680" t="s">
        <v>2811</v>
      </c>
      <c r="X607" s="1680"/>
    </row>
    <row r="613" spans="1:13">
      <c r="A613" s="521" t="str">
        <f>CONCATENATE("DRAFT PART FIVE - UTILITY ALLOWANCES","  -  ",'Part I-Project Information'!$O$4," ",'Part I-Project Information'!$F$24,", ",'Part I-Project Information'!F640,", ",'Part I-Project Information'!J641," County")</f>
        <v>DRAFT PART FIVE - UTILITY ALLOWANCES  -  2016-508 Gateway Capitol View, ,  County</v>
      </c>
      <c r="B613" s="521"/>
      <c r="C613" s="521"/>
      <c r="D613" s="521"/>
      <c r="E613" s="521"/>
      <c r="F613" s="521"/>
      <c r="G613" s="521"/>
      <c r="H613" s="521"/>
      <c r="I613" s="521"/>
      <c r="J613" s="521"/>
      <c r="K613" s="521"/>
      <c r="L613" s="521"/>
      <c r="M613" s="521"/>
    </row>
    <row r="615" spans="1:13">
      <c r="F615" s="521" t="s">
        <v>540</v>
      </c>
      <c r="I615" s="1681" t="str">
        <f>VLOOKUP('Part I-Project Information'!$J$29,'DCA Underwriting Assumptions'!$G$141:$H$300,2)</f>
        <v>Middle</v>
      </c>
    </row>
    <row r="617" spans="1:13">
      <c r="A617" s="1522" t="s">
        <v>646</v>
      </c>
      <c r="B617" s="1522" t="s">
        <v>2317</v>
      </c>
      <c r="F617" s="1271" t="s">
        <v>2618</v>
      </c>
      <c r="I617" s="1682" t="str">
        <f>'Part V-Utility Allowances'!I5</f>
        <v>Atlanta Housing Authority/Zeffert and Associates</v>
      </c>
      <c r="J617" s="1682"/>
      <c r="K617" s="1682"/>
      <c r="L617" s="1682"/>
      <c r="M617" s="1682"/>
    </row>
    <row r="618" spans="1:13">
      <c r="A618" s="1522"/>
      <c r="F618" s="1271" t="s">
        <v>666</v>
      </c>
      <c r="I618" s="1683">
        <f>'Part V-Utility Allowances'!I6</f>
        <v>42415</v>
      </c>
      <c r="J618" s="1683"/>
      <c r="K618" s="1518" t="s">
        <v>565</v>
      </c>
      <c r="L618" s="1682" t="str">
        <f>'Part V-Utility Allowances'!L6</f>
        <v>3+ Story</v>
      </c>
      <c r="M618" s="1682"/>
    </row>
    <row r="619" spans="1:13">
      <c r="A619" s="1522"/>
    </row>
    <row r="620" spans="1:13">
      <c r="A620" s="1522"/>
      <c r="B620" s="1522"/>
      <c r="C620" s="1522"/>
      <c r="D620" s="1522"/>
      <c r="E620" s="1522"/>
      <c r="F620" s="1684" t="s">
        <v>639</v>
      </c>
      <c r="G620" s="1684"/>
      <c r="H620" s="1522"/>
      <c r="I620" s="1684" t="s">
        <v>207</v>
      </c>
      <c r="J620" s="1684"/>
      <c r="K620" s="1684"/>
      <c r="L620" s="1684"/>
      <c r="M620" s="1684"/>
    </row>
    <row r="621" spans="1:13">
      <c r="A621" s="1522"/>
      <c r="B621" s="1522" t="s">
        <v>837</v>
      </c>
      <c r="C621" s="1522"/>
      <c r="D621" s="1522" t="s">
        <v>1667</v>
      </c>
      <c r="E621" s="1522"/>
      <c r="F621" s="1520" t="s">
        <v>672</v>
      </c>
      <c r="G621" s="1520" t="s">
        <v>1930</v>
      </c>
      <c r="H621" s="1522"/>
      <c r="I621" s="1520" t="s">
        <v>593</v>
      </c>
      <c r="J621" s="1520">
        <v>1</v>
      </c>
      <c r="K621" s="1520">
        <v>2</v>
      </c>
      <c r="L621" s="1520">
        <v>3</v>
      </c>
      <c r="M621" s="1520">
        <v>4</v>
      </c>
    </row>
    <row r="622" spans="1:13">
      <c r="B622" s="1271" t="s">
        <v>1932</v>
      </c>
      <c r="D622" s="1682" t="str">
        <f>'Part V-Utility Allowances'!D10</f>
        <v>Electric</v>
      </c>
      <c r="E622" s="1682"/>
      <c r="F622" s="1685" t="str">
        <f>'Part V-Utility Allowances'!F10</f>
        <v>X</v>
      </c>
      <c r="G622" s="1685">
        <f>'Part V-Utility Allowances'!G10</f>
        <v>0</v>
      </c>
      <c r="I622" s="1518">
        <f>'Part V-Utility Allowances'!I10</f>
        <v>0</v>
      </c>
      <c r="J622" s="1518">
        <f>'Part V-Utility Allowances'!J10</f>
        <v>9</v>
      </c>
      <c r="K622" s="1518">
        <f>'Part V-Utility Allowances'!K10</f>
        <v>11</v>
      </c>
      <c r="L622" s="1518">
        <f>'Part V-Utility Allowances'!L10</f>
        <v>0</v>
      </c>
      <c r="M622" s="1518">
        <f>'Part V-Utility Allowances'!M10</f>
        <v>0</v>
      </c>
    </row>
    <row r="623" spans="1:13">
      <c r="B623" s="1271" t="s">
        <v>487</v>
      </c>
      <c r="D623" s="1271" t="s">
        <v>1663</v>
      </c>
      <c r="F623" s="1685" t="str">
        <f>'Part V-Utility Allowances'!F11</f>
        <v>X</v>
      </c>
      <c r="G623" s="1685">
        <f>'Part V-Utility Allowances'!G11</f>
        <v>0</v>
      </c>
      <c r="I623" s="1518">
        <f>'Part V-Utility Allowances'!I11</f>
        <v>0</v>
      </c>
      <c r="J623" s="1518">
        <f>'Part V-Utility Allowances'!J11</f>
        <v>7</v>
      </c>
      <c r="K623" s="1518">
        <f>'Part V-Utility Allowances'!K11</f>
        <v>11</v>
      </c>
      <c r="L623" s="1518">
        <f>'Part V-Utility Allowances'!L11</f>
        <v>0</v>
      </c>
      <c r="M623" s="1518">
        <f>'Part V-Utility Allowances'!M11</f>
        <v>0</v>
      </c>
    </row>
    <row r="624" spans="1:13">
      <c r="B624" s="1271" t="s">
        <v>1664</v>
      </c>
      <c r="D624" s="1682" t="str">
        <f>'Part V-Utility Allowances'!D12</f>
        <v>Electric</v>
      </c>
      <c r="E624" s="1682"/>
      <c r="F624" s="1685" t="str">
        <f>'Part V-Utility Allowances'!F12</f>
        <v>X</v>
      </c>
      <c r="G624" s="1685">
        <f>'Part V-Utility Allowances'!G12</f>
        <v>0</v>
      </c>
      <c r="I624" s="1518">
        <f>'Part V-Utility Allowances'!I12</f>
        <v>0</v>
      </c>
      <c r="J624" s="1518">
        <f>'Part V-Utility Allowances'!J12</f>
        <v>4</v>
      </c>
      <c r="K624" s="1518">
        <f>'Part V-Utility Allowances'!K12</f>
        <v>6</v>
      </c>
      <c r="L624" s="1518">
        <f>'Part V-Utility Allowances'!L12</f>
        <v>0</v>
      </c>
      <c r="M624" s="1518">
        <f>'Part V-Utility Allowances'!M12</f>
        <v>0</v>
      </c>
    </row>
    <row r="625" spans="1:13">
      <c r="B625" s="1271" t="s">
        <v>1665</v>
      </c>
      <c r="D625" s="1682" t="str">
        <f>'Part V-Utility Allowances'!D13</f>
        <v>Electric</v>
      </c>
      <c r="E625" s="1682"/>
      <c r="F625" s="1685" t="str">
        <f>'Part V-Utility Allowances'!F13</f>
        <v>X</v>
      </c>
      <c r="G625" s="1685">
        <f>'Part V-Utility Allowances'!G13</f>
        <v>0</v>
      </c>
      <c r="I625" s="1518">
        <f>'Part V-Utility Allowances'!I13</f>
        <v>0</v>
      </c>
      <c r="J625" s="1518">
        <f>'Part V-Utility Allowances'!J13</f>
        <v>10</v>
      </c>
      <c r="K625" s="1518">
        <f>'Part V-Utility Allowances'!K13</f>
        <v>13</v>
      </c>
      <c r="L625" s="1518">
        <f>'Part V-Utility Allowances'!L13</f>
        <v>0</v>
      </c>
      <c r="M625" s="1518">
        <f>'Part V-Utility Allowances'!M13</f>
        <v>0</v>
      </c>
    </row>
    <row r="626" spans="1:13">
      <c r="B626" s="1271" t="s">
        <v>1666</v>
      </c>
      <c r="D626" s="1271" t="s">
        <v>1663</v>
      </c>
      <c r="F626" s="1685" t="str">
        <f>'Part V-Utility Allowances'!F14</f>
        <v>X</v>
      </c>
      <c r="G626" s="1685">
        <f>'Part V-Utility Allowances'!G14</f>
        <v>0</v>
      </c>
      <c r="I626" s="1518">
        <f>'Part V-Utility Allowances'!I14</f>
        <v>0</v>
      </c>
      <c r="J626" s="1518">
        <f>'Part V-Utility Allowances'!J14</f>
        <v>26</v>
      </c>
      <c r="K626" s="1518">
        <f>'Part V-Utility Allowances'!K14</f>
        <v>33</v>
      </c>
      <c r="L626" s="1518">
        <f>'Part V-Utility Allowances'!L14</f>
        <v>0</v>
      </c>
      <c r="M626" s="1518">
        <f>'Part V-Utility Allowances'!M14</f>
        <v>0</v>
      </c>
    </row>
    <row r="627" spans="1:13">
      <c r="B627" s="1271" t="s">
        <v>1427</v>
      </c>
      <c r="D627" s="1271" t="s">
        <v>4573</v>
      </c>
      <c r="E627" s="1518" t="str">
        <f>'Part V-Utility Allowances'!E15</f>
        <v>Yes</v>
      </c>
      <c r="F627" s="1685">
        <f>'Part V-Utility Allowances'!F15</f>
        <v>0</v>
      </c>
      <c r="G627" s="1685" t="str">
        <f>'Part V-Utility Allowances'!G15</f>
        <v>X</v>
      </c>
      <c r="I627" s="1518">
        <f>'Part V-Utility Allowances'!I15</f>
        <v>0</v>
      </c>
      <c r="J627" s="1518">
        <f>'Part V-Utility Allowances'!J15</f>
        <v>0</v>
      </c>
      <c r="K627" s="1518">
        <f>'Part V-Utility Allowances'!K15</f>
        <v>0</v>
      </c>
      <c r="L627" s="1518">
        <f>'Part V-Utility Allowances'!L15</f>
        <v>0</v>
      </c>
      <c r="M627" s="1518">
        <f>'Part V-Utility Allowances'!M15</f>
        <v>0</v>
      </c>
    </row>
    <row r="628" spans="1:13">
      <c r="B628" s="1271" t="s">
        <v>1931</v>
      </c>
      <c r="F628" s="1685">
        <f>'Part V-Utility Allowances'!F16</f>
        <v>0</v>
      </c>
      <c r="G628" s="1685" t="str">
        <f>'Part V-Utility Allowances'!G16</f>
        <v>X</v>
      </c>
      <c r="I628" s="1518">
        <f>'Part V-Utility Allowances'!I16</f>
        <v>0</v>
      </c>
      <c r="J628" s="1518">
        <f>'Part V-Utility Allowances'!J16</f>
        <v>0</v>
      </c>
      <c r="K628" s="1518">
        <f>'Part V-Utility Allowances'!K16</f>
        <v>0</v>
      </c>
      <c r="L628" s="1518">
        <f>'Part V-Utility Allowances'!L16</f>
        <v>0</v>
      </c>
      <c r="M628" s="1518">
        <f>'Part V-Utility Allowances'!M16</f>
        <v>0</v>
      </c>
    </row>
    <row r="629" spans="1:13">
      <c r="B629" s="1522" t="s">
        <v>1064</v>
      </c>
      <c r="F629" s="1518"/>
      <c r="G629" s="1518"/>
      <c r="I629" s="1520">
        <f>IF(SUM(I622:I628)=0,0,IF(OR($D622="&lt;&lt;Select Fuel &gt;&gt;",$D624="&lt;&lt;Select Fuel &gt;&gt;",$D625="&lt;&lt;Select Fuel &gt;&gt;"),"Select Fuel",IF($E627="&lt;Select&gt;","Submeter?",SUM(I622:I628))))</f>
        <v>0</v>
      </c>
      <c r="J629" s="1520">
        <f>IF(SUM(J622:J628)=0,0,IF(OR($D622="&lt;&lt;Select Fuel &gt;&gt;",$D624="&lt;&lt;Select Fuel &gt;&gt;",$D625="&lt;&lt;Select Fuel &gt;&gt;"),"Select Fuel",IF($E627="&lt;Select&gt;","Submeter?",SUM(J622:J628))))</f>
        <v>56</v>
      </c>
      <c r="K629" s="1520">
        <f>IF(SUM(K622:K628)=0,0,IF(OR($D622="&lt;&lt;Select Fuel &gt;&gt;",$D624="&lt;&lt;Select Fuel &gt;&gt;",$D625="&lt;&lt;Select Fuel &gt;&gt;"),"Select Fuel",IF($E627="&lt;Select&gt;","Submeter?",SUM(K622:K628))))</f>
        <v>74</v>
      </c>
      <c r="L629" s="1520">
        <f>IF(SUM(L622:L628)=0,0,IF(OR($D622="&lt;&lt;Select Fuel &gt;&gt;",$D624="&lt;&lt;Select Fuel &gt;&gt;",$D625="&lt;&lt;Select Fuel &gt;&gt;"),"Select Fuel",IF($E627="&lt;Select&gt;","Submeter?",SUM(L622:L628))))</f>
        <v>0</v>
      </c>
      <c r="M629" s="1520">
        <f>IF(SUM(M622:M628)=0,0,IF(OR($D622="&lt;&lt;Select Fuel &gt;&gt;",$D624="&lt;&lt;Select Fuel &gt;&gt;",$D625="&lt;&lt;Select Fuel &gt;&gt;"),"Select Fuel",IF($E627="&lt;Select&gt;","Submeter?",SUM(M622:M628))))</f>
        <v>0</v>
      </c>
    </row>
    <row r="630" spans="1:13">
      <c r="B630" s="502" t="s">
        <v>4574</v>
      </c>
      <c r="F630" s="1518"/>
      <c r="G630" s="1518"/>
      <c r="I630" s="1520"/>
      <c r="J630" s="1520"/>
      <c r="K630" s="1520"/>
      <c r="L630" s="1520"/>
      <c r="M630" s="1520"/>
    </row>
    <row r="632" spans="1:13">
      <c r="A632" s="1522" t="s">
        <v>777</v>
      </c>
      <c r="B632" s="1522" t="s">
        <v>2318</v>
      </c>
      <c r="F632" s="1271" t="s">
        <v>2618</v>
      </c>
      <c r="I632" s="1682">
        <f>'Part V-Utility Allowances'!I20</f>
        <v>0</v>
      </c>
      <c r="J632" s="1682"/>
      <c r="K632" s="1682"/>
      <c r="L632" s="1682"/>
      <c r="M632" s="1682"/>
    </row>
    <row r="633" spans="1:13">
      <c r="A633" s="1522"/>
      <c r="B633" s="1522"/>
      <c r="F633" s="1271" t="s">
        <v>666</v>
      </c>
      <c r="I633" s="1683">
        <f>'Part V-Utility Allowances'!I21</f>
        <v>0</v>
      </c>
      <c r="J633" s="1683"/>
      <c r="K633" s="1518" t="s">
        <v>565</v>
      </c>
      <c r="L633" s="1682">
        <f>'Part V-Utility Allowances'!L21</f>
        <v>0</v>
      </c>
      <c r="M633" s="1682"/>
    </row>
    <row r="634" spans="1:13">
      <c r="A634" s="1522"/>
    </row>
    <row r="635" spans="1:13">
      <c r="A635" s="1522"/>
      <c r="B635" s="1522"/>
      <c r="C635" s="1522"/>
      <c r="D635" s="1522"/>
      <c r="E635" s="1522"/>
      <c r="F635" s="1684" t="s">
        <v>639</v>
      </c>
      <c r="G635" s="1684"/>
      <c r="H635" s="1522"/>
      <c r="I635" s="1684" t="s">
        <v>207</v>
      </c>
      <c r="J635" s="1684"/>
      <c r="K635" s="1684"/>
      <c r="L635" s="1684"/>
      <c r="M635" s="1684"/>
    </row>
    <row r="636" spans="1:13">
      <c r="A636" s="1522"/>
      <c r="B636" s="1522" t="s">
        <v>837</v>
      </c>
      <c r="C636" s="1522"/>
      <c r="D636" s="1522" t="s">
        <v>1667</v>
      </c>
      <c r="E636" s="1522"/>
      <c r="F636" s="1520" t="s">
        <v>672</v>
      </c>
      <c r="G636" s="1520" t="s">
        <v>1930</v>
      </c>
      <c r="H636" s="1522"/>
      <c r="I636" s="1520" t="s">
        <v>593</v>
      </c>
      <c r="J636" s="1520">
        <v>1</v>
      </c>
      <c r="K636" s="1520">
        <v>2</v>
      </c>
      <c r="L636" s="1520">
        <v>3</v>
      </c>
      <c r="M636" s="1520">
        <v>4</v>
      </c>
    </row>
    <row r="637" spans="1:13">
      <c r="B637" s="1271" t="s">
        <v>1932</v>
      </c>
      <c r="D637" s="1682" t="str">
        <f>'Part V-Utility Allowances'!D25</f>
        <v>Electric</v>
      </c>
      <c r="E637" s="1682"/>
      <c r="F637" s="1685">
        <f>'Part V-Utility Allowances'!F25</f>
        <v>0</v>
      </c>
      <c r="G637" s="1685">
        <f>'Part V-Utility Allowances'!G25</f>
        <v>0</v>
      </c>
      <c r="I637" s="1518">
        <f>'Part V-Utility Allowances'!I25</f>
        <v>0</v>
      </c>
      <c r="J637" s="1518">
        <f>'Part V-Utility Allowances'!J25</f>
        <v>0</v>
      </c>
      <c r="K637" s="1518">
        <f>'Part V-Utility Allowances'!K25</f>
        <v>0</v>
      </c>
      <c r="L637" s="1518">
        <f>'Part V-Utility Allowances'!L25</f>
        <v>0</v>
      </c>
      <c r="M637" s="1518">
        <f>'Part V-Utility Allowances'!M25</f>
        <v>0</v>
      </c>
    </row>
    <row r="638" spans="1:13">
      <c r="B638" s="1271" t="s">
        <v>487</v>
      </c>
      <c r="D638" s="1271" t="s">
        <v>1663</v>
      </c>
      <c r="F638" s="1685">
        <f>'Part V-Utility Allowances'!F26</f>
        <v>0</v>
      </c>
      <c r="G638" s="1685">
        <f>'Part V-Utility Allowances'!G26</f>
        <v>0</v>
      </c>
      <c r="I638" s="1518">
        <f>'Part V-Utility Allowances'!I26</f>
        <v>0</v>
      </c>
      <c r="J638" s="1518">
        <f>'Part V-Utility Allowances'!J26</f>
        <v>0</v>
      </c>
      <c r="K638" s="1518">
        <f>'Part V-Utility Allowances'!K26</f>
        <v>0</v>
      </c>
      <c r="L638" s="1518">
        <f>'Part V-Utility Allowances'!L26</f>
        <v>0</v>
      </c>
      <c r="M638" s="1518">
        <f>'Part V-Utility Allowances'!M26</f>
        <v>0</v>
      </c>
    </row>
    <row r="639" spans="1:13">
      <c r="B639" s="1271" t="s">
        <v>1664</v>
      </c>
      <c r="D639" s="1682" t="str">
        <f>'Part V-Utility Allowances'!D27</f>
        <v>Electric</v>
      </c>
      <c r="E639" s="1682"/>
      <c r="F639" s="1685">
        <f>'Part V-Utility Allowances'!F27</f>
        <v>0</v>
      </c>
      <c r="G639" s="1685">
        <f>'Part V-Utility Allowances'!G27</f>
        <v>0</v>
      </c>
      <c r="I639" s="1518">
        <f>'Part V-Utility Allowances'!I27</f>
        <v>0</v>
      </c>
      <c r="J639" s="1518">
        <f>'Part V-Utility Allowances'!J27</f>
        <v>0</v>
      </c>
      <c r="K639" s="1518">
        <f>'Part V-Utility Allowances'!K27</f>
        <v>0</v>
      </c>
      <c r="L639" s="1518">
        <f>'Part V-Utility Allowances'!L27</f>
        <v>0</v>
      </c>
      <c r="M639" s="1518">
        <f>'Part V-Utility Allowances'!M27</f>
        <v>0</v>
      </c>
    </row>
    <row r="640" spans="1:13">
      <c r="B640" s="1271" t="s">
        <v>1665</v>
      </c>
      <c r="D640" s="1682" t="str">
        <f>'Part V-Utility Allowances'!D28</f>
        <v>Electric</v>
      </c>
      <c r="E640" s="1682"/>
      <c r="F640" s="1685">
        <f>'Part V-Utility Allowances'!F28</f>
        <v>0</v>
      </c>
      <c r="G640" s="1685">
        <f>'Part V-Utility Allowances'!G28</f>
        <v>0</v>
      </c>
      <c r="I640" s="1518">
        <f>'Part V-Utility Allowances'!I28</f>
        <v>0</v>
      </c>
      <c r="J640" s="1518">
        <f>'Part V-Utility Allowances'!J28</f>
        <v>0</v>
      </c>
      <c r="K640" s="1518">
        <f>'Part V-Utility Allowances'!K28</f>
        <v>0</v>
      </c>
      <c r="L640" s="1518">
        <f>'Part V-Utility Allowances'!L28</f>
        <v>0</v>
      </c>
      <c r="M640" s="1518">
        <f>'Part V-Utility Allowances'!M28</f>
        <v>0</v>
      </c>
    </row>
    <row r="641" spans="1:13">
      <c r="B641" s="1271" t="s">
        <v>1666</v>
      </c>
      <c r="D641" s="1271" t="s">
        <v>1663</v>
      </c>
      <c r="F641" s="1685">
        <f>'Part V-Utility Allowances'!F29</f>
        <v>0</v>
      </c>
      <c r="G641" s="1685">
        <f>'Part V-Utility Allowances'!G29</f>
        <v>0</v>
      </c>
      <c r="I641" s="1518">
        <f>'Part V-Utility Allowances'!I29</f>
        <v>0</v>
      </c>
      <c r="J641" s="1518">
        <f>'Part V-Utility Allowances'!J29</f>
        <v>0</v>
      </c>
      <c r="K641" s="1518">
        <f>'Part V-Utility Allowances'!K29</f>
        <v>0</v>
      </c>
      <c r="L641" s="1518">
        <f>'Part V-Utility Allowances'!L29</f>
        <v>0</v>
      </c>
      <c r="M641" s="1518">
        <f>'Part V-Utility Allowances'!M29</f>
        <v>0</v>
      </c>
    </row>
    <row r="642" spans="1:13">
      <c r="B642" s="1271" t="s">
        <v>1427</v>
      </c>
      <c r="D642" s="1271" t="s">
        <v>4573</v>
      </c>
      <c r="E642" s="1518">
        <f>'Part V-Utility Allowances'!E30</f>
        <v>0</v>
      </c>
      <c r="F642" s="1685">
        <f>'Part V-Utility Allowances'!F30</f>
        <v>0</v>
      </c>
      <c r="G642" s="1685">
        <f>'Part V-Utility Allowances'!G30</f>
        <v>0</v>
      </c>
      <c r="I642" s="1518">
        <f>'Part V-Utility Allowances'!I30</f>
        <v>0</v>
      </c>
      <c r="J642" s="1518">
        <f>'Part V-Utility Allowances'!J30</f>
        <v>0</v>
      </c>
      <c r="K642" s="1518">
        <f>'Part V-Utility Allowances'!K30</f>
        <v>0</v>
      </c>
      <c r="L642" s="1518">
        <f>'Part V-Utility Allowances'!L30</f>
        <v>0</v>
      </c>
      <c r="M642" s="1518">
        <f>'Part V-Utility Allowances'!M30</f>
        <v>0</v>
      </c>
    </row>
    <row r="643" spans="1:13">
      <c r="B643" s="1271" t="s">
        <v>1931</v>
      </c>
      <c r="F643" s="1685">
        <f>'Part V-Utility Allowances'!F31</f>
        <v>0</v>
      </c>
      <c r="G643" s="1685">
        <f>'Part V-Utility Allowances'!G31</f>
        <v>0</v>
      </c>
      <c r="I643" s="1518">
        <f>'Part V-Utility Allowances'!I31</f>
        <v>0</v>
      </c>
      <c r="J643" s="1518">
        <f>'Part V-Utility Allowances'!J31</f>
        <v>0</v>
      </c>
      <c r="K643" s="1518">
        <f>'Part V-Utility Allowances'!K31</f>
        <v>0</v>
      </c>
      <c r="L643" s="1518">
        <f>'Part V-Utility Allowances'!L31</f>
        <v>0</v>
      </c>
      <c r="M643" s="1518">
        <f>'Part V-Utility Allowances'!M31</f>
        <v>0</v>
      </c>
    </row>
    <row r="644" spans="1:13">
      <c r="B644" s="1522" t="s">
        <v>1064</v>
      </c>
      <c r="F644" s="1518"/>
      <c r="G644" s="1518"/>
      <c r="I644" s="1520">
        <f>IF(SUM(I637:I643)=0,0,IF(OR($D637="&lt;&lt;Select Fuel &gt;&gt;",$D639="&lt;&lt;Select Fuel &gt;&gt;",$D640="&lt;&lt;Select Fuel &gt;&gt;"),"Select Fuel",IF($E642="&lt;Select&gt;","Submeter?",SUM(I637:I643))))</f>
        <v>0</v>
      </c>
      <c r="J644" s="1520">
        <f>IF(SUM(J637:J643)=0,0,IF(OR($D637="&lt;&lt;Select Fuel &gt;&gt;",$D639="&lt;&lt;Select Fuel &gt;&gt;",$D640="&lt;&lt;Select Fuel &gt;&gt;"),"Select Fuel",IF($E642="&lt;Select&gt;","Submeter?",SUM(J637:J643))))</f>
        <v>0</v>
      </c>
      <c r="K644" s="1520">
        <f>IF(SUM(K637:K643)=0,0,IF(OR($D637="&lt;&lt;Select Fuel &gt;&gt;",$D639="&lt;&lt;Select Fuel &gt;&gt;",$D640="&lt;&lt;Select Fuel &gt;&gt;"),"Select Fuel",IF($E642="&lt;Select&gt;","Submeter?",SUM(K637:K643))))</f>
        <v>0</v>
      </c>
      <c r="L644" s="1520">
        <f>IF(SUM(L637:L643)=0,0,IF(OR($D637="&lt;&lt;Select Fuel &gt;&gt;",$D639="&lt;&lt;Select Fuel &gt;&gt;",$D640="&lt;&lt;Select Fuel &gt;&gt;"),"Select Fuel",IF($E642="&lt;Select&gt;","Submeter?",SUM(L637:L643))))</f>
        <v>0</v>
      </c>
      <c r="M644" s="1520">
        <f>IF(SUM(M637:M643)=0,0,IF(OR($D637="&lt;&lt;Select Fuel &gt;&gt;",$D639="&lt;&lt;Select Fuel &gt;&gt;",$D640="&lt;&lt;Select Fuel &gt;&gt;"),"Select Fuel",IF($E642="&lt;Select&gt;","Submeter?",SUM(M637:M643))))</f>
        <v>0</v>
      </c>
    </row>
    <row r="645" spans="1:13">
      <c r="B645" s="502" t="s">
        <v>4574</v>
      </c>
      <c r="F645" s="1518"/>
      <c r="G645" s="1518"/>
      <c r="I645" s="1520"/>
      <c r="J645" s="1520"/>
      <c r="K645" s="1520"/>
      <c r="L645" s="1520"/>
      <c r="M645" s="1520"/>
    </row>
    <row r="647" spans="1:13">
      <c r="B647" s="1686" t="s">
        <v>1883</v>
      </c>
    </row>
    <row r="649" spans="1:13">
      <c r="A649" s="1522"/>
      <c r="B649" s="1522" t="s">
        <v>599</v>
      </c>
    </row>
    <row r="650" spans="1:13" ht="288">
      <c r="B650" s="1634" t="str">
        <f>'Part V-Utility Allowances'!B38</f>
        <v>The private utility allowance is a part of the Atlanta Housing Authority PBRA approval process. All tenants will be billed for their water and sewer usage. The owner will be repsonsible for paying the water and sewer bill.</v>
      </c>
      <c r="C650" s="1634"/>
      <c r="D650" s="1634"/>
      <c r="E650" s="1634"/>
      <c r="F650" s="1634"/>
      <c r="G650" s="1634"/>
      <c r="H650" s="1634"/>
      <c r="I650" s="1634"/>
      <c r="J650" s="1634"/>
      <c r="K650" s="1634"/>
      <c r="L650" s="1634"/>
      <c r="M650" s="1634"/>
    </row>
    <row r="652" spans="1:13">
      <c r="A652" s="1522"/>
      <c r="B652" s="1522" t="s">
        <v>1925</v>
      </c>
    </row>
    <row r="653" spans="1:13">
      <c r="B653" s="1634">
        <f>'Part V-Utility Allowances'!B41</f>
        <v>0</v>
      </c>
      <c r="C653" s="1634"/>
      <c r="D653" s="1634"/>
      <c r="E653" s="1634"/>
      <c r="F653" s="1634"/>
      <c r="G653" s="1634"/>
      <c r="H653" s="1634"/>
      <c r="I653" s="1634"/>
      <c r="J653" s="1634"/>
      <c r="K653" s="1634"/>
      <c r="L653" s="1634"/>
      <c r="M653" s="1634"/>
    </row>
    <row r="662" spans="1:277" s="518" customFormat="1" ht="13.9" customHeight="1">
      <c r="A662" s="521" t="str">
        <f>CONCATENATE("DRAFT PART SIX - PROJECTED REVENUES &amp; EXPENSES","  -  ",'Part I-Project Information'!$O$4," ",'Part I-Project Information'!$F$24,", ",'Part I-Project Information'!F689,", ",'Part I-Project Information'!J690," County")</f>
        <v>DRAFT PART SIX - PROJECTED REVENUES &amp; EXPENSES  -  2016-508 Gateway Capitol View, ,  County</v>
      </c>
      <c r="B662" s="521"/>
      <c r="C662" s="521"/>
      <c r="D662" s="521"/>
      <c r="E662" s="521"/>
      <c r="F662" s="521"/>
      <c r="G662" s="521"/>
      <c r="H662" s="521"/>
      <c r="I662" s="521"/>
      <c r="J662" s="521"/>
      <c r="K662" s="521"/>
      <c r="L662" s="521"/>
      <c r="M662" s="521"/>
      <c r="N662" s="521"/>
      <c r="O662" s="521"/>
      <c r="P662" s="521"/>
      <c r="Q662" s="1687"/>
      <c r="U662" s="521" t="str">
        <f>A662</f>
        <v>DRAFT PART SIX - PROJECTED REVENUES &amp; EXPENSES  -  2016-508 Gateway Capitol View, ,  County</v>
      </c>
      <c r="V662" s="521"/>
      <c r="EU662" s="1512"/>
      <c r="EV662" s="1512"/>
      <c r="EW662" s="1512"/>
      <c r="EX662" s="1512"/>
      <c r="EY662" s="1512"/>
      <c r="EZ662" s="1512"/>
      <c r="FA662" s="1512"/>
      <c r="FB662" s="1512"/>
      <c r="FC662" s="1512"/>
      <c r="FD662" s="1512"/>
      <c r="FE662" s="1512"/>
      <c r="FF662" s="1512"/>
      <c r="FG662" s="1512"/>
      <c r="FH662" s="1512"/>
      <c r="FI662" s="1512"/>
      <c r="FJ662" s="1512"/>
      <c r="FK662" s="1512"/>
      <c r="FL662" s="1512"/>
      <c r="FM662" s="1512"/>
      <c r="FN662" s="1512"/>
      <c r="FO662" s="1512"/>
      <c r="FP662" s="1512"/>
      <c r="FQ662" s="1512"/>
      <c r="FR662" s="1512"/>
      <c r="FS662" s="1512"/>
      <c r="FT662" s="1512"/>
      <c r="FU662" s="1512"/>
      <c r="FV662" s="1512"/>
      <c r="FW662" s="1512"/>
      <c r="FX662" s="1512"/>
      <c r="FY662" s="1512"/>
      <c r="FZ662" s="1512"/>
      <c r="GA662" s="1512"/>
      <c r="GB662" s="1512"/>
      <c r="GC662" s="1512"/>
      <c r="GD662" s="1512"/>
      <c r="GE662" s="1512"/>
      <c r="GF662" s="1512"/>
      <c r="GG662" s="1512"/>
      <c r="GH662" s="1512"/>
      <c r="GI662" s="1512"/>
      <c r="GJ662" s="1512"/>
      <c r="GK662" s="1512"/>
      <c r="GL662" s="1512"/>
      <c r="GM662" s="1512"/>
      <c r="GN662" s="1512"/>
      <c r="GO662" s="1512"/>
      <c r="GP662" s="1512"/>
      <c r="GQ662" s="1512"/>
      <c r="GR662" s="1512"/>
      <c r="GS662" s="1512"/>
      <c r="GT662" s="1512"/>
      <c r="GU662" s="1512"/>
      <c r="GV662" s="1512"/>
      <c r="GW662" s="1512"/>
      <c r="GX662" s="1512"/>
      <c r="GY662" s="1512"/>
      <c r="GZ662" s="1512"/>
      <c r="HA662" s="1512"/>
      <c r="HB662" s="1512"/>
      <c r="HC662" s="1512"/>
      <c r="HD662" s="1512"/>
      <c r="HE662" s="1512"/>
      <c r="HF662" s="1512"/>
      <c r="HG662" s="1512"/>
      <c r="HH662" s="1512"/>
      <c r="HI662" s="1512"/>
      <c r="HJ662" s="1512"/>
      <c r="HK662" s="1512"/>
      <c r="HL662" s="1512"/>
      <c r="HO662" s="1512"/>
      <c r="HP662" s="1512"/>
      <c r="HQ662" s="1512"/>
      <c r="HV662" s="521"/>
      <c r="IA662" s="521"/>
    </row>
    <row r="663" spans="1:277" ht="6" customHeight="1">
      <c r="W663" s="1514"/>
      <c r="X663" s="1514"/>
      <c r="Y663" s="1514"/>
      <c r="Z663" s="1514"/>
      <c r="AA663" s="1514"/>
      <c r="AB663" s="1514"/>
      <c r="AC663" s="1514"/>
      <c r="AD663" s="1514"/>
      <c r="AE663" s="1514"/>
      <c r="AF663" s="1514"/>
      <c r="AG663" s="1514"/>
      <c r="AH663" s="1514"/>
      <c r="AI663" s="1514"/>
      <c r="AJ663" s="1514"/>
      <c r="AK663" s="1514"/>
      <c r="AL663" s="1514"/>
      <c r="AM663" s="1514"/>
      <c r="AN663" s="1514"/>
      <c r="AO663" s="1514"/>
      <c r="AP663" s="1514"/>
      <c r="AQ663" s="1514"/>
      <c r="AR663" s="1514"/>
      <c r="AS663" s="1514"/>
      <c r="AT663" s="1514"/>
      <c r="AU663" s="1514"/>
      <c r="AV663" s="1514"/>
      <c r="AW663" s="1514"/>
      <c r="AX663" s="1514"/>
      <c r="AY663" s="1514"/>
      <c r="AZ663" s="1514"/>
      <c r="BA663" s="1514"/>
      <c r="BB663" s="1514"/>
      <c r="BC663" s="1514"/>
      <c r="BD663" s="1514"/>
      <c r="BE663" s="1514"/>
      <c r="BF663" s="1514"/>
      <c r="BG663" s="1514"/>
      <c r="BH663" s="1514"/>
      <c r="BI663" s="1514"/>
      <c r="BJ663" s="1514"/>
      <c r="BK663" s="1514"/>
      <c r="BL663" s="1514"/>
      <c r="BM663" s="1514"/>
      <c r="BN663" s="1514"/>
      <c r="BO663" s="1514"/>
      <c r="BP663" s="1514"/>
      <c r="BQ663" s="1514"/>
      <c r="BR663" s="1514"/>
      <c r="BS663" s="1514"/>
      <c r="BT663" s="1514"/>
      <c r="BU663" s="1514"/>
      <c r="BV663" s="1514"/>
      <c r="BW663" s="1514"/>
      <c r="BX663" s="1514"/>
      <c r="BY663" s="1514"/>
      <c r="BZ663" s="1514"/>
      <c r="CA663" s="1514"/>
      <c r="CB663" s="1514"/>
      <c r="CC663" s="1514"/>
      <c r="CD663" s="1514"/>
      <c r="CE663" s="1514"/>
      <c r="CF663" s="1514"/>
      <c r="CG663" s="1514"/>
      <c r="CH663" s="1514"/>
      <c r="CI663" s="1514"/>
      <c r="CJ663" s="1514"/>
      <c r="CK663" s="1514"/>
      <c r="CL663" s="1514"/>
      <c r="CM663" s="1514"/>
      <c r="CN663" s="1514"/>
      <c r="CO663" s="1514"/>
      <c r="CP663" s="1514"/>
      <c r="CQ663" s="1514"/>
      <c r="CR663" s="1514"/>
      <c r="CS663" s="1514"/>
      <c r="CT663" s="1514"/>
      <c r="CU663" s="1514"/>
      <c r="CV663" s="1514"/>
      <c r="CW663" s="1514"/>
      <c r="CX663" s="1514"/>
      <c r="CY663" s="1514"/>
      <c r="CZ663" s="1514"/>
      <c r="DA663" s="1514"/>
      <c r="DB663" s="1514"/>
      <c r="DC663" s="1514"/>
      <c r="DD663" s="1514"/>
      <c r="DE663" s="1514"/>
      <c r="DF663" s="1514"/>
      <c r="DG663" s="1514"/>
      <c r="DH663" s="1514"/>
      <c r="DI663" s="1514"/>
      <c r="DJ663" s="1514"/>
      <c r="DK663" s="1514"/>
      <c r="DL663" s="1514"/>
      <c r="DM663" s="1514"/>
      <c r="DN663" s="1514"/>
      <c r="DO663" s="1514"/>
      <c r="DP663" s="1514"/>
      <c r="DQ663" s="1514"/>
      <c r="DR663" s="1514"/>
      <c r="DS663" s="1514"/>
      <c r="DT663" s="1514"/>
      <c r="DU663" s="1514"/>
      <c r="DV663" s="1514"/>
      <c r="DW663" s="1514"/>
      <c r="DX663" s="1514"/>
      <c r="DY663" s="1514"/>
      <c r="DZ663" s="1514"/>
      <c r="EA663" s="1514"/>
      <c r="EB663" s="1514"/>
      <c r="EC663" s="1514"/>
      <c r="ED663" s="1514"/>
      <c r="EE663" s="1514"/>
      <c r="EF663" s="1514"/>
      <c r="EG663" s="1514"/>
      <c r="EH663" s="1514"/>
      <c r="EI663" s="1514"/>
      <c r="EJ663" s="1514"/>
      <c r="EK663" s="1514"/>
      <c r="EL663" s="1514"/>
      <c r="EM663" s="1514"/>
      <c r="EN663" s="1514"/>
      <c r="EO663" s="1514"/>
      <c r="EP663" s="1514"/>
      <c r="EQ663" s="1514"/>
      <c r="ER663" s="1514"/>
      <c r="ES663" s="1514"/>
      <c r="ET663" s="1514"/>
      <c r="EU663" s="1514"/>
      <c r="EV663" s="1514"/>
      <c r="EW663" s="1513"/>
      <c r="EX663" s="1513"/>
      <c r="EY663" s="1513"/>
      <c r="EZ663" s="1513"/>
      <c r="FA663" s="1513"/>
      <c r="FB663" s="1513"/>
      <c r="FC663" s="1513"/>
      <c r="FD663" s="1513"/>
      <c r="FE663" s="1513"/>
      <c r="FF663" s="1513"/>
      <c r="FG663" s="1513"/>
      <c r="FH663" s="1513"/>
      <c r="FI663" s="1513"/>
      <c r="FJ663" s="1513"/>
      <c r="FK663" s="1513"/>
      <c r="FL663" s="1513"/>
      <c r="FM663" s="1513"/>
      <c r="FN663" s="1513"/>
      <c r="FO663" s="1513"/>
      <c r="FP663" s="1513"/>
      <c r="FQ663" s="1513"/>
      <c r="FR663" s="1513"/>
      <c r="FS663" s="1513"/>
      <c r="FT663" s="1513"/>
      <c r="FU663" s="1513"/>
      <c r="FV663" s="1513"/>
      <c r="FW663" s="1513"/>
      <c r="FX663" s="1513"/>
      <c r="FY663" s="1513"/>
      <c r="FZ663" s="1513"/>
      <c r="GA663" s="1513"/>
      <c r="GB663" s="1513"/>
      <c r="GC663" s="1513"/>
      <c r="GD663" s="1513"/>
      <c r="GE663" s="1513"/>
      <c r="GF663" s="1513"/>
      <c r="GG663" s="1513"/>
      <c r="GH663" s="1513"/>
      <c r="GI663" s="1513"/>
      <c r="GJ663" s="1513"/>
      <c r="GK663" s="1513"/>
      <c r="GL663" s="1513"/>
      <c r="GM663" s="1513"/>
      <c r="GN663" s="1513"/>
      <c r="GO663" s="1513"/>
      <c r="GP663" s="1513"/>
      <c r="GQ663" s="1513"/>
      <c r="GR663" s="1513"/>
      <c r="GS663" s="1513"/>
      <c r="GT663" s="1513"/>
      <c r="GU663" s="1513"/>
      <c r="GV663" s="1513"/>
      <c r="GW663" s="1513"/>
      <c r="GX663" s="1513"/>
      <c r="GY663" s="1513"/>
      <c r="GZ663" s="1513"/>
      <c r="HA663" s="1513"/>
      <c r="HB663" s="1513"/>
      <c r="HC663" s="1513"/>
      <c r="HD663" s="1513"/>
      <c r="HE663" s="1513"/>
      <c r="HF663" s="1513"/>
      <c r="HG663" s="1513"/>
      <c r="HH663" s="1513"/>
      <c r="HI663" s="1513"/>
      <c r="HJ663" s="1513"/>
      <c r="HK663" s="1513"/>
      <c r="HL663" s="1513"/>
      <c r="HM663" s="1513"/>
      <c r="HN663" s="1513"/>
      <c r="HO663" s="1513"/>
      <c r="HP663" s="1513"/>
      <c r="HQ663" s="1513"/>
      <c r="HR663" s="1513"/>
      <c r="HS663" s="1513"/>
      <c r="HT663" s="1514"/>
      <c r="HU663" s="1514"/>
      <c r="HV663" s="1514"/>
      <c r="HW663" s="1514"/>
      <c r="HX663" s="1514"/>
      <c r="HY663" s="1514"/>
      <c r="HZ663" s="1514"/>
      <c r="IA663" s="1514"/>
      <c r="IB663" s="1514"/>
      <c r="IC663" s="1514"/>
      <c r="II663" s="1514"/>
      <c r="IJ663" s="1514"/>
      <c r="IK663" s="1514"/>
      <c r="IL663" s="1514"/>
      <c r="IM663" s="1514"/>
      <c r="IN663" s="1514"/>
      <c r="IO663" s="1514"/>
      <c r="IP663" s="1514"/>
      <c r="IQ663" s="1514"/>
      <c r="IR663" s="1514"/>
      <c r="IS663" s="1514"/>
      <c r="IT663" s="1514"/>
      <c r="IU663" s="1514"/>
      <c r="IV663" s="1514"/>
      <c r="IW663" s="1514"/>
      <c r="IX663" s="1514"/>
      <c r="IY663" s="1514"/>
      <c r="IZ663" s="1514"/>
      <c r="JA663" s="1514"/>
      <c r="JB663" s="1514"/>
    </row>
    <row r="664" spans="1:277" s="518" customFormat="1" ht="12.6" customHeight="1">
      <c r="A664" s="521" t="s">
        <v>646</v>
      </c>
      <c r="B664" s="521" t="s">
        <v>2460</v>
      </c>
      <c r="D664" s="1532" t="s">
        <v>4097</v>
      </c>
      <c r="G664" s="521"/>
      <c r="H664" s="521"/>
      <c r="I664" s="521"/>
      <c r="J664" s="521"/>
      <c r="K664" s="521"/>
      <c r="L664" s="521"/>
      <c r="R664" s="521"/>
      <c r="S664" s="521"/>
      <c r="T664" s="521"/>
      <c r="U664" s="521" t="str">
        <f>B664</f>
        <v>RENT SCHEDULE</v>
      </c>
      <c r="W664" s="522"/>
      <c r="X664" s="522"/>
      <c r="Y664" s="522"/>
      <c r="Z664" s="522"/>
      <c r="AA664" s="522"/>
      <c r="AB664" s="522"/>
      <c r="AC664" s="522"/>
      <c r="AD664" s="522"/>
      <c r="AE664" s="522"/>
      <c r="AF664" s="522"/>
      <c r="AG664" s="522"/>
      <c r="AH664" s="522"/>
      <c r="AI664" s="522"/>
      <c r="AJ664" s="522"/>
      <c r="AK664" s="522"/>
      <c r="AL664" s="522"/>
      <c r="AM664" s="522"/>
      <c r="AN664" s="522"/>
      <c r="AO664" s="522"/>
      <c r="AP664" s="522"/>
      <c r="AQ664" s="522"/>
      <c r="AR664" s="522"/>
      <c r="AS664" s="522"/>
      <c r="AT664" s="522"/>
      <c r="AU664" s="522"/>
      <c r="AV664" s="522"/>
      <c r="AW664" s="522"/>
      <c r="AX664" s="522"/>
      <c r="AY664" s="522"/>
      <c r="AZ664" s="522"/>
      <c r="BA664" s="522"/>
      <c r="BB664" s="522"/>
      <c r="BC664" s="522"/>
      <c r="BD664" s="522"/>
      <c r="BE664" s="522"/>
      <c r="BF664" s="522"/>
      <c r="BG664" s="522"/>
      <c r="BH664" s="522"/>
      <c r="BI664" s="522"/>
      <c r="BJ664" s="522"/>
      <c r="BK664" s="522"/>
      <c r="BL664" s="522"/>
      <c r="BM664" s="522"/>
      <c r="BN664" s="522"/>
      <c r="BO664" s="522"/>
      <c r="BP664" s="522"/>
      <c r="BQ664" s="522"/>
      <c r="BR664" s="522"/>
      <c r="BS664" s="522"/>
      <c r="BT664" s="522"/>
      <c r="BU664" s="522"/>
      <c r="BV664" s="522"/>
      <c r="BW664" s="522"/>
      <c r="BX664" s="522"/>
      <c r="BY664" s="522"/>
      <c r="BZ664" s="522"/>
      <c r="CA664" s="522"/>
      <c r="CB664" s="522"/>
      <c r="CC664" s="522"/>
      <c r="CD664" s="522"/>
      <c r="CE664" s="522"/>
      <c r="CF664" s="522"/>
      <c r="CG664" s="522"/>
      <c r="CH664" s="522"/>
      <c r="CI664" s="522"/>
      <c r="CJ664" s="522"/>
      <c r="CK664" s="522"/>
      <c r="CL664" s="522"/>
      <c r="CM664" s="522"/>
      <c r="CN664" s="522"/>
      <c r="CO664" s="522"/>
      <c r="CP664" s="522"/>
      <c r="CQ664" s="522"/>
      <c r="CR664" s="522"/>
      <c r="CS664" s="522"/>
      <c r="CT664" s="522"/>
      <c r="CU664" s="522"/>
      <c r="CV664" s="522"/>
      <c r="CW664" s="522"/>
      <c r="CX664" s="522"/>
      <c r="CY664" s="522"/>
      <c r="CZ664" s="522"/>
      <c r="DA664" s="522"/>
      <c r="DB664" s="522"/>
      <c r="DC664" s="522"/>
      <c r="DD664" s="522"/>
      <c r="DE664" s="522"/>
      <c r="DF664" s="522"/>
      <c r="DG664" s="522"/>
      <c r="DH664" s="522"/>
      <c r="DI664" s="522"/>
      <c r="DJ664" s="522"/>
      <c r="DK664" s="522"/>
      <c r="DL664" s="522"/>
      <c r="DM664" s="522"/>
      <c r="DN664" s="522"/>
      <c r="DO664" s="522"/>
      <c r="DP664" s="522"/>
      <c r="DQ664" s="522"/>
      <c r="DR664" s="522"/>
      <c r="DS664" s="522"/>
      <c r="DT664" s="522"/>
      <c r="DU664" s="522"/>
      <c r="DV664" s="522"/>
      <c r="DW664" s="522"/>
      <c r="DX664" s="522"/>
      <c r="DY664" s="522"/>
      <c r="DZ664" s="522"/>
      <c r="EA664" s="522"/>
      <c r="EB664" s="522"/>
      <c r="EC664" s="522"/>
      <c r="ED664" s="522"/>
      <c r="EE664" s="522"/>
      <c r="EF664" s="522"/>
      <c r="EG664" s="522"/>
      <c r="EH664" s="522"/>
      <c r="EI664" s="522"/>
      <c r="EJ664" s="522"/>
      <c r="EK664" s="522"/>
      <c r="EL664" s="522"/>
      <c r="EM664" s="522"/>
      <c r="EN664" s="522"/>
      <c r="EO664" s="522"/>
      <c r="EP664" s="522"/>
      <c r="EQ664" s="522"/>
      <c r="ER664" s="522"/>
      <c r="ES664" s="522"/>
      <c r="ET664" s="522"/>
      <c r="EU664" s="522"/>
      <c r="EV664" s="522"/>
      <c r="EW664" s="1515"/>
      <c r="EX664" s="1515"/>
      <c r="EY664" s="1515"/>
      <c r="EZ664" s="1515"/>
      <c r="FA664" s="1515"/>
      <c r="FB664" s="1513" t="s">
        <v>508</v>
      </c>
      <c r="FC664" s="1513" t="s">
        <v>2537</v>
      </c>
      <c r="FD664" s="1513" t="s">
        <v>2538</v>
      </c>
      <c r="FE664" s="1513" t="s">
        <v>2539</v>
      </c>
      <c r="FF664" s="1513" t="s">
        <v>2540</v>
      </c>
      <c r="FG664" s="1513" t="s">
        <v>508</v>
      </c>
      <c r="FH664" s="1513" t="s">
        <v>2537</v>
      </c>
      <c r="FI664" s="1513" t="s">
        <v>2538</v>
      </c>
      <c r="FJ664" s="1513" t="s">
        <v>2539</v>
      </c>
      <c r="FK664" s="1513" t="s">
        <v>2540</v>
      </c>
      <c r="FL664" s="1515"/>
      <c r="FM664" s="1515"/>
      <c r="FN664" s="1515"/>
      <c r="FO664" s="1515"/>
      <c r="FP664" s="1515"/>
      <c r="FQ664" s="1515"/>
      <c r="FR664" s="1515"/>
      <c r="FS664" s="1515"/>
      <c r="FT664" s="1515"/>
      <c r="FU664" s="1515"/>
      <c r="FV664" s="1513" t="s">
        <v>508</v>
      </c>
      <c r="FW664" s="1513" t="s">
        <v>2537</v>
      </c>
      <c r="FX664" s="1513" t="s">
        <v>2538</v>
      </c>
      <c r="FY664" s="1513" t="s">
        <v>2539</v>
      </c>
      <c r="FZ664" s="1513" t="s">
        <v>2540</v>
      </c>
      <c r="GA664" s="1513" t="s">
        <v>508</v>
      </c>
      <c r="GB664" s="1513" t="s">
        <v>2537</v>
      </c>
      <c r="GC664" s="1513" t="s">
        <v>2538</v>
      </c>
      <c r="GD664" s="1513" t="s">
        <v>2539</v>
      </c>
      <c r="GE664" s="1513" t="s">
        <v>2540</v>
      </c>
      <c r="GF664" s="1513" t="s">
        <v>508</v>
      </c>
      <c r="GG664" s="1513" t="s">
        <v>2537</v>
      </c>
      <c r="GH664" s="1513" t="s">
        <v>2538</v>
      </c>
      <c r="GI664" s="1513" t="s">
        <v>2539</v>
      </c>
      <c r="GJ664" s="1513" t="s">
        <v>2540</v>
      </c>
      <c r="GK664" s="1513" t="s">
        <v>508</v>
      </c>
      <c r="GL664" s="1513" t="s">
        <v>2537</v>
      </c>
      <c r="GM664" s="1513" t="s">
        <v>2538</v>
      </c>
      <c r="GN664" s="1513" t="s">
        <v>2539</v>
      </c>
      <c r="GO664" s="1513" t="s">
        <v>2540</v>
      </c>
      <c r="GP664" s="1513" t="s">
        <v>508</v>
      </c>
      <c r="GQ664" s="1513" t="s">
        <v>2537</v>
      </c>
      <c r="GR664" s="1513" t="s">
        <v>2538</v>
      </c>
      <c r="GS664" s="1513" t="s">
        <v>2539</v>
      </c>
      <c r="GT664" s="1513" t="s">
        <v>2540</v>
      </c>
      <c r="GU664" s="1513" t="s">
        <v>508</v>
      </c>
      <c r="GV664" s="1513" t="s">
        <v>2537</v>
      </c>
      <c r="GW664" s="1513" t="s">
        <v>2538</v>
      </c>
      <c r="GX664" s="1513" t="s">
        <v>2539</v>
      </c>
      <c r="GY664" s="1513" t="s">
        <v>2540</v>
      </c>
      <c r="GZ664" s="1513" t="s">
        <v>508</v>
      </c>
      <c r="HA664" s="1513" t="s">
        <v>2537</v>
      </c>
      <c r="HB664" s="1513" t="s">
        <v>2538</v>
      </c>
      <c r="HC664" s="1513" t="s">
        <v>2539</v>
      </c>
      <c r="HD664" s="1513" t="s">
        <v>2540</v>
      </c>
      <c r="HE664" s="1513" t="s">
        <v>508</v>
      </c>
      <c r="HF664" s="1513" t="s">
        <v>2537</v>
      </c>
      <c r="HG664" s="1513" t="s">
        <v>2538</v>
      </c>
      <c r="HH664" s="1513" t="s">
        <v>2539</v>
      </c>
      <c r="HI664" s="1513" t="s">
        <v>2540</v>
      </c>
      <c r="HJ664" s="1513" t="s">
        <v>508</v>
      </c>
      <c r="HK664" s="1513" t="s">
        <v>2537</v>
      </c>
      <c r="HL664" s="1513" t="s">
        <v>2538</v>
      </c>
      <c r="HM664" s="1513" t="s">
        <v>2539</v>
      </c>
      <c r="HN664" s="1513" t="s">
        <v>2540</v>
      </c>
      <c r="HO664" s="1513" t="s">
        <v>508</v>
      </c>
      <c r="HP664" s="1513" t="s">
        <v>2537</v>
      </c>
      <c r="HQ664" s="1513" t="s">
        <v>2538</v>
      </c>
      <c r="HR664" s="1513" t="s">
        <v>2539</v>
      </c>
      <c r="HS664" s="1513" t="s">
        <v>2540</v>
      </c>
      <c r="HT664" s="1513" t="s">
        <v>508</v>
      </c>
      <c r="HU664" s="1513" t="s">
        <v>2537</v>
      </c>
      <c r="HV664" s="1513" t="s">
        <v>2538</v>
      </c>
      <c r="HW664" s="1513" t="s">
        <v>2539</v>
      </c>
      <c r="HX664" s="1513" t="s">
        <v>2540</v>
      </c>
      <c r="HY664" s="1513" t="s">
        <v>508</v>
      </c>
      <c r="HZ664" s="1513" t="s">
        <v>2537</v>
      </c>
      <c r="IA664" s="1513" t="s">
        <v>2538</v>
      </c>
      <c r="IB664" s="1513" t="s">
        <v>2539</v>
      </c>
      <c r="IC664" s="1513" t="s">
        <v>2540</v>
      </c>
      <c r="II664" s="522"/>
      <c r="IJ664" s="522"/>
      <c r="IK664" s="522"/>
      <c r="IL664" s="522"/>
      <c r="IM664" s="522"/>
      <c r="IN664" s="522"/>
      <c r="IO664" s="522"/>
      <c r="IP664" s="522"/>
      <c r="IQ664" s="522"/>
      <c r="IR664" s="522"/>
      <c r="IS664" s="522"/>
      <c r="IT664" s="522"/>
      <c r="IU664" s="522"/>
      <c r="IV664" s="522"/>
      <c r="IW664" s="522"/>
      <c r="IX664" s="522"/>
      <c r="IY664" s="522"/>
      <c r="IZ664" s="522"/>
      <c r="JA664" s="522"/>
      <c r="JB664" s="522"/>
      <c r="JC664" s="1516" t="s">
        <v>3812</v>
      </c>
      <c r="JD664" s="1516" t="s">
        <v>3813</v>
      </c>
      <c r="JE664" s="1516" t="s">
        <v>3814</v>
      </c>
      <c r="JF664" s="1516" t="s">
        <v>3815</v>
      </c>
      <c r="JG664" s="1516" t="s">
        <v>3816</v>
      </c>
    </row>
    <row r="665" spans="1:277" s="518" customFormat="1" ht="3" customHeight="1">
      <c r="B665" s="521"/>
      <c r="D665" s="521"/>
      <c r="P665" s="1688" t="s">
        <v>4575</v>
      </c>
      <c r="Q665" s="1689"/>
      <c r="R665" s="1517"/>
      <c r="S665" s="1517"/>
      <c r="T665" s="1517"/>
      <c r="U665" s="1517"/>
      <c r="W665" s="1690" t="s">
        <v>959</v>
      </c>
      <c r="X665" s="1690" t="s">
        <v>793</v>
      </c>
      <c r="Y665" s="1690" t="s">
        <v>794</v>
      </c>
      <c r="Z665" s="1690" t="s">
        <v>795</v>
      </c>
      <c r="AA665" s="1690" t="s">
        <v>796</v>
      </c>
      <c r="AB665" s="1690" t="s">
        <v>960</v>
      </c>
      <c r="AC665" s="1690" t="s">
        <v>2401</v>
      </c>
      <c r="AD665" s="1690" t="s">
        <v>2402</v>
      </c>
      <c r="AE665" s="1690" t="s">
        <v>2403</v>
      </c>
      <c r="AF665" s="1690" t="s">
        <v>2404</v>
      </c>
      <c r="AG665" s="1690" t="s">
        <v>961</v>
      </c>
      <c r="AH665" s="1690" t="s">
        <v>2405</v>
      </c>
      <c r="AI665" s="1690" t="s">
        <v>2406</v>
      </c>
      <c r="AJ665" s="1690" t="s">
        <v>2407</v>
      </c>
      <c r="AK665" s="1690" t="s">
        <v>2408</v>
      </c>
      <c r="AL665" s="1690" t="s">
        <v>131</v>
      </c>
      <c r="AM665" s="1690" t="s">
        <v>2409</v>
      </c>
      <c r="AN665" s="1690" t="s">
        <v>2410</v>
      </c>
      <c r="AO665" s="1690" t="s">
        <v>2411</v>
      </c>
      <c r="AP665" s="1690" t="s">
        <v>1197</v>
      </c>
      <c r="AQ665" s="1690" t="s">
        <v>581</v>
      </c>
      <c r="AR665" s="1690" t="s">
        <v>582</v>
      </c>
      <c r="AS665" s="1690" t="s">
        <v>604</v>
      </c>
      <c r="AT665" s="1690" t="s">
        <v>605</v>
      </c>
      <c r="AU665" s="1690" t="s">
        <v>606</v>
      </c>
      <c r="AV665" s="1690" t="s">
        <v>607</v>
      </c>
      <c r="AW665" s="1690" t="s">
        <v>608</v>
      </c>
      <c r="AX665" s="1690" t="s">
        <v>609</v>
      </c>
      <c r="AY665" s="1690" t="s">
        <v>610</v>
      </c>
      <c r="AZ665" s="1690" t="s">
        <v>611</v>
      </c>
      <c r="BA665" s="1690" t="s">
        <v>612</v>
      </c>
      <c r="BB665" s="1690" t="s">
        <v>613</v>
      </c>
      <c r="BC665" s="1690" t="s">
        <v>971</v>
      </c>
      <c r="BD665" s="1690" t="s">
        <v>972</v>
      </c>
      <c r="BE665" s="1690" t="s">
        <v>973</v>
      </c>
      <c r="BF665" s="1690" t="s">
        <v>520</v>
      </c>
      <c r="BG665" s="1690" t="s">
        <v>521</v>
      </c>
      <c r="BH665" s="1690" t="s">
        <v>522</v>
      </c>
      <c r="BI665" s="1690" t="s">
        <v>523</v>
      </c>
      <c r="BJ665" s="1690" t="s">
        <v>524</v>
      </c>
      <c r="BK665" s="1690" t="s">
        <v>920</v>
      </c>
      <c r="BL665" s="1690" t="s">
        <v>921</v>
      </c>
      <c r="BM665" s="1690" t="s">
        <v>922</v>
      </c>
      <c r="BN665" s="1690" t="s">
        <v>923</v>
      </c>
      <c r="BO665" s="1690" t="s">
        <v>924</v>
      </c>
      <c r="BP665" s="1690" t="s">
        <v>925</v>
      </c>
      <c r="BQ665" s="1690" t="s">
        <v>926</v>
      </c>
      <c r="BR665" s="1690" t="s">
        <v>927</v>
      </c>
      <c r="BS665" s="1690" t="s">
        <v>928</v>
      </c>
      <c r="BT665" s="1690" t="s">
        <v>929</v>
      </c>
      <c r="BU665" s="1690" t="s">
        <v>2527</v>
      </c>
      <c r="BV665" s="1690" t="s">
        <v>2528</v>
      </c>
      <c r="BW665" s="1690" t="s">
        <v>2529</v>
      </c>
      <c r="BX665" s="1690" t="s">
        <v>2530</v>
      </c>
      <c r="BY665" s="1690" t="s">
        <v>2531</v>
      </c>
      <c r="BZ665" s="1690" t="s">
        <v>119</v>
      </c>
      <c r="CA665" s="1690" t="s">
        <v>1200</v>
      </c>
      <c r="CB665" s="1690" t="s">
        <v>1201</v>
      </c>
      <c r="CC665" s="1690" t="s">
        <v>1266</v>
      </c>
      <c r="CD665" s="1690" t="s">
        <v>1267</v>
      </c>
      <c r="CE665" s="1516" t="s">
        <v>134</v>
      </c>
      <c r="CF665" s="1516" t="s">
        <v>1268</v>
      </c>
      <c r="CG665" s="1516" t="s">
        <v>1269</v>
      </c>
      <c r="CH665" s="1516" t="s">
        <v>1270</v>
      </c>
      <c r="CI665" s="1516" t="s">
        <v>1271</v>
      </c>
      <c r="CJ665" s="1516" t="s">
        <v>133</v>
      </c>
      <c r="CK665" s="1516" t="s">
        <v>951</v>
      </c>
      <c r="CL665" s="1516" t="s">
        <v>952</v>
      </c>
      <c r="CM665" s="1516" t="s">
        <v>953</v>
      </c>
      <c r="CN665" s="1516" t="s">
        <v>954</v>
      </c>
      <c r="CO665" s="1516" t="s">
        <v>132</v>
      </c>
      <c r="CP665" s="1516" t="s">
        <v>955</v>
      </c>
      <c r="CQ665" s="1516" t="s">
        <v>956</v>
      </c>
      <c r="CR665" s="1516" t="s">
        <v>957</v>
      </c>
      <c r="CS665" s="1516" t="s">
        <v>958</v>
      </c>
      <c r="CT665" s="1516" t="s">
        <v>848</v>
      </c>
      <c r="CU665" s="1516" t="s">
        <v>849</v>
      </c>
      <c r="CV665" s="1516" t="s">
        <v>850</v>
      </c>
      <c r="CW665" s="1516" t="s">
        <v>851</v>
      </c>
      <c r="CX665" s="1516" t="s">
        <v>852</v>
      </c>
      <c r="CY665" s="1516" t="s">
        <v>998</v>
      </c>
      <c r="CZ665" s="1516" t="s">
        <v>999</v>
      </c>
      <c r="DA665" s="1516" t="s">
        <v>1000</v>
      </c>
      <c r="DB665" s="1516" t="s">
        <v>1001</v>
      </c>
      <c r="DC665" s="1516" t="s">
        <v>2526</v>
      </c>
      <c r="DD665" s="1516" t="s">
        <v>1495</v>
      </c>
      <c r="DE665" s="1516" t="s">
        <v>1496</v>
      </c>
      <c r="DF665" s="1516" t="s">
        <v>1497</v>
      </c>
      <c r="DG665" s="1516" t="s">
        <v>1498</v>
      </c>
      <c r="DH665" s="1516" t="s">
        <v>1499</v>
      </c>
      <c r="DI665" s="1516" t="s">
        <v>454</v>
      </c>
      <c r="DJ665" s="1516" t="s">
        <v>455</v>
      </c>
      <c r="DK665" s="1516" t="s">
        <v>456</v>
      </c>
      <c r="DL665" s="1516" t="s">
        <v>457</v>
      </c>
      <c r="DM665" s="1516" t="s">
        <v>458</v>
      </c>
      <c r="DN665" s="1516" t="s">
        <v>18</v>
      </c>
      <c r="DO665" s="1516" t="s">
        <v>19</v>
      </c>
      <c r="DP665" s="1516" t="s">
        <v>20</v>
      </c>
      <c r="DQ665" s="1516" t="s">
        <v>21</v>
      </c>
      <c r="DR665" s="1516" t="s">
        <v>22</v>
      </c>
      <c r="DS665" s="1516" t="s">
        <v>232</v>
      </c>
      <c r="DT665" s="1516" t="s">
        <v>233</v>
      </c>
      <c r="DU665" s="1516" t="s">
        <v>234</v>
      </c>
      <c r="DV665" s="1516" t="s">
        <v>1889</v>
      </c>
      <c r="DW665" s="1516" t="s">
        <v>1890</v>
      </c>
      <c r="DX665" s="1516" t="s">
        <v>1891</v>
      </c>
      <c r="DY665" s="1516" t="s">
        <v>620</v>
      </c>
      <c r="DZ665" s="1516" t="s">
        <v>621</v>
      </c>
      <c r="EA665" s="1516" t="s">
        <v>622</v>
      </c>
      <c r="EB665" s="1516" t="s">
        <v>623</v>
      </c>
      <c r="EC665" s="1516" t="s">
        <v>23</v>
      </c>
      <c r="ED665" s="1516" t="s">
        <v>24</v>
      </c>
      <c r="EE665" s="1516" t="s">
        <v>25</v>
      </c>
      <c r="EF665" s="1516" t="s">
        <v>26</v>
      </c>
      <c r="EG665" s="1516" t="s">
        <v>27</v>
      </c>
      <c r="EH665" s="1516" t="s">
        <v>519</v>
      </c>
      <c r="EI665" s="1516" t="s">
        <v>450</v>
      </c>
      <c r="EJ665" s="1516" t="s">
        <v>451</v>
      </c>
      <c r="EK665" s="1516" t="s">
        <v>452</v>
      </c>
      <c r="EL665" s="1516" t="s">
        <v>453</v>
      </c>
      <c r="EM665" s="1516" t="s">
        <v>2297</v>
      </c>
      <c r="EN665" s="1516" t="s">
        <v>2298</v>
      </c>
      <c r="EO665" s="1516" t="s">
        <v>2299</v>
      </c>
      <c r="EP665" s="1516" t="s">
        <v>1545</v>
      </c>
      <c r="EQ665" s="1516" t="s">
        <v>1546</v>
      </c>
      <c r="ER665" s="1516" t="s">
        <v>28</v>
      </c>
      <c r="ES665" s="1516" t="s">
        <v>29</v>
      </c>
      <c r="ET665" s="1516" t="s">
        <v>30</v>
      </c>
      <c r="EU665" s="1516" t="s">
        <v>31</v>
      </c>
      <c r="EV665" s="1516" t="s">
        <v>32</v>
      </c>
      <c r="EW665" s="1512"/>
      <c r="EX665" s="1512"/>
      <c r="EY665" s="1512"/>
      <c r="EZ665" s="1512"/>
      <c r="FA665" s="1512"/>
      <c r="FB665" s="1512"/>
      <c r="FC665" s="1512"/>
      <c r="FD665" s="1512"/>
      <c r="FE665" s="1512"/>
      <c r="FF665" s="1512"/>
      <c r="FG665" s="1512"/>
      <c r="FH665" s="1512"/>
      <c r="FI665" s="1512"/>
      <c r="FJ665" s="1512"/>
      <c r="FK665" s="1512"/>
      <c r="FL665" s="1512"/>
      <c r="FM665" s="1512"/>
      <c r="FN665" s="1512"/>
      <c r="FO665" s="1512"/>
      <c r="FP665" s="1512"/>
      <c r="FQ665" s="1512"/>
      <c r="FR665" s="1512"/>
      <c r="FS665" s="1512"/>
      <c r="FT665" s="1512"/>
      <c r="FU665" s="1512"/>
      <c r="FV665" s="1512"/>
      <c r="FW665" s="1512"/>
      <c r="FX665" s="1512"/>
      <c r="FY665" s="1512"/>
      <c r="FZ665" s="1512"/>
      <c r="GA665" s="1512"/>
      <c r="GB665" s="1512"/>
      <c r="GC665" s="1512"/>
      <c r="GD665" s="1512"/>
      <c r="GE665" s="1512"/>
      <c r="GF665" s="1512"/>
      <c r="GG665" s="1512"/>
      <c r="GH665" s="1512"/>
      <c r="GI665" s="1512"/>
      <c r="GJ665" s="1512"/>
      <c r="GK665" s="1512"/>
      <c r="GL665" s="1512"/>
      <c r="GM665" s="1512"/>
      <c r="GN665" s="1512"/>
      <c r="GO665" s="1512"/>
      <c r="GP665" s="1512"/>
      <c r="GQ665" s="1512"/>
      <c r="GR665" s="1512"/>
      <c r="GS665" s="1512"/>
      <c r="GT665" s="1512"/>
      <c r="GU665" s="1512"/>
      <c r="GV665" s="1512"/>
      <c r="GW665" s="1512"/>
      <c r="GX665" s="1512"/>
      <c r="GY665" s="1512"/>
      <c r="GZ665" s="1512"/>
      <c r="HA665" s="1512"/>
      <c r="HB665" s="1512"/>
      <c r="HC665" s="1512"/>
      <c r="HD665" s="1512"/>
      <c r="HE665" s="1512"/>
      <c r="HF665" s="1512"/>
      <c r="HG665" s="1512"/>
      <c r="HH665" s="1512"/>
      <c r="HI665" s="1512"/>
      <c r="HJ665" s="1512"/>
      <c r="HK665" s="1512"/>
      <c r="HL665" s="1512"/>
      <c r="HM665" s="1512"/>
      <c r="HN665" s="1512"/>
      <c r="HO665" s="1512"/>
      <c r="HP665" s="1512"/>
      <c r="HQ665" s="1512"/>
      <c r="HR665" s="1512"/>
      <c r="HS665" s="1512"/>
      <c r="ID665" s="1516" t="s">
        <v>1693</v>
      </c>
      <c r="IE665" s="1516" t="s">
        <v>2623</v>
      </c>
      <c r="IF665" s="1516" t="s">
        <v>2624</v>
      </c>
      <c r="IG665" s="1516" t="s">
        <v>401</v>
      </c>
      <c r="IH665" s="1516" t="s">
        <v>402</v>
      </c>
      <c r="II665" s="1516" t="s">
        <v>403</v>
      </c>
      <c r="IJ665" s="1516" t="s">
        <v>404</v>
      </c>
      <c r="IK665" s="1516" t="s">
        <v>405</v>
      </c>
      <c r="IL665" s="1516" t="s">
        <v>406</v>
      </c>
      <c r="IM665" s="1516" t="s">
        <v>407</v>
      </c>
      <c r="IN665" s="1516" t="s">
        <v>209</v>
      </c>
      <c r="IO665" s="1516" t="s">
        <v>210</v>
      </c>
      <c r="IP665" s="1516" t="s">
        <v>211</v>
      </c>
      <c r="IQ665" s="1516" t="s">
        <v>212</v>
      </c>
      <c r="IR665" s="1516" t="s">
        <v>213</v>
      </c>
      <c r="IS665" s="1516" t="s">
        <v>214</v>
      </c>
      <c r="IT665" s="1516" t="s">
        <v>215</v>
      </c>
      <c r="IU665" s="1516" t="s">
        <v>216</v>
      </c>
      <c r="IV665" s="1516" t="s">
        <v>217</v>
      </c>
      <c r="IW665" s="1516" t="s">
        <v>218</v>
      </c>
      <c r="IX665" s="1516" t="s">
        <v>219</v>
      </c>
      <c r="IY665" s="1516" t="s">
        <v>220</v>
      </c>
      <c r="IZ665" s="1516" t="s">
        <v>221</v>
      </c>
      <c r="JA665" s="1516" t="s">
        <v>222</v>
      </c>
      <c r="JB665" s="1516" t="s">
        <v>223</v>
      </c>
      <c r="JC665" s="1516"/>
      <c r="JD665" s="1516"/>
      <c r="JE665" s="1516"/>
      <c r="JF665" s="1516"/>
      <c r="JG665" s="1516"/>
    </row>
    <row r="666" spans="1:277" s="518" customFormat="1" ht="13.15" customHeight="1">
      <c r="A666" s="1691" t="str">
        <f>IF(A709&gt;0,"Finish Row!","")</f>
        <v/>
      </c>
      <c r="B666" s="521" t="s">
        <v>1926</v>
      </c>
      <c r="E666" s="521"/>
      <c r="H666" s="1512" t="str">
        <f>'Part VI-Revenues &amp; Expenses'!H5</f>
        <v>Floating</v>
      </c>
      <c r="J666" s="1692" t="s">
        <v>4090</v>
      </c>
      <c r="M666" s="1681" t="s">
        <v>603</v>
      </c>
      <c r="O666" s="1687" t="s">
        <v>1079</v>
      </c>
      <c r="P666" s="1688"/>
      <c r="Q666" s="1689"/>
      <c r="W666" s="1690"/>
      <c r="X666" s="1690"/>
      <c r="Y666" s="1690"/>
      <c r="Z666" s="1690"/>
      <c r="AA666" s="1690"/>
      <c r="AB666" s="1690"/>
      <c r="AC666" s="1690"/>
      <c r="AD666" s="1690"/>
      <c r="AE666" s="1690"/>
      <c r="AF666" s="1690"/>
      <c r="AG666" s="1690"/>
      <c r="AH666" s="1690"/>
      <c r="AI666" s="1690"/>
      <c r="AJ666" s="1690"/>
      <c r="AK666" s="1690"/>
      <c r="AL666" s="1690"/>
      <c r="AM666" s="1690"/>
      <c r="AN666" s="1690"/>
      <c r="AO666" s="1690"/>
      <c r="AP666" s="1690"/>
      <c r="AQ666" s="1690"/>
      <c r="AR666" s="1690"/>
      <c r="AS666" s="1690"/>
      <c r="AT666" s="1690"/>
      <c r="AU666" s="1690"/>
      <c r="AV666" s="1690"/>
      <c r="AW666" s="1690"/>
      <c r="AX666" s="1690"/>
      <c r="AY666" s="1690"/>
      <c r="AZ666" s="1690"/>
      <c r="BA666" s="1690"/>
      <c r="BB666" s="1690"/>
      <c r="BC666" s="1690"/>
      <c r="BD666" s="1690"/>
      <c r="BE666" s="1690"/>
      <c r="BF666" s="1690"/>
      <c r="BG666" s="1690"/>
      <c r="BH666" s="1690"/>
      <c r="BI666" s="1690"/>
      <c r="BJ666" s="1690"/>
      <c r="BK666" s="1690"/>
      <c r="BL666" s="1690"/>
      <c r="BM666" s="1690"/>
      <c r="BN666" s="1690"/>
      <c r="BO666" s="1690"/>
      <c r="BP666" s="1690"/>
      <c r="BQ666" s="1690"/>
      <c r="BR666" s="1690"/>
      <c r="BS666" s="1690"/>
      <c r="BT666" s="1690"/>
      <c r="BU666" s="1690"/>
      <c r="BV666" s="1690"/>
      <c r="BW666" s="1690"/>
      <c r="BX666" s="1690"/>
      <c r="BY666" s="1690"/>
      <c r="BZ666" s="1690"/>
      <c r="CA666" s="1690"/>
      <c r="CB666" s="1690"/>
      <c r="CC666" s="1690"/>
      <c r="CD666" s="1690"/>
      <c r="CE666" s="1516"/>
      <c r="CF666" s="1516"/>
      <c r="CG666" s="1516"/>
      <c r="CH666" s="1516"/>
      <c r="CI666" s="1516"/>
      <c r="CJ666" s="1516"/>
      <c r="CK666" s="1516"/>
      <c r="CL666" s="1516"/>
      <c r="CM666" s="1516"/>
      <c r="CN666" s="1516"/>
      <c r="CO666" s="1516"/>
      <c r="CP666" s="1516"/>
      <c r="CQ666" s="1516"/>
      <c r="CR666" s="1516"/>
      <c r="CS666" s="1516"/>
      <c r="CT666" s="1516"/>
      <c r="CU666" s="1516"/>
      <c r="CV666" s="1516"/>
      <c r="CW666" s="1516"/>
      <c r="CX666" s="1516"/>
      <c r="CY666" s="1516"/>
      <c r="CZ666" s="1516"/>
      <c r="DA666" s="1516"/>
      <c r="DB666" s="1516"/>
      <c r="DC666" s="1516"/>
      <c r="DD666" s="1516"/>
      <c r="DE666" s="1516"/>
      <c r="DF666" s="1516"/>
      <c r="DG666" s="1516"/>
      <c r="DH666" s="1516"/>
      <c r="DI666" s="1516"/>
      <c r="DJ666" s="1516"/>
      <c r="DK666" s="1516"/>
      <c r="DL666" s="1516"/>
      <c r="DM666" s="1516"/>
      <c r="DN666" s="1516"/>
      <c r="DO666" s="1516"/>
      <c r="DP666" s="1516"/>
      <c r="DQ666" s="1516"/>
      <c r="DR666" s="1516"/>
      <c r="DS666" s="1516"/>
      <c r="DT666" s="1516"/>
      <c r="DU666" s="1516"/>
      <c r="DV666" s="1516"/>
      <c r="DW666" s="1516"/>
      <c r="DX666" s="1516"/>
      <c r="DY666" s="1516"/>
      <c r="DZ666" s="1516"/>
      <c r="EA666" s="1516"/>
      <c r="EB666" s="1516"/>
      <c r="EC666" s="1516"/>
      <c r="ED666" s="1516"/>
      <c r="EE666" s="1516"/>
      <c r="EF666" s="1516"/>
      <c r="EG666" s="1516"/>
      <c r="EH666" s="1516"/>
      <c r="EI666" s="1516"/>
      <c r="EJ666" s="1516"/>
      <c r="EK666" s="1516"/>
      <c r="EL666" s="1516"/>
      <c r="EM666" s="1516"/>
      <c r="EN666" s="1516"/>
      <c r="EO666" s="1516"/>
      <c r="EP666" s="1516"/>
      <c r="EQ666" s="1516"/>
      <c r="ER666" s="1516"/>
      <c r="ES666" s="1516"/>
      <c r="ET666" s="1516"/>
      <c r="EU666" s="1516"/>
      <c r="EV666" s="1516"/>
      <c r="EW666" s="1512"/>
      <c r="EX666" s="1512"/>
      <c r="EY666" s="1512"/>
      <c r="EZ666" s="1512"/>
      <c r="FA666" s="1512"/>
      <c r="FB666" s="1512"/>
      <c r="FC666" s="1512"/>
      <c r="FD666" s="1512"/>
      <c r="FE666" s="1512"/>
      <c r="FF666" s="1512"/>
      <c r="FG666" s="1512"/>
      <c r="FH666" s="1512"/>
      <c r="FI666" s="1512"/>
      <c r="FJ666" s="1512"/>
      <c r="FK666" s="1512"/>
      <c r="FL666" s="1512"/>
      <c r="FM666" s="1512"/>
      <c r="FN666" s="1512"/>
      <c r="FO666" s="1512"/>
      <c r="FP666" s="1512"/>
      <c r="FQ666" s="1512"/>
      <c r="FR666" s="1512"/>
      <c r="FS666" s="1512"/>
      <c r="FT666" s="1512"/>
      <c r="FU666" s="1512"/>
      <c r="FV666" s="1512"/>
      <c r="FW666" s="1512"/>
      <c r="FX666" s="1512"/>
      <c r="FY666" s="1512"/>
      <c r="FZ666" s="1512"/>
      <c r="GA666" s="1512"/>
      <c r="GB666" s="1512"/>
      <c r="GC666" s="1512"/>
      <c r="GD666" s="1512"/>
      <c r="GE666" s="1512"/>
      <c r="GF666" s="1512"/>
      <c r="GG666" s="1512"/>
      <c r="GH666" s="1512"/>
      <c r="GI666" s="1512"/>
      <c r="GJ666" s="1512"/>
      <c r="GK666" s="1512"/>
      <c r="GL666" s="1512"/>
      <c r="GM666" s="1512"/>
      <c r="GN666" s="1512"/>
      <c r="GO666" s="1512"/>
      <c r="GP666" s="1512"/>
      <c r="GQ666" s="1512"/>
      <c r="GR666" s="1512"/>
      <c r="GS666" s="1512"/>
      <c r="GT666" s="1512"/>
      <c r="GU666" s="1512"/>
      <c r="GV666" s="1512"/>
      <c r="GW666" s="1512"/>
      <c r="GX666" s="1512"/>
      <c r="GY666" s="1512"/>
      <c r="GZ666" s="1512"/>
      <c r="HA666" s="1512"/>
      <c r="HB666" s="1512"/>
      <c r="HC666" s="1512"/>
      <c r="HD666" s="1512"/>
      <c r="HE666" s="1512"/>
      <c r="HF666" s="1512"/>
      <c r="HG666" s="1512"/>
      <c r="HH666" s="1512"/>
      <c r="HI666" s="1512"/>
      <c r="HJ666" s="1512"/>
      <c r="HK666" s="1512"/>
      <c r="HL666" s="1512"/>
      <c r="HM666" s="1512"/>
      <c r="HN666" s="1512"/>
      <c r="HO666" s="1512"/>
      <c r="HP666" s="1512"/>
      <c r="HQ666" s="1512"/>
      <c r="HR666" s="1512"/>
      <c r="HS666" s="1512"/>
      <c r="ID666" s="1516"/>
      <c r="IE666" s="1516"/>
      <c r="IF666" s="1516"/>
      <c r="IG666" s="1516"/>
      <c r="IH666" s="1516"/>
      <c r="II666" s="1516"/>
      <c r="IJ666" s="1516"/>
      <c r="IK666" s="1516"/>
      <c r="IL666" s="1516"/>
      <c r="IM666" s="1516"/>
      <c r="IN666" s="1516"/>
      <c r="IO666" s="1516"/>
      <c r="IP666" s="1516"/>
      <c r="IQ666" s="1516"/>
      <c r="IR666" s="1516"/>
      <c r="IS666" s="1516"/>
      <c r="IT666" s="1516"/>
      <c r="IU666" s="1516"/>
      <c r="IV666" s="1516"/>
      <c r="IW666" s="1516"/>
      <c r="IX666" s="1516"/>
      <c r="IY666" s="1516"/>
      <c r="IZ666" s="1516"/>
      <c r="JA666" s="1516"/>
      <c r="JB666" s="1516"/>
      <c r="JC666" s="1516"/>
      <c r="JD666" s="1516"/>
      <c r="JE666" s="1516"/>
      <c r="JF666" s="1516"/>
      <c r="JG666" s="1516"/>
      <c r="JH666" s="1517" t="s">
        <v>3807</v>
      </c>
      <c r="JI666" s="1517" t="s">
        <v>3808</v>
      </c>
      <c r="JJ666" s="1517" t="s">
        <v>3809</v>
      </c>
      <c r="JK666" s="1517" t="s">
        <v>3810</v>
      </c>
      <c r="JL666" s="1517" t="s">
        <v>3811</v>
      </c>
      <c r="JM666" s="1516" t="s">
        <v>3821</v>
      </c>
      <c r="JN666" s="1516" t="s">
        <v>3823</v>
      </c>
      <c r="JO666" s="1516" t="s">
        <v>3824</v>
      </c>
      <c r="JP666" s="1516" t="s">
        <v>3825</v>
      </c>
      <c r="JQ666" s="1516" t="s">
        <v>3826</v>
      </c>
    </row>
    <row r="667" spans="1:277" s="518" customFormat="1" ht="13.15" customHeight="1">
      <c r="A667" s="1691"/>
      <c r="B667" s="1693" t="s">
        <v>1882</v>
      </c>
      <c r="E667" s="521"/>
      <c r="F667" s="1518" t="str">
        <f>'Part VI-Revenues &amp; Expenses'!F6</f>
        <v>No</v>
      </c>
      <c r="G667" s="1692" t="s">
        <v>4453</v>
      </c>
      <c r="H667" s="1694" t="s">
        <v>4456</v>
      </c>
      <c r="J667" s="1692" t="s">
        <v>4458</v>
      </c>
      <c r="M667" s="1695" t="str">
        <f>'Part I-Project Information'!$O$30</f>
        <v>Atlanta-Sandy Springs-Marietta</v>
      </c>
      <c r="N667" s="1695"/>
      <c r="O667" s="1696">
        <f>VLOOKUP('Part I-Project Information'!$O$30,'DCA Underwriting Assumptions'!$C$141:$D$251,2)</f>
        <v>68300</v>
      </c>
      <c r="P667" s="1688"/>
      <c r="Q667" s="1689"/>
      <c r="S667" s="521" t="s">
        <v>2818</v>
      </c>
      <c r="T667" s="521"/>
      <c r="W667" s="1690"/>
      <c r="X667" s="1690"/>
      <c r="Y667" s="1690"/>
      <c r="Z667" s="1690"/>
      <c r="AA667" s="1690"/>
      <c r="AB667" s="1690"/>
      <c r="AC667" s="1690"/>
      <c r="AD667" s="1690"/>
      <c r="AE667" s="1690"/>
      <c r="AF667" s="1690"/>
      <c r="AG667" s="1690"/>
      <c r="AH667" s="1690"/>
      <c r="AI667" s="1690"/>
      <c r="AJ667" s="1690"/>
      <c r="AK667" s="1690"/>
      <c r="AL667" s="1690"/>
      <c r="AM667" s="1690"/>
      <c r="AN667" s="1690"/>
      <c r="AO667" s="1690"/>
      <c r="AP667" s="1690"/>
      <c r="AQ667" s="1690"/>
      <c r="AR667" s="1690"/>
      <c r="AS667" s="1690"/>
      <c r="AT667" s="1690"/>
      <c r="AU667" s="1690"/>
      <c r="AV667" s="1690"/>
      <c r="AW667" s="1690"/>
      <c r="AX667" s="1690"/>
      <c r="AY667" s="1690"/>
      <c r="AZ667" s="1690"/>
      <c r="BA667" s="1690"/>
      <c r="BB667" s="1690"/>
      <c r="BC667" s="1690"/>
      <c r="BD667" s="1690"/>
      <c r="BE667" s="1690"/>
      <c r="BF667" s="1690"/>
      <c r="BG667" s="1690"/>
      <c r="BH667" s="1690"/>
      <c r="BI667" s="1690"/>
      <c r="BJ667" s="1690"/>
      <c r="BK667" s="1690"/>
      <c r="BL667" s="1690"/>
      <c r="BM667" s="1690"/>
      <c r="BN667" s="1690"/>
      <c r="BO667" s="1690"/>
      <c r="BP667" s="1690"/>
      <c r="BQ667" s="1690"/>
      <c r="BR667" s="1690"/>
      <c r="BS667" s="1690"/>
      <c r="BT667" s="1690"/>
      <c r="BU667" s="1690"/>
      <c r="BV667" s="1690"/>
      <c r="BW667" s="1690"/>
      <c r="BX667" s="1690"/>
      <c r="BY667" s="1690"/>
      <c r="BZ667" s="1690"/>
      <c r="CA667" s="1690"/>
      <c r="CB667" s="1690"/>
      <c r="CC667" s="1690"/>
      <c r="CD667" s="1690"/>
      <c r="CE667" s="1516"/>
      <c r="CF667" s="1516"/>
      <c r="CG667" s="1516"/>
      <c r="CH667" s="1516"/>
      <c r="CI667" s="1516"/>
      <c r="CJ667" s="1516"/>
      <c r="CK667" s="1516"/>
      <c r="CL667" s="1516"/>
      <c r="CM667" s="1516"/>
      <c r="CN667" s="1516"/>
      <c r="CO667" s="1516"/>
      <c r="CP667" s="1516"/>
      <c r="CQ667" s="1516"/>
      <c r="CR667" s="1516"/>
      <c r="CS667" s="1516"/>
      <c r="CT667" s="1516"/>
      <c r="CU667" s="1516"/>
      <c r="CV667" s="1516"/>
      <c r="CW667" s="1516"/>
      <c r="CX667" s="1516"/>
      <c r="CY667" s="1516"/>
      <c r="CZ667" s="1516"/>
      <c r="DA667" s="1516"/>
      <c r="DB667" s="1516"/>
      <c r="DC667" s="1516"/>
      <c r="DD667" s="1516"/>
      <c r="DE667" s="1516"/>
      <c r="DF667" s="1516"/>
      <c r="DG667" s="1516"/>
      <c r="DH667" s="1516"/>
      <c r="DI667" s="1516"/>
      <c r="DJ667" s="1516"/>
      <c r="DK667" s="1516"/>
      <c r="DL667" s="1516"/>
      <c r="DM667" s="1516"/>
      <c r="DN667" s="1516"/>
      <c r="DO667" s="1516"/>
      <c r="DP667" s="1516"/>
      <c r="DQ667" s="1516"/>
      <c r="DR667" s="1516"/>
      <c r="DS667" s="1516"/>
      <c r="DT667" s="1516"/>
      <c r="DU667" s="1516"/>
      <c r="DV667" s="1516"/>
      <c r="DW667" s="1516"/>
      <c r="DX667" s="1516"/>
      <c r="DY667" s="1516"/>
      <c r="DZ667" s="1516"/>
      <c r="EA667" s="1516"/>
      <c r="EB667" s="1516"/>
      <c r="EC667" s="1516"/>
      <c r="ED667" s="1516"/>
      <c r="EE667" s="1516"/>
      <c r="EF667" s="1516"/>
      <c r="EG667" s="1516"/>
      <c r="EH667" s="1516"/>
      <c r="EI667" s="1516"/>
      <c r="EJ667" s="1516"/>
      <c r="EK667" s="1516"/>
      <c r="EL667" s="1516"/>
      <c r="EM667" s="1516"/>
      <c r="EN667" s="1516"/>
      <c r="EO667" s="1516"/>
      <c r="EP667" s="1516"/>
      <c r="EQ667" s="1516"/>
      <c r="ER667" s="1516"/>
      <c r="ES667" s="1516"/>
      <c r="ET667" s="1516"/>
      <c r="EU667" s="1516"/>
      <c r="EV667" s="1516"/>
      <c r="EW667" s="1512"/>
      <c r="EX667" s="1512"/>
      <c r="EY667" s="1512"/>
      <c r="EZ667" s="1512"/>
      <c r="FA667" s="1512"/>
      <c r="FB667" s="1512"/>
      <c r="FC667" s="1512"/>
      <c r="FD667" s="1512"/>
      <c r="FE667" s="1512"/>
      <c r="FF667" s="1512"/>
      <c r="FG667" s="1512"/>
      <c r="FH667" s="1512"/>
      <c r="FI667" s="1512"/>
      <c r="FJ667" s="1512"/>
      <c r="FK667" s="1512"/>
      <c r="FL667" s="1512"/>
      <c r="FM667" s="1512"/>
      <c r="FN667" s="1512"/>
      <c r="FO667" s="1512"/>
      <c r="FP667" s="1512"/>
      <c r="FQ667" s="1512"/>
      <c r="FR667" s="1512"/>
      <c r="FS667" s="1512"/>
      <c r="FT667" s="1512"/>
      <c r="FU667" s="1512"/>
      <c r="FV667" s="1512"/>
      <c r="FW667" s="1512"/>
      <c r="FX667" s="1512"/>
      <c r="FY667" s="1512"/>
      <c r="FZ667" s="1512"/>
      <c r="GA667" s="1512"/>
      <c r="GB667" s="1512"/>
      <c r="GC667" s="1512"/>
      <c r="GD667" s="1512"/>
      <c r="GE667" s="1512"/>
      <c r="GF667" s="1512"/>
      <c r="GG667" s="1512"/>
      <c r="GH667" s="1512"/>
      <c r="GI667" s="1512"/>
      <c r="GJ667" s="1512"/>
      <c r="GK667" s="1512"/>
      <c r="GL667" s="1512"/>
      <c r="GM667" s="1512"/>
      <c r="GN667" s="1512"/>
      <c r="GO667" s="1512"/>
      <c r="GP667" s="1512"/>
      <c r="GQ667" s="1512"/>
      <c r="GR667" s="1512"/>
      <c r="GS667" s="1512"/>
      <c r="GT667" s="1512"/>
      <c r="GU667" s="1512"/>
      <c r="GV667" s="1512"/>
      <c r="GW667" s="1512"/>
      <c r="GX667" s="1512"/>
      <c r="GY667" s="1512"/>
      <c r="GZ667" s="1512"/>
      <c r="HA667" s="1512"/>
      <c r="HB667" s="1512"/>
      <c r="HC667" s="1512"/>
      <c r="HD667" s="1512"/>
      <c r="HE667" s="1512"/>
      <c r="HF667" s="1512"/>
      <c r="HG667" s="1512"/>
      <c r="HH667" s="1512"/>
      <c r="HI667" s="1512"/>
      <c r="HJ667" s="1512"/>
      <c r="HK667" s="1512"/>
      <c r="HL667" s="1512"/>
      <c r="HM667" s="1512"/>
      <c r="HN667" s="1512"/>
      <c r="HO667" s="1512"/>
      <c r="HP667" s="1512"/>
      <c r="HQ667" s="1512"/>
      <c r="HR667" s="1512"/>
      <c r="HS667" s="1512"/>
      <c r="ID667" s="1516"/>
      <c r="IE667" s="1516"/>
      <c r="IF667" s="1516"/>
      <c r="IG667" s="1516"/>
      <c r="IH667" s="1516"/>
      <c r="II667" s="1516"/>
      <c r="IJ667" s="1516"/>
      <c r="IK667" s="1516"/>
      <c r="IL667" s="1516"/>
      <c r="IM667" s="1516"/>
      <c r="IN667" s="1516"/>
      <c r="IO667" s="1516"/>
      <c r="IP667" s="1516"/>
      <c r="IQ667" s="1516"/>
      <c r="IR667" s="1516"/>
      <c r="IS667" s="1516"/>
      <c r="IT667" s="1516"/>
      <c r="IU667" s="1516"/>
      <c r="IV667" s="1516"/>
      <c r="IW667" s="1516"/>
      <c r="IX667" s="1516"/>
      <c r="IY667" s="1516"/>
      <c r="IZ667" s="1516"/>
      <c r="JA667" s="1516"/>
      <c r="JB667" s="1516"/>
      <c r="JC667" s="1516"/>
      <c r="JD667" s="1516"/>
      <c r="JE667" s="1516"/>
      <c r="JF667" s="1516"/>
      <c r="JG667" s="1516"/>
      <c r="JH667" s="1517"/>
      <c r="JI667" s="1517"/>
      <c r="JJ667" s="1517"/>
      <c r="JK667" s="1517"/>
      <c r="JL667" s="1517"/>
      <c r="JM667" s="1516"/>
      <c r="JN667" s="1516"/>
      <c r="JO667" s="1516"/>
      <c r="JP667" s="1516"/>
      <c r="JQ667" s="1516"/>
    </row>
    <row r="668" spans="1:277" s="518" customFormat="1" ht="11.25" customHeight="1">
      <c r="A668" s="1691"/>
      <c r="B668" s="521"/>
      <c r="D668" s="521"/>
      <c r="G668" s="1692" t="s">
        <v>4454</v>
      </c>
      <c r="H668" s="1694"/>
      <c r="J668" s="1692" t="s">
        <v>4459</v>
      </c>
      <c r="P668" s="1688"/>
      <c r="Q668" s="1689"/>
      <c r="R668" s="1517"/>
      <c r="S668" s="1697"/>
      <c r="T668" s="1698" t="s">
        <v>2815</v>
      </c>
      <c r="U668" s="1517"/>
      <c r="W668" s="1690"/>
      <c r="X668" s="1690"/>
      <c r="Y668" s="1690"/>
      <c r="Z668" s="1690"/>
      <c r="AA668" s="1690"/>
      <c r="AB668" s="1690"/>
      <c r="AC668" s="1690"/>
      <c r="AD668" s="1690"/>
      <c r="AE668" s="1690"/>
      <c r="AF668" s="1690"/>
      <c r="AG668" s="1690"/>
      <c r="AH668" s="1690"/>
      <c r="AI668" s="1690"/>
      <c r="AJ668" s="1690"/>
      <c r="AK668" s="1690"/>
      <c r="AL668" s="1690"/>
      <c r="AM668" s="1690"/>
      <c r="AN668" s="1690"/>
      <c r="AO668" s="1690"/>
      <c r="AP668" s="1690"/>
      <c r="AQ668" s="1690"/>
      <c r="AR668" s="1690"/>
      <c r="AS668" s="1690"/>
      <c r="AT668" s="1690"/>
      <c r="AU668" s="1690"/>
      <c r="AV668" s="1690"/>
      <c r="AW668" s="1690"/>
      <c r="AX668" s="1690"/>
      <c r="AY668" s="1690"/>
      <c r="AZ668" s="1690"/>
      <c r="BA668" s="1690"/>
      <c r="BB668" s="1690"/>
      <c r="BC668" s="1690"/>
      <c r="BD668" s="1690"/>
      <c r="BE668" s="1690"/>
      <c r="BF668" s="1690"/>
      <c r="BG668" s="1690"/>
      <c r="BH668" s="1690"/>
      <c r="BI668" s="1690"/>
      <c r="BJ668" s="1690"/>
      <c r="BK668" s="1690"/>
      <c r="BL668" s="1690"/>
      <c r="BM668" s="1690"/>
      <c r="BN668" s="1690"/>
      <c r="BO668" s="1690"/>
      <c r="BP668" s="1690"/>
      <c r="BQ668" s="1690"/>
      <c r="BR668" s="1690"/>
      <c r="BS668" s="1690"/>
      <c r="BT668" s="1690"/>
      <c r="BU668" s="1690"/>
      <c r="BV668" s="1690"/>
      <c r="BW668" s="1690"/>
      <c r="BX668" s="1690"/>
      <c r="BY668" s="1690"/>
      <c r="BZ668" s="1690"/>
      <c r="CA668" s="1690"/>
      <c r="CB668" s="1690"/>
      <c r="CC668" s="1690"/>
      <c r="CD668" s="1690"/>
      <c r="CE668" s="1516"/>
      <c r="CF668" s="1516"/>
      <c r="CG668" s="1516"/>
      <c r="CH668" s="1516"/>
      <c r="CI668" s="1516"/>
      <c r="CJ668" s="1516"/>
      <c r="CK668" s="1516"/>
      <c r="CL668" s="1516"/>
      <c r="CM668" s="1516"/>
      <c r="CN668" s="1516"/>
      <c r="CO668" s="1516"/>
      <c r="CP668" s="1516"/>
      <c r="CQ668" s="1516"/>
      <c r="CR668" s="1516"/>
      <c r="CS668" s="1516"/>
      <c r="CT668" s="1516"/>
      <c r="CU668" s="1516"/>
      <c r="CV668" s="1516"/>
      <c r="CW668" s="1516"/>
      <c r="CX668" s="1516"/>
      <c r="CY668" s="1516"/>
      <c r="CZ668" s="1516"/>
      <c r="DA668" s="1516"/>
      <c r="DB668" s="1516"/>
      <c r="DC668" s="1516"/>
      <c r="DD668" s="1516"/>
      <c r="DE668" s="1516"/>
      <c r="DF668" s="1516"/>
      <c r="DG668" s="1516"/>
      <c r="DH668" s="1516"/>
      <c r="DI668" s="1516"/>
      <c r="DJ668" s="1516"/>
      <c r="DK668" s="1516"/>
      <c r="DL668" s="1516"/>
      <c r="DM668" s="1516"/>
      <c r="DN668" s="1516"/>
      <c r="DO668" s="1516"/>
      <c r="DP668" s="1516"/>
      <c r="DQ668" s="1516"/>
      <c r="DR668" s="1516"/>
      <c r="DS668" s="1516"/>
      <c r="DT668" s="1516"/>
      <c r="DU668" s="1516"/>
      <c r="DV668" s="1516"/>
      <c r="DW668" s="1516"/>
      <c r="DX668" s="1516"/>
      <c r="DY668" s="1516"/>
      <c r="DZ668" s="1516"/>
      <c r="EA668" s="1516"/>
      <c r="EB668" s="1516"/>
      <c r="EC668" s="1516"/>
      <c r="ED668" s="1516"/>
      <c r="EE668" s="1516"/>
      <c r="EF668" s="1516"/>
      <c r="EG668" s="1516"/>
      <c r="EH668" s="1516"/>
      <c r="EI668" s="1516"/>
      <c r="EJ668" s="1516"/>
      <c r="EK668" s="1516"/>
      <c r="EL668" s="1516"/>
      <c r="EM668" s="1516"/>
      <c r="EN668" s="1516"/>
      <c r="EO668" s="1516"/>
      <c r="EP668" s="1516"/>
      <c r="EQ668" s="1516"/>
      <c r="ER668" s="1516"/>
      <c r="ES668" s="1516"/>
      <c r="ET668" s="1516"/>
      <c r="EU668" s="1516"/>
      <c r="EV668" s="1516"/>
      <c r="EW668" s="1512"/>
      <c r="EX668" s="1512"/>
      <c r="EY668" s="1512"/>
      <c r="EZ668" s="1512"/>
      <c r="FA668" s="1512"/>
      <c r="FB668" s="1512"/>
      <c r="FC668" s="1512"/>
      <c r="FD668" s="1512"/>
      <c r="FE668" s="1512"/>
      <c r="FF668" s="1512"/>
      <c r="FG668" s="1512"/>
      <c r="FH668" s="1512"/>
      <c r="FI668" s="1512"/>
      <c r="FJ668" s="1512"/>
      <c r="FK668" s="1512"/>
      <c r="FL668" s="1512"/>
      <c r="FM668" s="1512"/>
      <c r="FN668" s="1512"/>
      <c r="FO668" s="1512"/>
      <c r="FP668" s="1512"/>
      <c r="FQ668" s="1512"/>
      <c r="FR668" s="1512"/>
      <c r="FS668" s="1512"/>
      <c r="FT668" s="1512"/>
      <c r="FU668" s="1512"/>
      <c r="FV668" s="1518"/>
      <c r="FW668" s="1518"/>
      <c r="FX668" s="1518"/>
      <c r="FY668" s="1518"/>
      <c r="FZ668" s="1518"/>
      <c r="GA668" s="1518"/>
      <c r="GB668" s="1518"/>
      <c r="GC668" s="1518"/>
      <c r="GD668" s="1518"/>
      <c r="GE668" s="1518"/>
      <c r="GF668" s="1518"/>
      <c r="GG668" s="1518"/>
      <c r="GH668" s="1518"/>
      <c r="GI668" s="1518"/>
      <c r="GJ668" s="1518"/>
      <c r="GK668" s="1518"/>
      <c r="GL668" s="1518"/>
      <c r="GM668" s="1518"/>
      <c r="GN668" s="1518"/>
      <c r="GO668" s="1518"/>
      <c r="GP668" s="1518"/>
      <c r="GQ668" s="1518"/>
      <c r="GR668" s="1518"/>
      <c r="GS668" s="1518"/>
      <c r="GT668" s="1518"/>
      <c r="GU668" s="1518"/>
      <c r="GV668" s="1518"/>
      <c r="GW668" s="1518"/>
      <c r="GX668" s="1518"/>
      <c r="GY668" s="1518"/>
      <c r="GZ668" s="1518"/>
      <c r="HA668" s="1518"/>
      <c r="HB668" s="1518"/>
      <c r="HC668" s="1518"/>
      <c r="HD668" s="1518"/>
      <c r="HE668" s="1518"/>
      <c r="HF668" s="1518"/>
      <c r="HG668" s="1518"/>
      <c r="HH668" s="1518"/>
      <c r="HI668" s="1518"/>
      <c r="HJ668" s="1518"/>
      <c r="HK668" s="1518"/>
      <c r="HL668" s="1518"/>
      <c r="HM668" s="1518"/>
      <c r="HN668" s="1518"/>
      <c r="HO668" s="1518"/>
      <c r="HP668" s="1518"/>
      <c r="HQ668" s="1518"/>
      <c r="HR668" s="1518"/>
      <c r="HS668" s="1518"/>
      <c r="HT668" s="1518"/>
      <c r="HU668" s="1518"/>
      <c r="HV668" s="1518"/>
      <c r="HW668" s="1518"/>
      <c r="HX668" s="1518"/>
      <c r="HY668" s="1518"/>
      <c r="HZ668" s="1518"/>
      <c r="IA668" s="1518"/>
      <c r="IB668" s="1518"/>
      <c r="IC668" s="1518"/>
      <c r="ID668" s="1516"/>
      <c r="IE668" s="1516"/>
      <c r="IF668" s="1516"/>
      <c r="IG668" s="1516"/>
      <c r="IH668" s="1516"/>
      <c r="II668" s="1516"/>
      <c r="IJ668" s="1516"/>
      <c r="IK668" s="1516"/>
      <c r="IL668" s="1516"/>
      <c r="IM668" s="1516"/>
      <c r="IN668" s="1516"/>
      <c r="IO668" s="1516"/>
      <c r="IP668" s="1516"/>
      <c r="IQ668" s="1516"/>
      <c r="IR668" s="1516"/>
      <c r="IS668" s="1516"/>
      <c r="IT668" s="1516"/>
      <c r="IU668" s="1516"/>
      <c r="IV668" s="1516"/>
      <c r="IW668" s="1516"/>
      <c r="IX668" s="1516"/>
      <c r="IY668" s="1516"/>
      <c r="IZ668" s="1516"/>
      <c r="JA668" s="1516"/>
      <c r="JB668" s="1516"/>
      <c r="JC668" s="1516"/>
      <c r="JD668" s="1516"/>
      <c r="JE668" s="1516"/>
      <c r="JF668" s="1516"/>
      <c r="JG668" s="1516"/>
      <c r="JH668" s="1517"/>
      <c r="JI668" s="1517"/>
      <c r="JJ668" s="1517"/>
      <c r="JK668" s="1517"/>
      <c r="JL668" s="1517"/>
      <c r="JM668" s="1516"/>
      <c r="JN668" s="1516"/>
      <c r="JO668" s="1516"/>
      <c r="JP668" s="1516"/>
      <c r="JQ668" s="1516"/>
    </row>
    <row r="669" spans="1:277" s="1514" customFormat="1" ht="11.25" customHeight="1">
      <c r="A669" s="1691"/>
      <c r="B669" s="1699" t="s">
        <v>1544</v>
      </c>
      <c r="C669" s="1692" t="s">
        <v>178</v>
      </c>
      <c r="D669" s="1692" t="s">
        <v>570</v>
      </c>
      <c r="E669" s="1692" t="s">
        <v>1542</v>
      </c>
      <c r="F669" s="1692" t="s">
        <v>1542</v>
      </c>
      <c r="G669" s="1692" t="s">
        <v>1544</v>
      </c>
      <c r="H669" s="1692" t="s">
        <v>4454</v>
      </c>
      <c r="I669" s="1692" t="s">
        <v>837</v>
      </c>
      <c r="J669" s="1692" t="s">
        <v>4576</v>
      </c>
      <c r="K669" s="1700" t="s">
        <v>147</v>
      </c>
      <c r="L669" s="1700"/>
      <c r="M669" s="1692" t="s">
        <v>2461</v>
      </c>
      <c r="N669" s="1692" t="s">
        <v>557</v>
      </c>
      <c r="O669" s="1692" t="s">
        <v>398</v>
      </c>
      <c r="P669" s="1688"/>
      <c r="Q669" s="1700" t="s">
        <v>4102</v>
      </c>
      <c r="R669" s="1700"/>
      <c r="S669" s="1692" t="s">
        <v>2814</v>
      </c>
      <c r="T669" s="1692" t="s">
        <v>2816</v>
      </c>
      <c r="U669" s="1692"/>
      <c r="W669" s="1690"/>
      <c r="X669" s="1690"/>
      <c r="Y669" s="1690"/>
      <c r="Z669" s="1690"/>
      <c r="AA669" s="1690"/>
      <c r="AB669" s="1690"/>
      <c r="AC669" s="1690"/>
      <c r="AD669" s="1690"/>
      <c r="AE669" s="1690"/>
      <c r="AF669" s="1690"/>
      <c r="AG669" s="1690"/>
      <c r="AH669" s="1690"/>
      <c r="AI669" s="1690"/>
      <c r="AJ669" s="1690"/>
      <c r="AK669" s="1690"/>
      <c r="AL669" s="1690"/>
      <c r="AM669" s="1690"/>
      <c r="AN669" s="1690"/>
      <c r="AO669" s="1690"/>
      <c r="AP669" s="1690"/>
      <c r="AQ669" s="1690"/>
      <c r="AR669" s="1690"/>
      <c r="AS669" s="1690"/>
      <c r="AT669" s="1690"/>
      <c r="AU669" s="1690"/>
      <c r="AV669" s="1690"/>
      <c r="AW669" s="1690"/>
      <c r="AX669" s="1690"/>
      <c r="AY669" s="1690"/>
      <c r="AZ669" s="1690"/>
      <c r="BA669" s="1690"/>
      <c r="BB669" s="1690"/>
      <c r="BC669" s="1690"/>
      <c r="BD669" s="1690"/>
      <c r="BE669" s="1690"/>
      <c r="BF669" s="1690"/>
      <c r="BG669" s="1690"/>
      <c r="BH669" s="1690"/>
      <c r="BI669" s="1690"/>
      <c r="BJ669" s="1690"/>
      <c r="BK669" s="1690"/>
      <c r="BL669" s="1690"/>
      <c r="BM669" s="1690"/>
      <c r="BN669" s="1690"/>
      <c r="BO669" s="1690"/>
      <c r="BP669" s="1690"/>
      <c r="BQ669" s="1690"/>
      <c r="BR669" s="1690"/>
      <c r="BS669" s="1690"/>
      <c r="BT669" s="1690"/>
      <c r="BU669" s="1690"/>
      <c r="BV669" s="1690"/>
      <c r="BW669" s="1690"/>
      <c r="BX669" s="1690"/>
      <c r="BY669" s="1690"/>
      <c r="BZ669" s="1690"/>
      <c r="CA669" s="1690"/>
      <c r="CB669" s="1690"/>
      <c r="CC669" s="1690"/>
      <c r="CD669" s="1690"/>
      <c r="CE669" s="1516"/>
      <c r="CF669" s="1516"/>
      <c r="CG669" s="1516"/>
      <c r="CH669" s="1516"/>
      <c r="CI669" s="1516"/>
      <c r="CJ669" s="1516"/>
      <c r="CK669" s="1516"/>
      <c r="CL669" s="1516"/>
      <c r="CM669" s="1516"/>
      <c r="CN669" s="1516"/>
      <c r="CO669" s="1516"/>
      <c r="CP669" s="1516"/>
      <c r="CQ669" s="1516"/>
      <c r="CR669" s="1516"/>
      <c r="CS669" s="1516"/>
      <c r="CT669" s="1516"/>
      <c r="CU669" s="1516"/>
      <c r="CV669" s="1516"/>
      <c r="CW669" s="1516"/>
      <c r="CX669" s="1516"/>
      <c r="CY669" s="1516"/>
      <c r="CZ669" s="1516"/>
      <c r="DA669" s="1516"/>
      <c r="DB669" s="1516"/>
      <c r="DC669" s="1516"/>
      <c r="DD669" s="1516"/>
      <c r="DE669" s="1516"/>
      <c r="DF669" s="1516"/>
      <c r="DG669" s="1516"/>
      <c r="DH669" s="1516"/>
      <c r="DI669" s="1516"/>
      <c r="DJ669" s="1516"/>
      <c r="DK669" s="1516"/>
      <c r="DL669" s="1516"/>
      <c r="DM669" s="1516"/>
      <c r="DN669" s="1516"/>
      <c r="DO669" s="1516"/>
      <c r="DP669" s="1516"/>
      <c r="DQ669" s="1516"/>
      <c r="DR669" s="1516"/>
      <c r="DS669" s="1516"/>
      <c r="DT669" s="1516"/>
      <c r="DU669" s="1516"/>
      <c r="DV669" s="1516"/>
      <c r="DW669" s="1516"/>
      <c r="DX669" s="1516"/>
      <c r="DY669" s="1516"/>
      <c r="DZ669" s="1516"/>
      <c r="EA669" s="1516"/>
      <c r="EB669" s="1516"/>
      <c r="EC669" s="1516"/>
      <c r="ED669" s="1516"/>
      <c r="EE669" s="1516"/>
      <c r="EF669" s="1516"/>
      <c r="EG669" s="1516"/>
      <c r="EH669" s="1516"/>
      <c r="EI669" s="1516"/>
      <c r="EJ669" s="1516"/>
      <c r="EK669" s="1516"/>
      <c r="EL669" s="1516"/>
      <c r="EM669" s="1516"/>
      <c r="EN669" s="1516"/>
      <c r="EO669" s="1516"/>
      <c r="EP669" s="1516"/>
      <c r="EQ669" s="1516"/>
      <c r="ER669" s="1516"/>
      <c r="ES669" s="1516"/>
      <c r="ET669" s="1516"/>
      <c r="EU669" s="1516"/>
      <c r="EV669" s="1516"/>
      <c r="EW669" s="1516" t="s">
        <v>1526</v>
      </c>
      <c r="EX669" s="1518" t="s">
        <v>2537</v>
      </c>
      <c r="EY669" s="1518" t="s">
        <v>2538</v>
      </c>
      <c r="EZ669" s="1518" t="s">
        <v>2539</v>
      </c>
      <c r="FA669" s="1518" t="s">
        <v>2540</v>
      </c>
      <c r="FB669" s="1516" t="s">
        <v>2595</v>
      </c>
      <c r="FC669" s="1516" t="s">
        <v>2595</v>
      </c>
      <c r="FD669" s="1516" t="s">
        <v>2595</v>
      </c>
      <c r="FE669" s="1516" t="s">
        <v>2595</v>
      </c>
      <c r="FF669" s="1516" t="s">
        <v>2595</v>
      </c>
      <c r="FG669" s="1516" t="s">
        <v>3698</v>
      </c>
      <c r="FH669" s="1516" t="s">
        <v>3698</v>
      </c>
      <c r="FI669" s="1516" t="s">
        <v>3698</v>
      </c>
      <c r="FJ669" s="1516" t="s">
        <v>3698</v>
      </c>
      <c r="FK669" s="1516" t="s">
        <v>3698</v>
      </c>
      <c r="FL669" s="1518" t="s">
        <v>593</v>
      </c>
      <c r="FM669" s="1518" t="s">
        <v>2537</v>
      </c>
      <c r="FN669" s="1518" t="s">
        <v>2538</v>
      </c>
      <c r="FO669" s="1518" t="s">
        <v>2539</v>
      </c>
      <c r="FP669" s="1518" t="s">
        <v>2540</v>
      </c>
      <c r="FQ669" s="1518" t="s">
        <v>593</v>
      </c>
      <c r="FR669" s="1518" t="s">
        <v>2537</v>
      </c>
      <c r="FS669" s="1518" t="s">
        <v>2538</v>
      </c>
      <c r="FT669" s="1518" t="s">
        <v>2539</v>
      </c>
      <c r="FU669" s="1518" t="s">
        <v>2540</v>
      </c>
      <c r="FV669" s="1516" t="s">
        <v>2597</v>
      </c>
      <c r="FW669" s="1516" t="s">
        <v>2597</v>
      </c>
      <c r="FX669" s="1516" t="s">
        <v>2597</v>
      </c>
      <c r="FY669" s="1516" t="s">
        <v>2597</v>
      </c>
      <c r="FZ669" s="1516" t="s">
        <v>2597</v>
      </c>
      <c r="GA669" s="1516" t="s">
        <v>3694</v>
      </c>
      <c r="GB669" s="1516" t="s">
        <v>3694</v>
      </c>
      <c r="GC669" s="1516" t="s">
        <v>3694</v>
      </c>
      <c r="GD669" s="1516" t="s">
        <v>3694</v>
      </c>
      <c r="GE669" s="1516" t="s">
        <v>3694</v>
      </c>
      <c r="GF669" s="1516" t="s">
        <v>373</v>
      </c>
      <c r="GG669" s="1516" t="s">
        <v>373</v>
      </c>
      <c r="GH669" s="1516" t="s">
        <v>373</v>
      </c>
      <c r="GI669" s="1516" t="s">
        <v>373</v>
      </c>
      <c r="GJ669" s="1516" t="s">
        <v>373</v>
      </c>
      <c r="GK669" s="1516" t="s">
        <v>3693</v>
      </c>
      <c r="GL669" s="1516" t="s">
        <v>3693</v>
      </c>
      <c r="GM669" s="1516" t="s">
        <v>3693</v>
      </c>
      <c r="GN669" s="1516" t="s">
        <v>3693</v>
      </c>
      <c r="GO669" s="1516" t="s">
        <v>3693</v>
      </c>
      <c r="GP669" s="1516" t="s">
        <v>374</v>
      </c>
      <c r="GQ669" s="1516" t="s">
        <v>374</v>
      </c>
      <c r="GR669" s="1516" t="s">
        <v>374</v>
      </c>
      <c r="GS669" s="1516" t="s">
        <v>374</v>
      </c>
      <c r="GT669" s="1516" t="s">
        <v>374</v>
      </c>
      <c r="GU669" s="1516" t="s">
        <v>3692</v>
      </c>
      <c r="GV669" s="1516" t="s">
        <v>3692</v>
      </c>
      <c r="GW669" s="1516" t="s">
        <v>3692</v>
      </c>
      <c r="GX669" s="1516" t="s">
        <v>3692</v>
      </c>
      <c r="GY669" s="1516" t="s">
        <v>3692</v>
      </c>
      <c r="GZ669" s="1516" t="s">
        <v>375</v>
      </c>
      <c r="HA669" s="1516" t="s">
        <v>375</v>
      </c>
      <c r="HB669" s="1516" t="s">
        <v>375</v>
      </c>
      <c r="HC669" s="1516" t="s">
        <v>375</v>
      </c>
      <c r="HD669" s="1516" t="s">
        <v>375</v>
      </c>
      <c r="HE669" s="1516" t="s">
        <v>3695</v>
      </c>
      <c r="HF669" s="1516" t="s">
        <v>3695</v>
      </c>
      <c r="HG669" s="1516" t="s">
        <v>3695</v>
      </c>
      <c r="HH669" s="1516" t="s">
        <v>3695</v>
      </c>
      <c r="HI669" s="1516" t="s">
        <v>3695</v>
      </c>
      <c r="HJ669" s="1516" t="s">
        <v>376</v>
      </c>
      <c r="HK669" s="1516" t="s">
        <v>376</v>
      </c>
      <c r="HL669" s="1516" t="s">
        <v>376</v>
      </c>
      <c r="HM669" s="1516" t="s">
        <v>376</v>
      </c>
      <c r="HN669" s="1516" t="s">
        <v>376</v>
      </c>
      <c r="HO669" s="1516" t="s">
        <v>3696</v>
      </c>
      <c r="HP669" s="1516" t="s">
        <v>3696</v>
      </c>
      <c r="HQ669" s="1516" t="s">
        <v>3696</v>
      </c>
      <c r="HR669" s="1516" t="s">
        <v>3696</v>
      </c>
      <c r="HS669" s="1516" t="s">
        <v>3696</v>
      </c>
      <c r="HT669" s="1516" t="s">
        <v>1525</v>
      </c>
      <c r="HU669" s="1516" t="s">
        <v>1525</v>
      </c>
      <c r="HV669" s="1516" t="s">
        <v>1525</v>
      </c>
      <c r="HW669" s="1516" t="s">
        <v>1525</v>
      </c>
      <c r="HX669" s="1516" t="s">
        <v>1525</v>
      </c>
      <c r="HY669" s="1516" t="s">
        <v>3697</v>
      </c>
      <c r="HZ669" s="1516" t="s">
        <v>3697</v>
      </c>
      <c r="IA669" s="1516" t="s">
        <v>3697</v>
      </c>
      <c r="IB669" s="1516" t="s">
        <v>3697</v>
      </c>
      <c r="IC669" s="1516" t="s">
        <v>3697</v>
      </c>
      <c r="ID669" s="1516"/>
      <c r="IE669" s="1516"/>
      <c r="IF669" s="1516"/>
      <c r="IG669" s="1516"/>
      <c r="IH669" s="1516"/>
      <c r="II669" s="1516"/>
      <c r="IJ669" s="1516"/>
      <c r="IK669" s="1516"/>
      <c r="IL669" s="1516"/>
      <c r="IM669" s="1516"/>
      <c r="IN669" s="1516"/>
      <c r="IO669" s="1516"/>
      <c r="IP669" s="1516"/>
      <c r="IQ669" s="1516"/>
      <c r="IR669" s="1516"/>
      <c r="IS669" s="1516"/>
      <c r="IT669" s="1516"/>
      <c r="IU669" s="1516"/>
      <c r="IV669" s="1516"/>
      <c r="IW669" s="1516"/>
      <c r="IX669" s="1516"/>
      <c r="IY669" s="1516"/>
      <c r="IZ669" s="1516"/>
      <c r="JA669" s="1516"/>
      <c r="JB669" s="1516"/>
      <c r="JC669" s="1516"/>
      <c r="JD669" s="1516"/>
      <c r="JE669" s="1516"/>
      <c r="JF669" s="1516"/>
      <c r="JG669" s="1516"/>
      <c r="JH669" s="1517"/>
      <c r="JI669" s="1517"/>
      <c r="JJ669" s="1517"/>
      <c r="JK669" s="1517"/>
      <c r="JL669" s="1517"/>
      <c r="JM669" s="1516"/>
      <c r="JN669" s="1516"/>
      <c r="JO669" s="1516"/>
      <c r="JP669" s="1516"/>
      <c r="JQ669" s="1516"/>
    </row>
    <row r="670" spans="1:277" s="1514" customFormat="1" ht="11.25" customHeight="1">
      <c r="A670" s="1691"/>
      <c r="B670" s="1699" t="s">
        <v>1352</v>
      </c>
      <c r="C670" s="1692" t="s">
        <v>177</v>
      </c>
      <c r="D670" s="1692" t="s">
        <v>179</v>
      </c>
      <c r="E670" s="1692" t="s">
        <v>1543</v>
      </c>
      <c r="F670" s="1692" t="s">
        <v>1333</v>
      </c>
      <c r="G670" s="1692" t="s">
        <v>4455</v>
      </c>
      <c r="H670" s="1692" t="s">
        <v>1544</v>
      </c>
      <c r="I670" s="1692" t="s">
        <v>838</v>
      </c>
      <c r="J670" s="1701" t="s">
        <v>364</v>
      </c>
      <c r="K670" s="1692" t="s">
        <v>1596</v>
      </c>
      <c r="L670" s="1692" t="s">
        <v>564</v>
      </c>
      <c r="M670" s="1692" t="s">
        <v>1542</v>
      </c>
      <c r="N670" s="1692" t="s">
        <v>3642</v>
      </c>
      <c r="O670" s="1692" t="s">
        <v>399</v>
      </c>
      <c r="P670" s="1688"/>
      <c r="Q670" s="1692" t="s">
        <v>4103</v>
      </c>
      <c r="R670" s="1692" t="s">
        <v>1084</v>
      </c>
      <c r="S670" s="1692" t="s">
        <v>1544</v>
      </c>
      <c r="T670" s="1692" t="s">
        <v>2817</v>
      </c>
      <c r="U670" s="1684" t="s">
        <v>1925</v>
      </c>
      <c r="V670" s="1684"/>
      <c r="W670" s="1690"/>
      <c r="X670" s="1690"/>
      <c r="Y670" s="1690"/>
      <c r="Z670" s="1690"/>
      <c r="AA670" s="1690"/>
      <c r="AB670" s="1690"/>
      <c r="AC670" s="1690"/>
      <c r="AD670" s="1690"/>
      <c r="AE670" s="1690"/>
      <c r="AF670" s="1690"/>
      <c r="AG670" s="1690"/>
      <c r="AH670" s="1690"/>
      <c r="AI670" s="1690"/>
      <c r="AJ670" s="1690"/>
      <c r="AK670" s="1690"/>
      <c r="AL670" s="1690"/>
      <c r="AM670" s="1690"/>
      <c r="AN670" s="1690"/>
      <c r="AO670" s="1690"/>
      <c r="AP670" s="1690"/>
      <c r="AQ670" s="1690"/>
      <c r="AR670" s="1690"/>
      <c r="AS670" s="1690"/>
      <c r="AT670" s="1690"/>
      <c r="AU670" s="1690"/>
      <c r="AV670" s="1690"/>
      <c r="AW670" s="1690"/>
      <c r="AX670" s="1690"/>
      <c r="AY670" s="1690"/>
      <c r="AZ670" s="1690"/>
      <c r="BA670" s="1690"/>
      <c r="BB670" s="1690"/>
      <c r="BC670" s="1690"/>
      <c r="BD670" s="1690"/>
      <c r="BE670" s="1690"/>
      <c r="BF670" s="1690"/>
      <c r="BG670" s="1690"/>
      <c r="BH670" s="1690"/>
      <c r="BI670" s="1690"/>
      <c r="BJ670" s="1690"/>
      <c r="BK670" s="1690"/>
      <c r="BL670" s="1690"/>
      <c r="BM670" s="1690"/>
      <c r="BN670" s="1690"/>
      <c r="BO670" s="1690"/>
      <c r="BP670" s="1690"/>
      <c r="BQ670" s="1690"/>
      <c r="BR670" s="1690"/>
      <c r="BS670" s="1690"/>
      <c r="BT670" s="1690"/>
      <c r="BU670" s="1690"/>
      <c r="BV670" s="1690"/>
      <c r="BW670" s="1690"/>
      <c r="BX670" s="1690"/>
      <c r="BY670" s="1690"/>
      <c r="BZ670" s="1690"/>
      <c r="CA670" s="1690"/>
      <c r="CB670" s="1690"/>
      <c r="CC670" s="1690"/>
      <c r="CD670" s="1690"/>
      <c r="CE670" s="1516"/>
      <c r="CF670" s="1516"/>
      <c r="CG670" s="1516"/>
      <c r="CH670" s="1516"/>
      <c r="CI670" s="1516"/>
      <c r="CJ670" s="1516"/>
      <c r="CK670" s="1516"/>
      <c r="CL670" s="1516"/>
      <c r="CM670" s="1516"/>
      <c r="CN670" s="1516"/>
      <c r="CO670" s="1516"/>
      <c r="CP670" s="1516"/>
      <c r="CQ670" s="1516"/>
      <c r="CR670" s="1516"/>
      <c r="CS670" s="1516"/>
      <c r="CT670" s="1516"/>
      <c r="CU670" s="1516"/>
      <c r="CV670" s="1516"/>
      <c r="CW670" s="1516"/>
      <c r="CX670" s="1516"/>
      <c r="CY670" s="1516"/>
      <c r="CZ670" s="1516"/>
      <c r="DA670" s="1516"/>
      <c r="DB670" s="1516"/>
      <c r="DC670" s="1516"/>
      <c r="DD670" s="1516"/>
      <c r="DE670" s="1516"/>
      <c r="DF670" s="1516"/>
      <c r="DG670" s="1516"/>
      <c r="DH670" s="1516"/>
      <c r="DI670" s="1516"/>
      <c r="DJ670" s="1516"/>
      <c r="DK670" s="1516"/>
      <c r="DL670" s="1516"/>
      <c r="DM670" s="1516"/>
      <c r="DN670" s="1516"/>
      <c r="DO670" s="1516"/>
      <c r="DP670" s="1516"/>
      <c r="DQ670" s="1516"/>
      <c r="DR670" s="1516"/>
      <c r="DS670" s="1516"/>
      <c r="DT670" s="1516"/>
      <c r="DU670" s="1516"/>
      <c r="DV670" s="1516"/>
      <c r="DW670" s="1516"/>
      <c r="DX670" s="1516"/>
      <c r="DY670" s="1516"/>
      <c r="DZ670" s="1516"/>
      <c r="EA670" s="1516"/>
      <c r="EB670" s="1516"/>
      <c r="EC670" s="1516"/>
      <c r="ED670" s="1516"/>
      <c r="EE670" s="1516"/>
      <c r="EF670" s="1516"/>
      <c r="EG670" s="1516"/>
      <c r="EH670" s="1516"/>
      <c r="EI670" s="1516"/>
      <c r="EJ670" s="1516"/>
      <c r="EK670" s="1516"/>
      <c r="EL670" s="1516"/>
      <c r="EM670" s="1516"/>
      <c r="EN670" s="1516"/>
      <c r="EO670" s="1516"/>
      <c r="EP670" s="1516"/>
      <c r="EQ670" s="1516"/>
      <c r="ER670" s="1516"/>
      <c r="ES670" s="1516"/>
      <c r="ET670" s="1516"/>
      <c r="EU670" s="1516"/>
      <c r="EV670" s="1516"/>
      <c r="EW670" s="1516"/>
      <c r="EX670" s="1518" t="s">
        <v>2594</v>
      </c>
      <c r="EY670" s="1518" t="s">
        <v>2594</v>
      </c>
      <c r="EZ670" s="1518" t="s">
        <v>2594</v>
      </c>
      <c r="FA670" s="1518" t="s">
        <v>2594</v>
      </c>
      <c r="FB670" s="1516"/>
      <c r="FC670" s="1516"/>
      <c r="FD670" s="1516"/>
      <c r="FE670" s="1516"/>
      <c r="FF670" s="1516"/>
      <c r="FG670" s="1516"/>
      <c r="FH670" s="1516"/>
      <c r="FI670" s="1516"/>
      <c r="FJ670" s="1516"/>
      <c r="FK670" s="1516"/>
      <c r="FL670" s="1518" t="s">
        <v>2596</v>
      </c>
      <c r="FM670" s="1518" t="s">
        <v>2596</v>
      </c>
      <c r="FN670" s="1518" t="s">
        <v>2596</v>
      </c>
      <c r="FO670" s="1518" t="s">
        <v>2596</v>
      </c>
      <c r="FP670" s="1518" t="s">
        <v>2596</v>
      </c>
      <c r="FQ670" s="1518" t="s">
        <v>3699</v>
      </c>
      <c r="FR670" s="1518" t="s">
        <v>3699</v>
      </c>
      <c r="FS670" s="1518" t="s">
        <v>3699</v>
      </c>
      <c r="FT670" s="1518" t="s">
        <v>3699</v>
      </c>
      <c r="FU670" s="1518" t="s">
        <v>3699</v>
      </c>
      <c r="FV670" s="1516"/>
      <c r="FW670" s="1516"/>
      <c r="FX670" s="1516"/>
      <c r="FY670" s="1516"/>
      <c r="FZ670" s="1516"/>
      <c r="GA670" s="1516"/>
      <c r="GB670" s="1516"/>
      <c r="GC670" s="1516"/>
      <c r="GD670" s="1516"/>
      <c r="GE670" s="1516"/>
      <c r="GF670" s="1516"/>
      <c r="GG670" s="1516"/>
      <c r="GH670" s="1516"/>
      <c r="GI670" s="1516"/>
      <c r="GJ670" s="1516"/>
      <c r="GK670" s="1516"/>
      <c r="GL670" s="1516"/>
      <c r="GM670" s="1516"/>
      <c r="GN670" s="1516"/>
      <c r="GO670" s="1516"/>
      <c r="GP670" s="1516"/>
      <c r="GQ670" s="1516"/>
      <c r="GR670" s="1516"/>
      <c r="GS670" s="1516"/>
      <c r="GT670" s="1516"/>
      <c r="GU670" s="1516"/>
      <c r="GV670" s="1516"/>
      <c r="GW670" s="1516"/>
      <c r="GX670" s="1516"/>
      <c r="GY670" s="1516"/>
      <c r="GZ670" s="1516"/>
      <c r="HA670" s="1516"/>
      <c r="HB670" s="1516"/>
      <c r="HC670" s="1516"/>
      <c r="HD670" s="1516"/>
      <c r="HE670" s="1516"/>
      <c r="HF670" s="1516"/>
      <c r="HG670" s="1516"/>
      <c r="HH670" s="1516"/>
      <c r="HI670" s="1516"/>
      <c r="HJ670" s="1516"/>
      <c r="HK670" s="1516"/>
      <c r="HL670" s="1516"/>
      <c r="HM670" s="1516"/>
      <c r="HN670" s="1516"/>
      <c r="HO670" s="1516"/>
      <c r="HP670" s="1516"/>
      <c r="HQ670" s="1516"/>
      <c r="HR670" s="1516"/>
      <c r="HS670" s="1516"/>
      <c r="HT670" s="1516"/>
      <c r="HU670" s="1516"/>
      <c r="HV670" s="1516"/>
      <c r="HW670" s="1516"/>
      <c r="HX670" s="1516"/>
      <c r="HY670" s="1516"/>
      <c r="HZ670" s="1516"/>
      <c r="IA670" s="1516"/>
      <c r="IB670" s="1516"/>
      <c r="IC670" s="1516"/>
      <c r="ID670" s="1516"/>
      <c r="IE670" s="1516"/>
      <c r="IF670" s="1516"/>
      <c r="IG670" s="1516"/>
      <c r="IH670" s="1516"/>
      <c r="II670" s="1516"/>
      <c r="IJ670" s="1516"/>
      <c r="IK670" s="1516"/>
      <c r="IL670" s="1516"/>
      <c r="IM670" s="1516"/>
      <c r="IN670" s="1516"/>
      <c r="IO670" s="1516"/>
      <c r="IP670" s="1516"/>
      <c r="IQ670" s="1516"/>
      <c r="IR670" s="1516"/>
      <c r="IS670" s="1516"/>
      <c r="IT670" s="1516"/>
      <c r="IU670" s="1516"/>
      <c r="IV670" s="1516"/>
      <c r="IW670" s="1516"/>
      <c r="IX670" s="1516"/>
      <c r="IY670" s="1516"/>
      <c r="IZ670" s="1516"/>
      <c r="JA670" s="1516"/>
      <c r="JB670" s="1516"/>
      <c r="JC670" s="1516"/>
      <c r="JD670" s="1516"/>
      <c r="JE670" s="1516"/>
      <c r="JF670" s="1516"/>
      <c r="JG670" s="1516"/>
      <c r="JH670" s="1517"/>
      <c r="JI670" s="1517"/>
      <c r="JJ670" s="1517"/>
      <c r="JK670" s="1517"/>
      <c r="JL670" s="1517"/>
      <c r="JM670" s="1516"/>
      <c r="JN670" s="1516"/>
      <c r="JO670" s="1516"/>
      <c r="JP670" s="1516"/>
      <c r="JQ670" s="1516"/>
    </row>
    <row r="671" spans="1:277" ht="12" customHeight="1">
      <c r="A671" s="1687" t="str">
        <f t="shared" ref="A671:A708" si="1">IF(AND(E671&gt;0,OR(B671="",C671="",D671="",F671="",G671="", H671="",M671="",N671="",O671="",P671="")),1,"")</f>
        <v/>
      </c>
      <c r="B671" s="1702" t="str">
        <f>'Part VI-Revenues &amp; Expenses'!B10</f>
        <v>60% AMI</v>
      </c>
      <c r="C671" s="1703">
        <f>'Part VI-Revenues &amp; Expenses'!C10</f>
        <v>1</v>
      </c>
      <c r="D671" s="1704">
        <f>'Part VI-Revenues &amp; Expenses'!D10</f>
        <v>1</v>
      </c>
      <c r="E671" s="1705">
        <f>'Part VI-Revenues &amp; Expenses'!E10</f>
        <v>16</v>
      </c>
      <c r="F671" s="1705">
        <f>'Part VI-Revenues &amp; Expenses'!F10</f>
        <v>750</v>
      </c>
      <c r="G671" s="1705">
        <f>'Part VI-Revenues &amp; Expenses'!G10</f>
        <v>759</v>
      </c>
      <c r="H671" s="1705">
        <f>'Part VI-Revenues &amp; Expenses'!H10</f>
        <v>768</v>
      </c>
      <c r="I671" s="1705">
        <f>'Part VI-Revenues &amp; Expenses'!I10</f>
        <v>56</v>
      </c>
      <c r="J671" s="1706" t="str">
        <f>'Part VI-Revenues &amp; Expenses'!J10</f>
        <v>PHA PBRA</v>
      </c>
      <c r="K671" s="1707">
        <f t="shared" ref="K671:K708" si="2">MAX(0,H671-I671)</f>
        <v>712</v>
      </c>
      <c r="L671" s="1707">
        <f t="shared" ref="L671:L708" si="3">MAX(0,E671*K671)</f>
        <v>11392</v>
      </c>
      <c r="M671" s="1708" t="str">
        <f>'Part VI-Revenues &amp; Expenses'!M10</f>
        <v>No</v>
      </c>
      <c r="N671" s="1708" t="str">
        <f>'Part VI-Revenues &amp; Expenses'!N10</f>
        <v>3+ Story</v>
      </c>
      <c r="O671" s="1708" t="str">
        <f>'Part VI-Revenues &amp; Expenses'!O10</f>
        <v>New Construction</v>
      </c>
      <c r="P671" s="1515" t="str">
        <f>'Part VI-Revenues &amp; Expenses'!P10</f>
        <v>No</v>
      </c>
      <c r="Q671" s="1709">
        <f>'Part VI-Revenues &amp; Expenses'!Q10</f>
        <v>30720</v>
      </c>
      <c r="R671" s="1710">
        <f>'Part VI-Revenues &amp; Expenses'!R10</f>
        <v>0.59970717423133235</v>
      </c>
      <c r="S671" s="1709">
        <f>'Part VI-Revenues &amp; Expenses'!S10</f>
        <v>0</v>
      </c>
      <c r="T671" s="1710">
        <f>'Part VI-Revenues &amp; Expenses'!T10</f>
        <v>0</v>
      </c>
      <c r="U671" s="1629">
        <f>'Part VI-Revenues &amp; Expenses'!U10</f>
        <v>0</v>
      </c>
      <c r="V671" s="1629"/>
      <c r="W671" s="1271" t="str">
        <f t="shared" ref="W671:W708" si="4">IF(AND(C671="Efficiency",B671="60% AMI",NOT(M671="Common Space")),E671,"")</f>
        <v/>
      </c>
      <c r="X671" s="1271">
        <f t="shared" ref="X671:X708" si="5">IF(AND(C671=1,B671="60% AMI",NOT(M671="Common Space")),E671,"")</f>
        <v>16</v>
      </c>
      <c r="Y671" s="1271" t="str">
        <f t="shared" ref="Y671:Y708" si="6">IF(AND(C671=2,B671="60% AMI",NOT(M671="Common Space")),E671,"")</f>
        <v/>
      </c>
      <c r="Z671" s="1271" t="str">
        <f t="shared" ref="Z671:Z708" si="7">IF(AND(C671=3,B671="60% AMI",NOT(M671="Common Space")),E671,"")</f>
        <v/>
      </c>
      <c r="AA671" s="1271" t="str">
        <f t="shared" ref="AA671:AA708" si="8">IF(AND(C671=4,B671="60% AMI",NOT(M671="Common Space")),E671,"")</f>
        <v/>
      </c>
      <c r="AB671" s="1271" t="str">
        <f t="shared" ref="AB671:AB708" si="9">IF(AND(C671="Efficiency",B671="50% AMI",NOT(M671="Common Space")),E671,"")</f>
        <v/>
      </c>
      <c r="AC671" s="1271" t="str">
        <f t="shared" ref="AC671:AC708" si="10">IF(AND(C671=1,B671="50% AMI",NOT(M671="Common Space")),E671,"")</f>
        <v/>
      </c>
      <c r="AD671" s="1271" t="str">
        <f t="shared" ref="AD671:AD708" si="11">IF(AND(C671=2,B671="50% AMI",NOT(M671="Common Space")),E671,"")</f>
        <v/>
      </c>
      <c r="AE671" s="1271" t="str">
        <f t="shared" ref="AE671:AE708" si="12">IF(AND(C671=3,B671="50% AMI",NOT(M671="Common Space")),E671,"")</f>
        <v/>
      </c>
      <c r="AF671" s="1271" t="str">
        <f t="shared" ref="AF671:AF708" si="13">IF(AND(C671=4,B671="50% AMI",NOT(M671="Common Space")),E671,"")</f>
        <v/>
      </c>
      <c r="AG671" s="1271" t="str">
        <f t="shared" ref="AG671:AG708" si="14">IF(AND(C671="Efficiency",B671="30% AMI",NOT(M671="Common Space")),E671,"")</f>
        <v/>
      </c>
      <c r="AH671" s="1271" t="str">
        <f t="shared" ref="AH671:AH708" si="15">IF(AND(C671=1,B671="30% AMI",NOT(M671="Common Space")),E671,"")</f>
        <v/>
      </c>
      <c r="AI671" s="1271" t="str">
        <f t="shared" ref="AI671:AI708" si="16">IF(AND(C671=2,B671="30% AMI",NOT(M671="Common Space")),E671,"")</f>
        <v/>
      </c>
      <c r="AJ671" s="1271" t="str">
        <f t="shared" ref="AJ671:AJ708" si="17">IF(AND(C671=3,B671="30% AMI",NOT(M671="Common Space")),E671,"")</f>
        <v/>
      </c>
      <c r="AK671" s="1271" t="str">
        <f t="shared" ref="AK671:AK708" si="18">IF(AND(C671=4,B671="30% AMI",NOT(M671="Common Space")),E671,"")</f>
        <v/>
      </c>
      <c r="AL671" s="1271" t="str">
        <f t="shared" ref="AL671:AL708" si="19">IF(AND(C671="Efficiency",B671="Unrestricted",NOT(M671="Common Space")),E671,"")</f>
        <v/>
      </c>
      <c r="AM671" s="1271" t="str">
        <f t="shared" ref="AM671:AM708" si="20">IF(AND(C671=1,B671="Unrestricted",NOT(M671="Common Space")),E671,"")</f>
        <v/>
      </c>
      <c r="AN671" s="1271" t="str">
        <f t="shared" ref="AN671:AN708" si="21">IF(AND(C671=2,B671="Unrestricted",NOT(M671="Common Space")),E671,"")</f>
        <v/>
      </c>
      <c r="AO671" s="1271" t="str">
        <f t="shared" ref="AO671:AO708" si="22">IF(AND(C671=3,B671="Unrestricted",NOT(M671="Common Space")),E671,"")</f>
        <v/>
      </c>
      <c r="AP671" s="1271" t="str">
        <f t="shared" ref="AP671:AP708" si="23">IF(AND(C671=4,B671="Unrestricted",NOT(M671="Common Space")),E671,"")</f>
        <v/>
      </c>
      <c r="AQ671" s="1271" t="str">
        <f t="shared" ref="AQ671:AQ708" si="24">IF(OR(AND($C671="Efficiency",NOT($J671=""),NOT($J671="PHA Oper Sub"),$B671="30% AMI",NOT($M671="Common Space")),AND($C671="Efficiency",NOT($J671=""),NOT($J671="PHA Oper Sub"),$B671="HOME 30% AMI",NOT($M671="Common Space"))),$E671,"")</f>
        <v/>
      </c>
      <c r="AR671" s="1271" t="str">
        <f t="shared" ref="AR671:AR708" si="25">IF(OR(AND($C671=1,NOT($J671=""),NOT($J671="PHA Oper Sub"),$B671="30% AMI",NOT($M671="Common Space")),AND($C671=1,NOT($J671=""),NOT($J671="PHA Oper Sub"),$B671="HOME 30% AMI",NOT($M671="Common Space"))),$E671,"")</f>
        <v/>
      </c>
      <c r="AS671" s="1271" t="str">
        <f t="shared" ref="AS671:AS708" si="26">IF(OR(AND($C671=2,NOT($J671=""),NOT($J671="PHA Oper Sub"),$B671="30% AMI",NOT($M671="Common Space")),AND($C671=2,NOT($J671=""),NOT($J671="PHA Oper Sub"),$B671="HOME 30% AMI",NOT($M671="Common Space"))),$E671,"")</f>
        <v/>
      </c>
      <c r="AT671" s="1271" t="str">
        <f t="shared" ref="AT671:AT708" si="27">IF(OR(AND($C671=3,NOT($J671=""),NOT($J671="PHA Oper Sub"),$B671="30% AMI",NOT($M671="Common Space")),AND($C671=3,NOT($J671=""),NOT($J671="PHA Oper Sub"),$B671="HOME 30% AMI",NOT($M671="Common Space"))),$E671,"")</f>
        <v/>
      </c>
      <c r="AU671" s="1271" t="str">
        <f t="shared" ref="AU671:AU708" si="28">IF(OR(AND($C671=4,NOT($J671=""),NOT($J671="PHA Oper Sub"),$B671="30% AMI",NOT($M671="Common Space")),AND($C671=4,NOT($J671=""),NOT($J671="PHA Oper Sub"),$B671="HOME 30% AMI",NOT($M671="Common Space"))),$E671,"")</f>
        <v/>
      </c>
      <c r="AV671" s="1271" t="str">
        <f t="shared" ref="AV671:AV708" si="29">IF(OR(AND($C671="Efficiency",NOT($J671=""),NOT($J671="PHA Oper Sub"),NOT($J671=0),$B671="50% AMI",NOT($M671="Common Space")),AND($C671="Efficiency",NOT($J671=""),NOT($J671=0),NOT($J671="PHA Oper Sub"),$B671="HOME 50% AMI",NOT($M671="Common Space"))),$E671,"")</f>
        <v/>
      </c>
      <c r="AW671" s="1271" t="str">
        <f t="shared" ref="AW671:AW708" si="30">IF(OR(AND($C671=1,NOT($J671=""),NOT($J671=0),NOT($J671="PHA Oper Sub"),$B671="50% AMI",NOT($M671="Common Space")),AND($C671=1,NOT($J671=""),NOT($J671=0),NOT($J671="PHA Oper Sub"),$B671="HOME 50% AMI",NOT($M671="Common Space"))),$E671,"")</f>
        <v/>
      </c>
      <c r="AX671" s="1271" t="str">
        <f t="shared" ref="AX671:AX708" si="31">IF(OR(AND($C671=2,NOT($J671=""),NOT($J671=0),NOT($J671="PHA Oper Sub"),$B671="50% AMI",NOT($M671="Common Space")),AND($C671=2,NOT($J671=""),NOT($J671=0),NOT($J671="PHA Oper Sub"),$B671="HOME 50% AMI",NOT($M671="Common Space"))),$E671,"")</f>
        <v/>
      </c>
      <c r="AY671" s="1271" t="str">
        <f t="shared" ref="AY671:AY708" si="32">IF(OR(AND($C671=3,NOT($J671=""),NOT($J671=0),NOT($J671="PHA Oper Sub"),$B671="50% AMI",NOT($M671="Common Space")),AND($C671=3,NOT($J671=""),NOT($J671=0),NOT($J671="PHA Oper Sub"),$B671="HOME 50% AMI",NOT($M671="Common Space"))),$E671,"")</f>
        <v/>
      </c>
      <c r="AZ671" s="1271" t="str">
        <f t="shared" ref="AZ671:AZ708" si="33">IF(OR(AND($C671=4,NOT($J671=""),NOT($J671=0),NOT($J671="PHA Oper Sub"),$B671="50% AMI",NOT($M671="Common Space")),AND($C671=4,NOT($J671=""),NOT($J671=0),NOT($J671="PHA Oper Sub"),$B671="HOME 50% AMI",NOT($M671="Common Space"))),$E671,"")</f>
        <v/>
      </c>
      <c r="BA671" s="1271" t="str">
        <f t="shared" ref="BA671:BA708" si="34">IF(OR(AND($C671="Efficiency",NOT($J671=""),NOT($J671=0),NOT($J671="PHA Oper Sub"),$B671="60% AMI",NOT($M671="Common Space")),AND($C671="Efficiency",NOT($J671=""),NOT($J671=0),NOT($J671="PHA Oper Sub"),$B671="HOME 60% AMI",NOT($M671="Common Space"))),$E671,"")</f>
        <v/>
      </c>
      <c r="BB671" s="1271">
        <f t="shared" ref="BB671:BB708" si="35">IF(OR(AND($C671=1,NOT($J671=""),NOT($J671=0),NOT($J671="PHA Oper Sub"),$B671="60% AMI",NOT($M671="Common Space")),AND($C671=1,NOT($J671=""),NOT($J671=0),NOT($J671="PHA Oper Sub"),$B671="HOME 60% AMI",NOT($M671="Common Space"))),$E671,"")</f>
        <v>16</v>
      </c>
      <c r="BC671" s="1271" t="str">
        <f t="shared" ref="BC671:BC708" si="36">IF(OR(AND($C671=2,NOT($J671=""),NOT($J671=0),NOT($J671="PHA Oper Sub"),$B671="60% AMI",NOT($M671="Common Space")),AND($C671=2,NOT($J671=""),NOT($J671=0),NOT($J671="PHA Oper Sub"),$B671="HOME 60% AMI",NOT($M671="Common Space"))),$E671,"")</f>
        <v/>
      </c>
      <c r="BD671" s="1271" t="str">
        <f t="shared" ref="BD671:BD708" si="37">IF(OR(AND($C671=3,NOT($J671=""),NOT($J671=0),NOT($J671="PHA Oper Sub"),$B671="60% AMI",NOT($M671="Common Space")),AND($C671=3,NOT($J671=""),NOT($J671=0),NOT($J671="PHA Oper Sub"),$B671="HOME 60% AMI",NOT($M671="Common Space"))),$E671,"")</f>
        <v/>
      </c>
      <c r="BE671" s="1271" t="str">
        <f t="shared" ref="BE671:BE708" si="38">IF(OR(AND($C671=4,NOT($J671=""),NOT($J671=0),NOT($J671="PHA Oper Sub"),$B671="60% AMI",NOT($M671="Common Space")),AND($C671=4,NOT($J671=""),NOT($J671=0),NOT($J671="PHA Oper Sub"),$B671="HOME 60% AMI",NOT($M671="Common Space"))),$E671,"")</f>
        <v/>
      </c>
      <c r="BF671" s="1271" t="str">
        <f t="shared" ref="BF671:BF708" si="39">IF(OR(AND($C671="Efficiency",$J671="PHA Oper Sub",$B671="30% AMI",NOT($M671="Common Space")),AND($C671="Efficiency",$J671="PHA Oper Sub",$B671="HOME 30% AMI",NOT($M671="Common Space"))),$E671,"")</f>
        <v/>
      </c>
      <c r="BG671" s="1271" t="str">
        <f t="shared" ref="BG671:BG708" si="40">IF(OR(AND($C671=1,$J671="PHA Oper Sub",$B671="30% AMI",NOT($M671="Common Space")),AND($C671=1,$J671="PHA Oper Sub",$B671="HOME 30% AMI",NOT($M671="Common Space"))),$E671,"")</f>
        <v/>
      </c>
      <c r="BH671" s="1271" t="str">
        <f t="shared" ref="BH671:BH708" si="41">IF(OR(AND($C671=2,$J671="PHA Oper Sub",$B671="30% AMI",NOT($M671="Common Space")),AND($C671=2,$J671="PHA Oper Sub",$B671="HOME 30% AMI",NOT($M671="Common Space"))),$E671,"")</f>
        <v/>
      </c>
      <c r="BI671" s="1271" t="str">
        <f t="shared" ref="BI671:BI708" si="42">IF(OR(AND($C671=3,$J671="PHA Oper Sub",$B671="30% AMI",NOT($M671="Common Space")),AND($C671=3,$J671="PHA Oper Sub",$B671="HOME 30% AMI",NOT($M671="Common Space"))),$E671,"")</f>
        <v/>
      </c>
      <c r="BJ671" s="1271" t="str">
        <f t="shared" ref="BJ671:BJ708" si="43">IF(OR(AND($C671=4,$J671="PHA Oper Sub",$B671="30% AMI",NOT($M671="Common Space")),AND($C671=4,$J671="PHA Oper Sub",$B671="HOME 30% AMI",NOT($M671="Common Space"))),$E671,"")</f>
        <v/>
      </c>
      <c r="BK671" s="1271" t="str">
        <f t="shared" ref="BK671:BK708" si="44">IF(OR(AND($C671="Efficiency",$J671="PHA Oper Sub",$B671="50% AMI",NOT($M671="Common Space")),AND($C671="Efficiency",$J671="PHA Oper Sub",$B671="HOME 50% AMI",NOT($M671="Common Space"))),$E671,"")</f>
        <v/>
      </c>
      <c r="BL671" s="1271" t="str">
        <f t="shared" ref="BL671:BL708" si="45">IF(OR(AND($C671=1,$J671="PHA Oper Sub",$B671="50% AMI",NOT($M671="Common Space")),AND($C671=1,$J671="PHA Oper Sub",$B671="HOME 50% AMI",NOT($M671="Common Space"))),$E671,"")</f>
        <v/>
      </c>
      <c r="BM671" s="1271" t="str">
        <f t="shared" ref="BM671:BM708" si="46">IF(OR(AND($C671=2,$J671="PHA Oper Sub",$B671="50% AMI",NOT($M671="Common Space")),AND($C671=2,$J671="PHA Oper Sub",$B671="HOME 50% AMI",NOT($M671="Common Space"))),$E671,"")</f>
        <v/>
      </c>
      <c r="BN671" s="1271" t="str">
        <f t="shared" ref="BN671:BN708" si="47">IF(OR(AND($C671=3,$J671="PHA Oper Sub",$B671="50% AMI",NOT($M671="Common Space")),AND($C671=3,$J671="PHA Oper Sub",$B671="HOME 50% AMI",NOT($M671="Common Space"))),$E671,"")</f>
        <v/>
      </c>
      <c r="BO671" s="1271" t="str">
        <f t="shared" ref="BO671:BO708" si="48">IF(OR(AND($C671=4,$J671="PHA Oper Sub",$B671="50% AMI",NOT($M671="Common Space")),AND($C671=4,$J671="PHA Oper Sub",$B671="HOME 50% AMI",NOT($M671="Common Space"))),$E671,"")</f>
        <v/>
      </c>
      <c r="BP671" s="1271" t="str">
        <f t="shared" ref="BP671:BP708" si="49">IF(OR(AND($C671="Efficiency",$J671="PHA Oper Sub",$B671="60% AMI",NOT($M671="Common Space")),AND($C671="Efficiency",$J671="PHA Oper Sub",$B671="HOME 60% AMI",NOT($M671="Common Space"))),$E671,"")</f>
        <v/>
      </c>
      <c r="BQ671" s="1271" t="str">
        <f t="shared" ref="BQ671:BQ708" si="50">IF(OR(AND($C671=1,$J671="PHA Oper Sub",$B671="60% AMI",NOT($M671="Common Space")),AND($C671=1,$J671="PHA Oper Sub",$B671="HOME 60% AMI",NOT($M671="Common Space"))),$E671,"")</f>
        <v/>
      </c>
      <c r="BR671" s="1271" t="str">
        <f t="shared" ref="BR671:BR708" si="51">IF(OR(AND($C671=2,$J671="PHA Oper Sub",$B671="60% AMI",NOT($M671="Common Space")),AND($C671=2,$J671="PHA Oper Sub",$B671="HOME 60% AMI",NOT($M671="Common Space"))),$E671,"")</f>
        <v/>
      </c>
      <c r="BS671" s="1271" t="str">
        <f t="shared" ref="BS671:BS708" si="52">IF(OR(AND($C671=3,$J671="PHA Oper Sub",$B671="60% AMI",NOT($M671="Common Space")),AND($C671=3,$J671="PHA Oper Sub",$B671="HOME 60% AMI",NOT($M671="Common Space"))),$E671,"")</f>
        <v/>
      </c>
      <c r="BT671" s="1271" t="str">
        <f t="shared" ref="BT671:BT708" si="53">IF(OR(AND($C671=4,$J671="PHA Oper Sub",$B671="60% AMI",NOT($M671="Common Space")),AND($C671=4,$J671="PHA Oper Sub",$B671="HOME 60% AMI",NOT($M671="Common Space"))),$E671,"")</f>
        <v/>
      </c>
      <c r="BU671" s="1271" t="str">
        <f t="shared" ref="BU671:BU708" si="54">IF(AND(C671="Efficiency",M671="Common Space"),E671,"")</f>
        <v/>
      </c>
      <c r="BV671" s="1271" t="str">
        <f t="shared" ref="BV671:BV708" si="55">IF(AND(C671=1,M671="Common Space"),E671,"")</f>
        <v/>
      </c>
      <c r="BW671" s="1271" t="str">
        <f t="shared" ref="BW671:BW708" si="56">IF(AND(C671=2,M671="Common Space"),E671,"")</f>
        <v/>
      </c>
      <c r="BX671" s="1271" t="str">
        <f t="shared" ref="BX671:BX708" si="57">IF(AND(C671=3,M671="Common Space"),E671,"")</f>
        <v/>
      </c>
      <c r="BY671" s="1271" t="str">
        <f t="shared" ref="BY671:BY708" si="58">IF(AND(C671=4,M671="Common Space"),E671,"")</f>
        <v/>
      </c>
      <c r="BZ671" s="1271" t="str">
        <f t="shared" ref="BZ671:BZ708" si="59">IF(OR(AND(C671="Efficiency",B671="60% AMI",NOT(M671="Common Space")),AND(C671="Efficiency",B671="HOME 60% AMI",NOT(M671="Common Space"))),E671*F671,"")</f>
        <v/>
      </c>
      <c r="CA671" s="1271">
        <f t="shared" ref="CA671:CA708" si="60">IF(OR(AND(C671=1,B671="60% AMI",NOT(M671="Common Space")),AND(C671=1,B671="HOME 60% AMI",NOT(M671="Common Space"))),E671*F671,"")</f>
        <v>12000</v>
      </c>
      <c r="CB671" s="1271" t="str">
        <f t="shared" ref="CB671:CB708" si="61">IF(OR(AND(C671=2,B671="60% AMI",NOT(M671="Common Space")),AND(C671=2,B671="HOME 60% AMI",NOT(M671="Common Space"))),E671*F671,"")</f>
        <v/>
      </c>
      <c r="CC671" s="1271" t="str">
        <f t="shared" ref="CC671:CC708" si="62">IF(OR(AND(C671=3,B671="60% AMI",NOT(M671="Common Space")),AND(C671=3,B671="HOME 60% AMI",NOT(M671="Common Space"))),E671*F671,"")</f>
        <v/>
      </c>
      <c r="CD671" s="1271" t="str">
        <f t="shared" ref="CD671:CD708" si="63">IF(OR(AND(C671=4,B671="60% AMI",NOT(M671="Common Space")),AND(C671=4,B671="HOME 60% AMI",NOT(M671="Common Space"))),E671*F671,"")</f>
        <v/>
      </c>
      <c r="CE671" s="1271" t="str">
        <f t="shared" ref="CE671:CE708" si="64">IF(OR(AND(C671="Efficiency",B671="50% AMI",NOT(M671="Common Space")),AND(C671="Efficiency",B671="HOME 50% AMI",NOT(M671="Common Space"))),E671*F671,"")</f>
        <v/>
      </c>
      <c r="CF671" s="1271" t="str">
        <f t="shared" ref="CF671:CF708" si="65">IF(OR(AND(C671=1,B671="50% AMI",NOT(M671="Common Space")),AND(C671=1,B671="HOME 50% AMI",NOT(M671="Common Space"))),E671*F671,"")</f>
        <v/>
      </c>
      <c r="CG671" s="1271" t="str">
        <f t="shared" ref="CG671:CG708" si="66">IF(OR(AND(C671=2,B671="50% AMI",NOT(M671="Common Space")),AND(C671=2,B671="HOME 50% AMI",NOT(M671="Common Space"))),E671*F671,"")</f>
        <v/>
      </c>
      <c r="CH671" s="1271" t="str">
        <f t="shared" ref="CH671:CH708" si="67">IF(OR(AND(C671=3,B671="50% AMI",NOT(M671="Common Space")),AND(C671=3,B671="HOME 50% AMI",NOT(M671="Common Space"))),E671*F671,"")</f>
        <v/>
      </c>
      <c r="CI671" s="1271" t="str">
        <f t="shared" ref="CI671:CI708" si="68">IF(OR(AND(C671=4,B671="50% AMI",NOT(M671="Common Space")),AND(C671=4,B671="HOME 50% AMI",NOT(M671="Common Space"))),E671*F671,"")</f>
        <v/>
      </c>
      <c r="CJ671" s="1271" t="str">
        <f t="shared" ref="CJ671:CJ708" si="69">IF(OR(AND(C671="Efficiency",B671="30% AMI",NOT(M671="Common Space")),AND(C671="Efficiency",B671="HOME 30% AMI",NOT(M671="Common Space"))),E671*F671,"")</f>
        <v/>
      </c>
      <c r="CK671" s="1271" t="str">
        <f t="shared" ref="CK671:CK708" si="70">IF(OR(AND(C671=1,B671="30% AMI",NOT(M671="Common Space")),AND(C671=1,B671="HOME 30% AMI",NOT(M671="Common Space"))),E671*F671,"")</f>
        <v/>
      </c>
      <c r="CL671" s="1271" t="str">
        <f t="shared" ref="CL671:CL708" si="71">IF(OR(AND(C671=2,B671="30% AMI",NOT(M671="Common Space")),AND(C671=2,B671="HOME 30% AMI",NOT(M671="Common Space"))),E671*F671,"")</f>
        <v/>
      </c>
      <c r="CM671" s="1271" t="str">
        <f t="shared" ref="CM671:CM708" si="72">IF(OR(AND(C671=3,B671="30% AMI",NOT(M671="Common Space")),AND(C671=3,B671="HOME 30% AMI",NOT(M671="Common Space"))),E671*F671,"")</f>
        <v/>
      </c>
      <c r="CN671" s="1271" t="str">
        <f t="shared" ref="CN671:CN708" si="73">IF(OR(AND(C671=4,B671="30% AMI",NOT(M671="Common Space")),AND(C671=4,B671="HOME 30% AMI",NOT(M671="Common Space"))),E671*F671,"")</f>
        <v/>
      </c>
      <c r="CO671" s="1271" t="str">
        <f t="shared" ref="CO671:CO708" si="74">IF(AND(C671="Efficiency",B671="Unrestricted",NOT(M671="Common Space")),E671*F671,"")</f>
        <v/>
      </c>
      <c r="CP671" s="1271" t="str">
        <f t="shared" ref="CP671:CP708" si="75">IF(AND(C671=1,B671="Unrestricted",NOT(M671="Common Space")),E671*F671,"")</f>
        <v/>
      </c>
      <c r="CQ671" s="1271" t="str">
        <f t="shared" ref="CQ671:CQ708" si="76">IF(AND(C671=2,B671="Unrestricted",NOT(M671="Common Space")),E671*F671,"")</f>
        <v/>
      </c>
      <c r="CR671" s="1271" t="str">
        <f t="shared" ref="CR671:CR708" si="77">IF(AND(C671=3,B671="Unrestricted",NOT(M671="Common Space")),E671*F671,"")</f>
        <v/>
      </c>
      <c r="CS671" s="1271" t="str">
        <f t="shared" ref="CS671:CS708" si="78">IF(AND(C671=4,B671="Unrestricted",NOT(M671="Common Space")),E671*F671,"")</f>
        <v/>
      </c>
      <c r="CT671" s="1271" t="str">
        <f t="shared" ref="CT671:CT708" si="79">IF(AND(C671="Efficiency",NOT(J671=""),NOT($J671=0),NOT(M671="Common Space")),E671*F671,"")</f>
        <v/>
      </c>
      <c r="CU671" s="1271">
        <f t="shared" ref="CU671:CU708" si="80">IF(AND(C671=1,NOT(J671=""),NOT($J671=0),NOT(M671="Common Space")),E671*F671,"")</f>
        <v>12000</v>
      </c>
      <c r="CV671" s="1271" t="str">
        <f t="shared" ref="CV671:CV708" si="81">IF(AND(C671=2,NOT(J671=""),NOT($J671=0),NOT(M671="Common Space")),E671*F671,"")</f>
        <v/>
      </c>
      <c r="CW671" s="1271" t="str">
        <f t="shared" ref="CW671:CW708" si="82">IF(AND(C671=3,NOT(J671=""),NOT($J671=0),NOT(M671="Common Space")),E671*F671,"")</f>
        <v/>
      </c>
      <c r="CX671" s="1271" t="str">
        <f t="shared" ref="CX671:CX708" si="83">IF(AND(C671=4,NOT(J671=""),NOT($J671=0),NOT(M671="Common Space")),E671*F671,"")</f>
        <v/>
      </c>
      <c r="CY671" s="1271" t="str">
        <f t="shared" ref="CY671:CY708" si="84">IF(AND(C671="Efficiency",M671="Common Space"),E671*F671,"")</f>
        <v/>
      </c>
      <c r="CZ671" s="1271" t="str">
        <f t="shared" ref="CZ671:CZ708" si="85">IF(AND(C671=1,M671="Common Space"),E671*F671,"")</f>
        <v/>
      </c>
      <c r="DA671" s="1271" t="str">
        <f t="shared" ref="DA671:DA708" si="86">IF(AND(C671=2,M671="Common Space"),E671*F671,"")</f>
        <v/>
      </c>
      <c r="DB671" s="1271" t="str">
        <f t="shared" ref="DB671:DB708" si="87">IF(AND(C671=3,M671="Common Space"),E671*F671,"")</f>
        <v/>
      </c>
      <c r="DC671" s="1271" t="str">
        <f t="shared" ref="DC671:DC708" si="88">IF(AND(C671=4,M671="Common Space"),E671*F671,"")</f>
        <v/>
      </c>
      <c r="DD671" s="1271" t="str">
        <f t="shared" ref="DD671:DD708" si="89">IF(AND($C671="Efficiency", $O671="New Construction",NOT($B671="Unrestricted"),NOT($B671="NSP 120% AMI"),NOT($B671="N/A-CS"),NOT($M671="Common Space")),$E671,"")</f>
        <v/>
      </c>
      <c r="DE671" s="1271">
        <f t="shared" ref="DE671:DE708" si="90">IF(AND($C671=1, $O671="New Construction",NOT($B671="Unrestricted"),NOT($B671="NSP 120% AMI"),NOT($B671="N/A-CS"),NOT($M671="Common Space")),$E671,"")</f>
        <v>16</v>
      </c>
      <c r="DF671" s="1271" t="str">
        <f t="shared" ref="DF671:DF708" si="91">IF(AND($C671=2, $O671="New Construction",NOT($B671="Unrestricted"),NOT($B671="NSP 120% AMI"),NOT($B671="N/A-CS"),NOT($M671="Common Space")),$E671,"")</f>
        <v/>
      </c>
      <c r="DG671" s="1271" t="str">
        <f t="shared" ref="DG671:DG708" si="92">IF(AND($C671=3, $O671="New Construction",NOT($B671="Unrestricted"),NOT($B671="NSP 120% AMI"),NOT($B671="N/A-CS"),NOT($M671="Common Space")),$E671,"")</f>
        <v/>
      </c>
      <c r="DH671" s="1271" t="str">
        <f t="shared" ref="DH671:DH708" si="93">IF(AND($C671=4, $O671="New Construction",NOT($B671="Unrestricted"),NOT($B671="NSP 120% AMI"),NOT($B671="N/A-CS"),NOT($M671="Common Space")),$E671,"")</f>
        <v/>
      </c>
      <c r="DI671" s="1271" t="str">
        <f t="shared" ref="DI671:DI708" si="94">IF(AND($C671="Efficiency", $O671="New Construction",$B671="Unrestricted",NOT($B671="N/A-CS"),NOT($M671="Common Space")),$E671,"")</f>
        <v/>
      </c>
      <c r="DJ671" s="1271" t="str">
        <f t="shared" ref="DJ671:DJ708" si="95">IF(AND($C671=1, $O671="New Construction",$B671="Unrestricted",NOT($B671="N/A-CS"),NOT($M671="Common Space")),$E671,"")</f>
        <v/>
      </c>
      <c r="DK671" s="1271" t="str">
        <f t="shared" ref="DK671:DK708" si="96">IF(AND($C671=2, $O671="New Construction",$B671="Unrestricted",NOT($B671="N/A-CS"),NOT($M671="Common Space")),$E671,"")</f>
        <v/>
      </c>
      <c r="DL671" s="1271" t="str">
        <f t="shared" ref="DL671:DL708" si="97">IF(AND($C671=3, $O671="New Construction",$B671="Unrestricted",NOT($B671="N/A-CS"),NOT($M671="Common Space")),$E671,"")</f>
        <v/>
      </c>
      <c r="DM671" s="1271" t="str">
        <f t="shared" ref="DM671:DM708" si="98">IF(AND($C671=4, $O671="New Construction",$B671="Unrestricted",NOT($B671="N/A-CS"),NOT($M671="Common Space")),$E671,"")</f>
        <v/>
      </c>
      <c r="DN671" s="1271" t="str">
        <f t="shared" ref="DN671:DN708" si="99">IF(AND($C671="Efficiency", $O671="New Construction",$B671="N/A-CS",$M671="Common Space"),$E671,"")</f>
        <v/>
      </c>
      <c r="DO671" s="1271" t="str">
        <f t="shared" ref="DO671:DO708" si="100">IF(AND($C671=1, $O671="New Construction",$B671="N/A-CS",$M671="Common Space"),$E671,"")</f>
        <v/>
      </c>
      <c r="DP671" s="1271" t="str">
        <f t="shared" ref="DP671:DP708" si="101">IF(AND($C671=2, $O671="New Construction",$B671="N/A-CS",$M671="Common Space"),$E671,"")</f>
        <v/>
      </c>
      <c r="DQ671" s="1271" t="str">
        <f t="shared" ref="DQ671:DQ708" si="102">IF(AND($C671=3, $O671="New Construction",$B671="N/A-CS",$M671="Common Space"),$E671,"")</f>
        <v/>
      </c>
      <c r="DR671" s="1271" t="str">
        <f t="shared" ref="DR671:DR708" si="103">IF(AND($C671=4, $O671="New Construction",$B671="N/A-CS",$M671="Common Space"),$E671,"")</f>
        <v/>
      </c>
      <c r="DS671" s="1271" t="str">
        <f t="shared" ref="DS671:DS708" si="104">IF(AND($C671="Efficiency", $O671="Acquisition/Rehab",NOT($B671="Unrestricted"),NOT($B671="NSP 120% AMI"),NOT($B671="N/A-CS"),NOT($M671="Common Space")),$E671,"")</f>
        <v/>
      </c>
      <c r="DT671" s="1271" t="str">
        <f t="shared" ref="DT671:DT708" si="105">IF(AND($C671=1, $O671="Acquisition/Rehab",NOT($B671="Unrestricted"),NOT($B671="NSP 120% AMI"),NOT($B671="N/A-CS"),NOT($M671="Common Space")),$E671,"")</f>
        <v/>
      </c>
      <c r="DU671" s="1271" t="str">
        <f t="shared" ref="DU671:DU708" si="106">IF(AND($C671=2, $O671="Acquisition/Rehab",NOT($B671="Unrestricted"),NOT($B671="NSP 120% AMI"),NOT($B671="N/A-CS"),NOT($M671="Common Space")),$E671,"")</f>
        <v/>
      </c>
      <c r="DV671" s="1271" t="str">
        <f t="shared" ref="DV671:DV708" si="107">IF(AND($C671=3, $O671="Acquisition/Rehab",NOT($B671="Unrestricted"),NOT($B671="NSP 120% AMI"),NOT($B671="N/A-CS"),NOT($M671="Common Space")),$E671,"")</f>
        <v/>
      </c>
      <c r="DW671" s="1271" t="str">
        <f t="shared" ref="DW671:DW708" si="108">IF(AND($C671=4, $O671="Acquisition/Rehab",NOT($B671="Unrestricted"),NOT($B671="NSP 120% AMI"),NOT($B671="N/A-CS"),NOT($M671="Common Space")),$E671,"")</f>
        <v/>
      </c>
      <c r="DX671" s="1271" t="str">
        <f t="shared" ref="DX671:DX708" si="109">IF(AND($C671="Efficiency", $O671="Acquisition/Rehab",$B671="Unrestricted",NOT($B671="N/A-CS"),NOT($M671="Common Space")),$E671,"")</f>
        <v/>
      </c>
      <c r="DY671" s="1271" t="str">
        <f t="shared" ref="DY671:DY708" si="110">IF(AND($C671=1, $O671="Acquisition/Rehab",$B671="Unrestricted",NOT($B671="N/A-CS"),NOT($M671="Common Space")),$E671,"")</f>
        <v/>
      </c>
      <c r="DZ671" s="1271" t="str">
        <f t="shared" ref="DZ671:DZ708" si="111">IF(AND($C671=2, $O671="Acquisition/Rehab",$B671="Unrestricted",NOT($B671="N/A-CS"),NOT($M671="Common Space")),$E671,"")</f>
        <v/>
      </c>
      <c r="EA671" s="1271" t="str">
        <f t="shared" ref="EA671:EA708" si="112">IF(AND($C671=3, $O671="Acquisition/Rehab",$B671="Unrestricted",NOT($B671="N/A-CS"),NOT($M671="Common Space")),$E671,"")</f>
        <v/>
      </c>
      <c r="EB671" s="1271" t="str">
        <f t="shared" ref="EB671:EB708" si="113">IF(AND($C671=4, $O671="Acquisition/Rehab",$B671="Unrestricted",NOT($B671="N/A-CS"),NOT($M671="Common Space")),$E671,"")</f>
        <v/>
      </c>
      <c r="EC671" s="1271" t="str">
        <f t="shared" ref="EC671:EC708" si="114">IF(AND($C671="Efficiency", $O671="Acquisition/Rehab",$B671="N/A-CS",$M671="Common Space"),$E671,"")</f>
        <v/>
      </c>
      <c r="ED671" s="1271" t="str">
        <f t="shared" ref="ED671:ED708" si="115">IF(AND($C671=1, $O671="Acquisition/Rehab",$B671="N/A-CS",$M671="Common Space"),$E671,"")</f>
        <v/>
      </c>
      <c r="EE671" s="1271" t="str">
        <f t="shared" ref="EE671:EE708" si="116">IF(AND($C671=2, $O671="Acquisition/Rehab",$B671="N/A-CS",$M671="Common Space"),$E671,"")</f>
        <v/>
      </c>
      <c r="EF671" s="1271" t="str">
        <f t="shared" ref="EF671:EF708" si="117">IF(AND($C671=3, $O671="Acquisition/Rehab",$B671="N/A-CS",$M671="Common Space"),$E671,"")</f>
        <v/>
      </c>
      <c r="EG671" s="1271" t="str">
        <f t="shared" ref="EG671:EG708" si="118">IF(AND($C671=4, $O671="Acquisition/Rehab",$B671="N/A-CS",$M671="Common Space"),$E671,"")</f>
        <v/>
      </c>
      <c r="EH671" s="1271" t="str">
        <f t="shared" ref="EH671:EH708" si="119">IF(AND($C671="Efficiency", $O671="Rehabilitation",NOT($B671="Unrestricted"),NOT($B671="NSP 120% AMI"),NOT($B671="N/A-CS"),NOT($M671="Common Space")),$E671,"")</f>
        <v/>
      </c>
      <c r="EI671" s="1271" t="str">
        <f t="shared" ref="EI671:EI708" si="120">IF(AND($C671=1, $O671="Rehabilitation",NOT($B671="Unrestricted"),NOT($B671="NSP 120% AMI"),NOT($B671="N/A-CS"),NOT($M671="Common Space")),$E671,"")</f>
        <v/>
      </c>
      <c r="EJ671" s="1271" t="str">
        <f t="shared" ref="EJ671:EJ708" si="121">IF(AND($C671=2, $O671="Rehabilitation",NOT($B671="Unrestricted"),NOT($B671="NSP 120% AMI"),NOT($B671="N/A-CS"),NOT($M671="Common Space")),$E671,"")</f>
        <v/>
      </c>
      <c r="EK671" s="1271" t="str">
        <f t="shared" ref="EK671:EK708" si="122">IF(AND($C671=3, $O671="Rehabilitation",NOT($B671="Unrestricted"),NOT($B671="NSP 120% AMI"),NOT($B671="N/A-CS"),NOT($M671="Common Space")),$E671,"")</f>
        <v/>
      </c>
      <c r="EL671" s="1271" t="str">
        <f t="shared" ref="EL671:EL708" si="123">IF(AND($C671=4, $O671="Rehabilitation",NOT($B671="Unrestricted"),NOT($B671="NSP 120% AMI"),NOT($B671="N/A-CS"),NOT($M671="Common Space")),$E671,"")</f>
        <v/>
      </c>
      <c r="EM671" s="1271" t="str">
        <f t="shared" ref="EM671:EM708" si="124">IF(AND($C671="Efficiency", $O671="Rehabilitation",$B671="Unrestricted",NOT($B671="N/A-CS"),NOT($M671="Common Space")),$E671,"")</f>
        <v/>
      </c>
      <c r="EN671" s="1271" t="str">
        <f t="shared" ref="EN671:EN708" si="125">IF(AND($C671=1, $O671="Rehabilitation",$B671="Unrestricted",NOT($B671="N/A-CS"),NOT($M671="Common Space")),$E671,"")</f>
        <v/>
      </c>
      <c r="EO671" s="1271" t="str">
        <f t="shared" ref="EO671:EO708" si="126">IF(AND($C671=2, $O671="Rehabilitation",$B671="Unrestricted",NOT($B671="N/A-CS"),NOT($M671="Common Space")),$E671,"")</f>
        <v/>
      </c>
      <c r="EP671" s="1271" t="str">
        <f t="shared" ref="EP671:EP708" si="127">IF(AND($C671=3, $O671="Rehabilitation",$B671="Unrestricted",NOT($B671="N/A-CS"),NOT($M671="Common Space")),$E671,"")</f>
        <v/>
      </c>
      <c r="EQ671" s="1271" t="str">
        <f t="shared" ref="EQ671:EQ708" si="128">IF(AND($C671=4, $O671="Rehabilitation",$B671="Unrestricted",NOT($B671="N/A-CS"),NOT($M671="Common Space")),$E671,"")</f>
        <v/>
      </c>
      <c r="ER671" s="1271" t="str">
        <f t="shared" ref="ER671:ER708" si="129">IF(AND($C671="Efficiency", $O671="Rehabilitation",$B671="N/A-CS",$M671="Common Space"),$E671,"")</f>
        <v/>
      </c>
      <c r="ES671" s="1271" t="str">
        <f t="shared" ref="ES671:ES708" si="130">IF(AND($C671=1, $O671="Rehabilitation",$B671="N/A-CS",$M671="Common Space"),$E671,"")</f>
        <v/>
      </c>
      <c r="ET671" s="1271" t="str">
        <f t="shared" ref="ET671:ET708" si="131">IF(AND($C671=2, $O671="Rehabilitation",$B671="N/A-CS",$M671="Common Space"),$E671,"")</f>
        <v/>
      </c>
      <c r="EU671" s="1271" t="str">
        <f t="shared" ref="EU671:EU708" si="132">IF(AND($C671=3, $O671="Rehabilitation",$B671="N/A-CS",$M671="Common Space"),$E671,"")</f>
        <v/>
      </c>
      <c r="EV671" s="1271" t="str">
        <f t="shared" ref="EV671:EV708" si="133">IF(AND($C671=4, $O671="Rehabilitation",$B671="N/A-CS",$M671="Common Space"),$E671,"")</f>
        <v/>
      </c>
      <c r="EW671" s="1519" t="str">
        <f t="shared" ref="EW671:EW708" si="134">IF(AND($C671="Efficiency", NOT(OR($N671="SF Detached",$N671="Mfd Home",$N671="Duplex",$N671="Townhome"))),$E671,"")</f>
        <v/>
      </c>
      <c r="EX671" s="1519">
        <f t="shared" ref="EX671:EX708" si="135">IF(AND($C671=1, NOT(OR($N671="SF Detached",$N671="Mfd Home",$N671="Duplex",$N671="Townhome"))),$E671,"")</f>
        <v>16</v>
      </c>
      <c r="EY671" s="1519" t="str">
        <f t="shared" ref="EY671:EY708" si="136">IF(AND($C671=2, NOT(OR($N671="SF Detached",$N671="Mfd Home",$N671="Duplex",$N671="Townhome"))),$E671,"")</f>
        <v/>
      </c>
      <c r="EZ671" s="1519" t="str">
        <f t="shared" ref="EZ671:EZ708" si="137">IF(AND($C671=3, NOT(OR($N671="SF Detached",$N671="Mfd Home",$N671="Duplex",$N671="Townhome"))),$E671,"")</f>
        <v/>
      </c>
      <c r="FA671" s="1519" t="str">
        <f t="shared" ref="FA671:FA708" si="138">IF(AND($C671=4, NOT(OR($N671="SF Detached",$N671="Mfd Home",$N671="Duplex",$N671="Townhome"))),$E671,"")</f>
        <v/>
      </c>
      <c r="FB671" s="1519" t="str">
        <f t="shared" ref="FB671:FB708" si="139">IF(AND($C671="Efficiency", $N671="SF Detached",NOT($P671="Yes")),$E671,"")</f>
        <v/>
      </c>
      <c r="FC671" s="1519" t="str">
        <f t="shared" ref="FC671:FC708" si="140">IF(AND($C671=1, $N671="SF Detached",NOT($P671="Yes")),$E671,"")</f>
        <v/>
      </c>
      <c r="FD671" s="1519" t="str">
        <f t="shared" ref="FD671:FD708" si="141">IF(AND($C671=2, $N671="SF Detached",NOT($P671="Yes")),$E671,"")</f>
        <v/>
      </c>
      <c r="FE671" s="1519" t="str">
        <f t="shared" ref="FE671:FE708" si="142">IF(AND($C671=3, $N671="SF Detached",NOT($P671="Yes")),$E671,"")</f>
        <v/>
      </c>
      <c r="FF671" s="1519" t="str">
        <f t="shared" ref="FF671:FF708" si="143">IF(AND($C671=4, $N671="SF Detached",NOT($P671="Yes")),$E671,"")</f>
        <v/>
      </c>
      <c r="FG671" s="1519" t="str">
        <f t="shared" ref="FG671:FG708" si="144">IF(AND($C671="Efficiency", $N671="SF Detached",$P671="Yes"),$E671,"")</f>
        <v/>
      </c>
      <c r="FH671" s="1519" t="str">
        <f t="shared" ref="FH671:FH708" si="145">IF(AND($C671=1, $N671="SF Detached",$P671="Yes"),$E671,"")</f>
        <v/>
      </c>
      <c r="FI671" s="1519" t="str">
        <f t="shared" ref="FI671:FI708" si="146">IF(AND($C671=2, $N671="SF Detached",$P671="Yes"),$E671,"")</f>
        <v/>
      </c>
      <c r="FJ671" s="1519" t="str">
        <f t="shared" ref="FJ671:FJ708" si="147">IF(AND($C671=3, $N671="SF Detached",$P671="Yes"),$E671,"")</f>
        <v/>
      </c>
      <c r="FK671" s="1519" t="str">
        <f t="shared" ref="FK671:FK708" si="148">IF(AND($C671=4, $N671="SF Detached",$P671="Yes"),$E671,"")</f>
        <v/>
      </c>
      <c r="FL671" s="1519" t="str">
        <f t="shared" ref="FL671:FL708" si="149">IF(AND($C671="Efficiency", $N671="Mfd Home",NOT($P671="Yes")),$E671,"")</f>
        <v/>
      </c>
      <c r="FM671" s="1519" t="str">
        <f t="shared" ref="FM671:FM708" si="150">IF(AND($C671=1, $N671="Mfd Home",NOT($P671="Yes")),$E671,"")</f>
        <v/>
      </c>
      <c r="FN671" s="1519" t="str">
        <f t="shared" ref="FN671:FN708" si="151">IF(AND($C671=2, $N671="Mfd Home",NOT($P671="Yes")),$E671,"")</f>
        <v/>
      </c>
      <c r="FO671" s="1519" t="str">
        <f t="shared" ref="FO671:FO708" si="152">IF(AND($C671=3, $N671="Mfd Home",NOT($P671="Yes")),$E671,"")</f>
        <v/>
      </c>
      <c r="FP671" s="1519" t="str">
        <f t="shared" ref="FP671:FP708" si="153">IF(AND($C671=4, $N671="Mfd Home",NOT($P671="Yes")),$E671,"")</f>
        <v/>
      </c>
      <c r="FQ671" s="1519" t="str">
        <f t="shared" ref="FQ671:FQ708" si="154">IF(AND($C671="Efficiency", $N671="Mfd Home",$P671="Yes"),$E671,"")</f>
        <v/>
      </c>
      <c r="FR671" s="1519" t="str">
        <f t="shared" ref="FR671:FR708" si="155">IF(AND($C671=1, $N671="Mfd Home",$P671="Yes"),$E671,"")</f>
        <v/>
      </c>
      <c r="FS671" s="1519" t="str">
        <f t="shared" ref="FS671:FS708" si="156">IF(AND($C671=2, $N671="Mfd Home",$P671="Yes"),$E671,"")</f>
        <v/>
      </c>
      <c r="FT671" s="1519" t="str">
        <f t="shared" ref="FT671:FT708" si="157">IF(AND($C671=3, $N671="Mfd Home",$P671="Yes"),$E671,"")</f>
        <v/>
      </c>
      <c r="FU671" s="1519" t="str">
        <f t="shared" ref="FU671:FU708" si="158">IF(AND($C671=4, $N671="Mfd Home",$P671="Yes"),$E671,"")</f>
        <v/>
      </c>
      <c r="FV671" s="1519" t="str">
        <f t="shared" ref="FV671:FV708" si="159">IF(AND($C671="Efficiency", $N671="Duplex",NOT($P671="Yes")),$E671,"")</f>
        <v/>
      </c>
      <c r="FW671" s="1519" t="str">
        <f t="shared" ref="FW671:FW708" si="160">IF(AND($C671=1, $N671="Duplex",NOT($P671="Yes")),$E671,"")</f>
        <v/>
      </c>
      <c r="FX671" s="1519" t="str">
        <f t="shared" ref="FX671:FX708" si="161">IF(AND($C671=2, $N671="Duplex",NOT($P671="Yes")),$E671,"")</f>
        <v/>
      </c>
      <c r="FY671" s="1519" t="str">
        <f t="shared" ref="FY671:FY708" si="162">IF(AND($C671=3, $N671="Duplex",NOT($P671="Yes")),$E671,"")</f>
        <v/>
      </c>
      <c r="FZ671" s="1519" t="str">
        <f t="shared" ref="FZ671:FZ708" si="163">IF(AND($C671=4, $N671="Duplex",NOT($P671="Yes")),$E671,"")</f>
        <v/>
      </c>
      <c r="GA671" s="1519" t="str">
        <f t="shared" ref="GA671:GA708" si="164">IF(AND($C671="Efficiency", $N671="Duplex",$P671="Yes"),$E671,"")</f>
        <v/>
      </c>
      <c r="GB671" s="1519" t="str">
        <f t="shared" ref="GB671:GB708" si="165">IF(AND($C671=1, $N671="Duplex",$P671="Yes"),$E671,"")</f>
        <v/>
      </c>
      <c r="GC671" s="1519" t="str">
        <f t="shared" ref="GC671:GC708" si="166">IF(AND($C671=2, $N671="Duplex",$P671="Yes"),$E671,"")</f>
        <v/>
      </c>
      <c r="GD671" s="1519" t="str">
        <f t="shared" ref="GD671:GD708" si="167">IF(AND($C671=3, $N671="Duplex",$P671="Yes"),$E671,"")</f>
        <v/>
      </c>
      <c r="GE671" s="1519" t="str">
        <f t="shared" ref="GE671:GE708" si="168">IF(AND($C671=4, $N671="Duplex",$P671="Yes"),$E671,"")</f>
        <v/>
      </c>
      <c r="GF671" s="1519" t="str">
        <f t="shared" ref="GF671:GF708" si="169">IF(AND($C671="Efficiency", $N671="Townhome",NOT($P671="Yes")),$E671,"")</f>
        <v/>
      </c>
      <c r="GG671" s="1519" t="str">
        <f t="shared" ref="GG671:GG708" si="170">IF(AND($C671=1, $N671="Townhome",NOT($P671="Yes")),$E671,"")</f>
        <v/>
      </c>
      <c r="GH671" s="1519" t="str">
        <f t="shared" ref="GH671:GH708" si="171">IF(AND($C671=2, $N671="Townhome",NOT($P671="Yes")),$E671,"")</f>
        <v/>
      </c>
      <c r="GI671" s="1519" t="str">
        <f t="shared" ref="GI671:GI708" si="172">IF(AND($C671=3, $N671="Townhome",NOT($P671="Yes")),$E671,"")</f>
        <v/>
      </c>
      <c r="GJ671" s="1519" t="str">
        <f t="shared" ref="GJ671:GJ708" si="173">IF(AND($C671=4, $N671="Townhome",NOT($P671="Yes")),$E671,"")</f>
        <v/>
      </c>
      <c r="GK671" s="1519" t="str">
        <f t="shared" ref="GK671:GK708" si="174">IF(AND($C671="Efficiency", $N671="Townhome",$P671="Yes"),$E671,"")</f>
        <v/>
      </c>
      <c r="GL671" s="1519" t="str">
        <f t="shared" ref="GL671:GL708" si="175">IF(AND($C671=1, $N671="Townhome",$P671="Yes"),$E671,"")</f>
        <v/>
      </c>
      <c r="GM671" s="1519" t="str">
        <f t="shared" ref="GM671:GM708" si="176">IF(AND($C671=2, $N671="Townhome",$P671="Yes"),$E671,"")</f>
        <v/>
      </c>
      <c r="GN671" s="1519" t="str">
        <f t="shared" ref="GN671:GN708" si="177">IF(AND($C671=3, $N671="Townhome",$P671="Yes"),$E671,"")</f>
        <v/>
      </c>
      <c r="GO671" s="1519" t="str">
        <f t="shared" ref="GO671:GO708" si="178">IF(AND($C671=4, $N671="Townhome",$P671="Yes"),$E671,"")</f>
        <v/>
      </c>
      <c r="GP671" s="1519" t="str">
        <f t="shared" ref="GP671:GP708" si="179">IF(AND($C671="Efficiency", $N671="1-Story",NOT($P671="Yes")),$E671,"")</f>
        <v/>
      </c>
      <c r="GQ671" s="1519" t="str">
        <f t="shared" ref="GQ671:GQ708" si="180">IF(AND($C671=1, $N671="1-Story",NOT($P671="Yes")),$E671,"")</f>
        <v/>
      </c>
      <c r="GR671" s="1519" t="str">
        <f t="shared" ref="GR671:GR708" si="181">IF(AND($C671=2, $N671="1-Story",NOT($P671="Yes")),$E671,"")</f>
        <v/>
      </c>
      <c r="GS671" s="1519" t="str">
        <f t="shared" ref="GS671:GS708" si="182">IF(AND($C671=3, $N671="1-Story",NOT($P671="Yes")),$E671,"")</f>
        <v/>
      </c>
      <c r="GT671" s="1519" t="str">
        <f t="shared" ref="GT671:GT708" si="183">IF(AND($C671=4, $N671="1-Story",NOT($P671="Yes")),$E671,"")</f>
        <v/>
      </c>
      <c r="GU671" s="1519" t="str">
        <f t="shared" ref="GU671:GU708" si="184">IF(AND($C671="Efficiency", $N671="1-Story",$P671="Yes"),$E671,"")</f>
        <v/>
      </c>
      <c r="GV671" s="1519" t="str">
        <f t="shared" ref="GV671:GV708" si="185">IF(AND($C671=1, $N671="1-Story",$P671="Yes"),$E671,"")</f>
        <v/>
      </c>
      <c r="GW671" s="1519" t="str">
        <f t="shared" ref="GW671:GW708" si="186">IF(AND($C671=2, $N671="1-Story",$P671="Yes"),$E671,"")</f>
        <v/>
      </c>
      <c r="GX671" s="1519" t="str">
        <f t="shared" ref="GX671:GX708" si="187">IF(AND($C671=3, $N671="1-Story",$P671="Yes"),$E671,"")</f>
        <v/>
      </c>
      <c r="GY671" s="1519" t="str">
        <f t="shared" ref="GY671:GY708" si="188">IF(AND($C671=4, $N671="1-Story",$P671="Yes"),$E671,"")</f>
        <v/>
      </c>
      <c r="GZ671" s="1519" t="str">
        <f t="shared" ref="GZ671:GZ708" si="189">IF(AND($C671="Efficiency", $N671="2-Story",NOT($P671="Yes")),$E671,"")</f>
        <v/>
      </c>
      <c r="HA671" s="1519" t="str">
        <f t="shared" ref="HA671:HA708" si="190">IF(AND($C671=1, $N671="2-Story",NOT($P671="Yes")),$E671,"")</f>
        <v/>
      </c>
      <c r="HB671" s="1519" t="str">
        <f t="shared" ref="HB671:HB708" si="191">IF(AND($C671=2, $N671="2-Story",NOT($P671="Yes")),$E671,"")</f>
        <v/>
      </c>
      <c r="HC671" s="1519" t="str">
        <f t="shared" ref="HC671:HC708" si="192">IF(AND($C671=3, $N671="2-Story",NOT($P671="Yes")),$E671,"")</f>
        <v/>
      </c>
      <c r="HD671" s="1519" t="str">
        <f t="shared" ref="HD671:HD708" si="193">IF(AND($C671=4, $N671="2-Story",NOT($P671="Yes")),$E671,"")</f>
        <v/>
      </c>
      <c r="HE671" s="1519" t="str">
        <f t="shared" ref="HE671:HE708" si="194">IF(AND($C671="Efficiency", $N671="2-Story",$P671="Yes"),$E671,"")</f>
        <v/>
      </c>
      <c r="HF671" s="1519" t="str">
        <f t="shared" ref="HF671:HF708" si="195">IF(AND($C671=1, $N671="2-Story",$P671="Yes"),$E671,"")</f>
        <v/>
      </c>
      <c r="HG671" s="1519" t="str">
        <f t="shared" ref="HG671:HG708" si="196">IF(AND($C671=2, $N671="2-Story",$P671="Yes"),$E671,"")</f>
        <v/>
      </c>
      <c r="HH671" s="1519" t="str">
        <f t="shared" ref="HH671:HH708" si="197">IF(AND($C671=3, $N671="2-Story",$P671="Yes"),$E671,"")</f>
        <v/>
      </c>
      <c r="HI671" s="1519" t="str">
        <f t="shared" ref="HI671:HI708" si="198">IF(AND($C671=4, $N671="2-Story",$P671="Yes"),$E671,"")</f>
        <v/>
      </c>
      <c r="HJ671" s="1519" t="str">
        <f t="shared" ref="HJ671:HJ708" si="199">IF(AND($C671="Efficiency", $N671="2-Story Walkup",NOT($P671="Yes")),$E671,"")</f>
        <v/>
      </c>
      <c r="HK671" s="1519" t="str">
        <f t="shared" ref="HK671:HK708" si="200">IF(AND($C671=1, $N671="2-Story Walkup",NOT($P671="Yes")),$E671,"")</f>
        <v/>
      </c>
      <c r="HL671" s="1519" t="str">
        <f t="shared" ref="HL671:HL708" si="201">IF(AND($C671=2, $N671="2-Story Walkup",NOT($P671="Yes")),$E671,"")</f>
        <v/>
      </c>
      <c r="HM671" s="1519" t="str">
        <f t="shared" ref="HM671:HM708" si="202">IF(AND($C671=3, $N671="2-Story Walkup",NOT($P671="Yes")),$E671,"")</f>
        <v/>
      </c>
      <c r="HN671" s="1519" t="str">
        <f t="shared" ref="HN671:HN708" si="203">IF(AND($C671=4, $N671="2-Story Walkup",NOT($P671="Yes")),$E671,"")</f>
        <v/>
      </c>
      <c r="HO671" s="1519" t="str">
        <f t="shared" ref="HO671:HO708" si="204">IF(AND($C671="Efficiency", $N671="2-Story Walkup",$P671="Yes"),$E671,"")</f>
        <v/>
      </c>
      <c r="HP671" s="1519" t="str">
        <f t="shared" ref="HP671:HP708" si="205">IF(AND($C671=1, $N671="2-Story Walkup",$P671="Yes"),$E671,"")</f>
        <v/>
      </c>
      <c r="HQ671" s="1519" t="str">
        <f t="shared" ref="HQ671:HQ708" si="206">IF(AND($C671=2, $N671="2-Story Walkup",$P671="Yes"),$E671,"")</f>
        <v/>
      </c>
      <c r="HR671" s="1519" t="str">
        <f t="shared" ref="HR671:HR708" si="207">IF(AND($C671=3, $N671="2-Story Walkup",$P671="Yes"),$E671,"")</f>
        <v/>
      </c>
      <c r="HS671" s="1519" t="str">
        <f t="shared" ref="HS671:HS708" si="208">IF(AND($C671=4, $N671="2-Story Walkup",$P671="Yes"),$E671,"")</f>
        <v/>
      </c>
      <c r="HT671" s="1519" t="str">
        <f t="shared" ref="HT671:HT708" si="209">IF(AND($C671="Efficiency", $N671="3+ Story",NOT($P671="Yes")),$E671,"")</f>
        <v/>
      </c>
      <c r="HU671" s="1519">
        <f t="shared" ref="HU671:HU708" si="210">IF(AND($C671=1, $N671="3+ Story",NOT($P671="Yes")),$E671,"")</f>
        <v>16</v>
      </c>
      <c r="HV671" s="1519" t="str">
        <f t="shared" ref="HV671:HV708" si="211">IF(AND($C671=2, $N671="3+ Story",NOT($P671="Yes")),$E671,"")</f>
        <v/>
      </c>
      <c r="HW671" s="1519" t="str">
        <f t="shared" ref="HW671:HW708" si="212">IF(AND($C671=3, $N671="3+ Story",NOT($P671="Yes")),$E671,"")</f>
        <v/>
      </c>
      <c r="HX671" s="1519" t="str">
        <f t="shared" ref="HX671:HX708" si="213">IF(AND($C671=4, $N671="3+ Story",NOT($P671="Yes")),$E671,"")</f>
        <v/>
      </c>
      <c r="HY671" s="1519" t="str">
        <f t="shared" ref="HY671:HY708" si="214">IF(AND($C671="Efficiency", $N671="3+ Story",$P671="Yes"),$E671,"")</f>
        <v/>
      </c>
      <c r="HZ671" s="1519" t="str">
        <f t="shared" ref="HZ671:HZ708" si="215">IF(AND($C671=1, $N671="3+ Story",$P671="Yes"),$E671,"")</f>
        <v/>
      </c>
      <c r="IA671" s="1519" t="str">
        <f t="shared" ref="IA671:IA708" si="216">IF(AND($C671=2, $N671="3+ Story",$P671="Yes"),$E671,"")</f>
        <v/>
      </c>
      <c r="IB671" s="1519" t="str">
        <f t="shared" ref="IB671:IB708" si="217">IF(AND($C671=3, $N671="3+ Story",$P671="Yes"),$E671,"")</f>
        <v/>
      </c>
      <c r="IC671" s="1519" t="str">
        <f t="shared" ref="IC671:IC708" si="218">IF(AND($C671=4, $N671="3+ Story",$P671="Yes"),$E671,"")</f>
        <v/>
      </c>
      <c r="ID671" s="1520" t="str">
        <f t="shared" ref="ID671:ID708" si="219">IF(AND($B671="NSP 120% AMI",$C671="Efficiency", NOT($M671="Common Space")),$E671,"")</f>
        <v/>
      </c>
      <c r="IE671" s="1520" t="str">
        <f t="shared" ref="IE671:IE708" si="220">IF(AND($B671="NSP 120% AMI",$C671=1,NOT($M671="Common Space")),$E671,"")</f>
        <v/>
      </c>
      <c r="IF671" s="1520" t="str">
        <f t="shared" ref="IF671:IF708" si="221">IF(AND($B671="NSP 120% AMI",$C671=2,NOT($M671="Common Space")),$E671,"")</f>
        <v/>
      </c>
      <c r="IG671" s="1520" t="str">
        <f t="shared" ref="IG671:IG708" si="222">IF(AND($B671="NSP 120% AMI",$C671=3,NOT($M671="Common Space")),$E671,"")</f>
        <v/>
      </c>
      <c r="IH671" s="1520" t="str">
        <f t="shared" ref="IH671:IH708" si="223">IF(AND($B671="NSP 120% AMI",$C671=4,NOT($M671="Common Space")),$E671,"")</f>
        <v/>
      </c>
      <c r="II671" s="1271" t="str">
        <f t="shared" ref="II671:II708" si="224">IF(AND(C671="Efficiency",B671="NSP 120% AMI",NOT(M671="Common Space")),E671*F671,"")</f>
        <v/>
      </c>
      <c r="IJ671" s="1271" t="str">
        <f t="shared" ref="IJ671:IJ708" si="225">IF(AND(C671=1,B671="NSP 120% AMI",NOT(M671="Common Space")),E671*F671,"")</f>
        <v/>
      </c>
      <c r="IK671" s="1271" t="str">
        <f t="shared" ref="IK671:IK708" si="226">IF(AND(C671=2,B671="NSP 120% AMI",NOT(M671="Common Space")),E671*F671,"")</f>
        <v/>
      </c>
      <c r="IL671" s="1271" t="str">
        <f t="shared" ref="IL671:IL708" si="227">IF(AND(C671=3,B671="NSP 120% AMI",NOT(M671="Common Space")),E671*F671,"")</f>
        <v/>
      </c>
      <c r="IM671" s="1271" t="str">
        <f t="shared" ref="IM671:IM708" si="228">IF(AND(C671=4,B671="NSP 120% AMI",NOT(M671="Common Space")),E671*F671,"")</f>
        <v/>
      </c>
      <c r="IN671" s="1271" t="str">
        <f t="shared" ref="IN671:IN708" si="229">IF(AND($C671="Efficiency", $O671="New Construction",$B671="NSP 120% AMI",NOT($M671="Common Space")),$E671,"")</f>
        <v/>
      </c>
      <c r="IO671" s="1271" t="str">
        <f t="shared" ref="IO671:IO708" si="230">IF(AND($C671=1, $O671="New Construction",$B671="NSP 120% AMI",NOT($M671="Common Space")),$E671,"")</f>
        <v/>
      </c>
      <c r="IP671" s="1271" t="str">
        <f t="shared" ref="IP671:IP708" si="231">IF(AND($C671=2, $O671="New Construction",$B671="NSP 120% AMI",NOT($M671="Common Space")),$E671,"")</f>
        <v/>
      </c>
      <c r="IQ671" s="1271" t="str">
        <f t="shared" ref="IQ671:IQ708" si="232">IF(AND($C671=3, $O671="New Construction",$B671="NSP 120% AMI",NOT($M671="Common Space")),$E671,"")</f>
        <v/>
      </c>
      <c r="IR671" s="1271" t="str">
        <f t="shared" ref="IR671:IR708" si="233">IF(AND($C671=4, $O671="New Construction",$B671="NSP 120% AMI",NOT($M671="Common Space")),$E671,"")</f>
        <v/>
      </c>
      <c r="IS671" s="1271" t="str">
        <f t="shared" ref="IS671:IS708" si="234">IF(AND($C671="Efficiency", $O671="Acquisition/Rehab",$B671="NSP 120% AMI",NOT($M671="Common Space")),$E671,"")</f>
        <v/>
      </c>
      <c r="IT671" s="1271" t="str">
        <f t="shared" ref="IT671:IT708" si="235">IF(AND($C671=1, $O671="Acquisition/Rehab",$B671="NSP 120% AMI",NOT($M671="Common Space")),$E671,"")</f>
        <v/>
      </c>
      <c r="IU671" s="1271" t="str">
        <f t="shared" ref="IU671:IU708" si="236">IF(AND($C671=2, $O671="Acquisition/Rehab",$B671="NSP 120% AMI",NOT($M671="Common Space")),$E671,"")</f>
        <v/>
      </c>
      <c r="IV671" s="1271" t="str">
        <f t="shared" ref="IV671:IV708" si="237">IF(AND($C671=3, $O671="Acquisition/Rehab",$B671="NSP 120% AMI",NOT($M671="Common Space")),$E671,"")</f>
        <v/>
      </c>
      <c r="IW671" s="1271" t="str">
        <f t="shared" ref="IW671:IW708" si="238">IF(AND($C671=4, $O671="Acquisition/Rehab",$B671="NSP 120% AMI",NOT($M671="Common Space")),$E671,"")</f>
        <v/>
      </c>
      <c r="IX671" s="1271" t="str">
        <f t="shared" ref="IX671:IX708" si="239">IF(AND($C671="Efficiency", $O671="Rehabilitation",$B671="NSP 120% AMI",NOT($M671="Common Space")),$E671,"")</f>
        <v/>
      </c>
      <c r="IY671" s="1271" t="str">
        <f t="shared" ref="IY671:IY708" si="240">IF(AND($C671=1, $O671="Rehabilitation",$B671="NSP 120% AMI",NOT($M671="Common Space")),$E671,"")</f>
        <v/>
      </c>
      <c r="IZ671" s="1271" t="str">
        <f t="shared" ref="IZ671:IZ708" si="241">IF(AND($C671=2, $O671="Rehabilitation",$B671="NSP 120% AMI",NOT($M671="Common Space")),$E671,"")</f>
        <v/>
      </c>
      <c r="JA671" s="1271" t="str">
        <f t="shared" ref="JA671:JA708" si="242">IF(AND($C671=3, $O671="Rehabilitation",$B671="NSP 120% AMI",NOT($M671="Common Space")),$E671,"")</f>
        <v/>
      </c>
      <c r="JB671" s="1271" t="str">
        <f t="shared" ref="JB671:JB708" si="243">IF(AND($C671=4, $O671="Rehabilitation",$B671="NSP 120% AMI",NOT($M671="Common Space")),$E671,"")</f>
        <v/>
      </c>
      <c r="JC671" s="1518">
        <f>IF(AND($C671="Efficiency",$E671&gt;0,OR($N671="1-Story",$N671="2-Story",$N671="3+ Story",$N671="2-Story Walkup",$N671="Townhome"),OR($O671="Acquisition/Rehab",$O671="Rehabilitation"),NOT($P671="Yes")),$E671,0)</f>
        <v>0</v>
      </c>
      <c r="JD671" s="1518">
        <f>IF(AND($C671=1,$E671&gt;0,OR($N671="1-Story",$N671="2-Story",$N671="3+ Story",$N671="2-Story Walkup",$N671="Townhome"),OR($O671="Acquisition/Rehab",$O671="Rehabilitation"),NOT($P671="Yes")),$E671,0)</f>
        <v>0</v>
      </c>
      <c r="JE671" s="1518">
        <f>IF(AND($C671=2,$E671&gt;0,OR($N671="1-Story",$N671="2-Story",$N671="3+ Story",$N671="2-Story Walkup",$N671="Townhome"),OR($O671="Acquisition/Rehab",$O671="Rehabilitation"),NOT($P671="Yes")),$E671,0)</f>
        <v>0</v>
      </c>
      <c r="JF671" s="1518">
        <f>IF(AND($C671=3,$E671&gt;0,OR($N671="1-Story",$N671="2-Story",$N671="3+ Story",$N671="2-Story Walkup",$N671="Townhome"),OR($O671="Acquisition/Rehab",$O671="Rehabilitation"),NOT($P671="Yes")),$E671,0)</f>
        <v>0</v>
      </c>
      <c r="JG671" s="1518">
        <f>IF(AND($C671=4,$E671&gt;0,OR($N671="1-Story",$N671="2-Story",$N671="3+ Story",$N671="2-Story Walkup",$N671="Townhome"),OR($O671="Acquisition/Rehab",$O671="Rehabilitation"),NOT($P671="Yes")),$E671,0)</f>
        <v>0</v>
      </c>
      <c r="JH671" s="1518">
        <f>IF(AND($C671="Efficiency",$E671&gt;0,OR($N671="1-Story",$N671="2-Story",$N671="3+ Story",$N671="2-Story Walkup",$N671="Townhome"),$O671="New Construction"),$E671,0)</f>
        <v>0</v>
      </c>
      <c r="JI671" s="1518">
        <f>IF(AND($C671=1,$E671&gt;0,OR($N671="1-Story",$N671="2-Story",$N671="3+ Story",$N671="2-Story Walkup",$N671="Townhome"),$O671="New Construction"),$E671,0)</f>
        <v>16</v>
      </c>
      <c r="JJ671" s="1518">
        <f>IF(AND($C671=2,$E671&gt;0,OR($N671="1-Story",$N671="2-Story",$N671="3+ Story",$N671="2-Story Walkup",$N671="Townhome"),$O671="New Construction"),$E671,0)</f>
        <v>0</v>
      </c>
      <c r="JK671" s="1518">
        <f>IF(AND($C671=3,$E671&gt;0,OR($N671="1-Story",$N671="2-Story",$N671="3+ Story",$N671="2-Story Walkup",$N671="Townhome"),$O671="New Construction"),$E671,0)</f>
        <v>0</v>
      </c>
      <c r="JL671" s="1518">
        <f>IF(AND($C671=4,$E671&gt;0,OR($N671="1-Story",$N671="2-Story",$N671="3+ Story",$N671="2-Story Walkup",$N671="Townhome"),$O671="New Construction"),$E671,0)</f>
        <v>0</v>
      </c>
      <c r="JM671" s="1518">
        <f>IF(AND($C671="Efficiency",$E671&gt;0,OR($N671="SF Detached",$N671="Duplex",$N671="Mfd Home"),NOT($P671="Yes")),$E671,0)</f>
        <v>0</v>
      </c>
      <c r="JN671" s="1518">
        <f>IF(AND($C671=1,$E671&gt;0,OR($N671="SF Detached",$N671="Duplex",$N671="Mfd Home"),NOT($P671="Yes")),$E671,0)</f>
        <v>0</v>
      </c>
      <c r="JO671" s="1518">
        <f>IF(AND($C671=2,$E671&gt;0,OR($N671="SF Detached",$N671="Duplex",$N671="Mfd Home"),NOT($P671="Yes")),$E671,0)</f>
        <v>0</v>
      </c>
      <c r="JP671" s="1518">
        <f>IF(AND($C671=3,$E671&gt;0,OR($N671="SF Detached",$N671="Duplex",$N671="Mfd Home"),NOT($P671="Yes")),$E671,0)</f>
        <v>0</v>
      </c>
      <c r="JQ671" s="1518">
        <f>IF(AND($C671=4,$E671&gt;0,OR($N671="SF Detached",$N671="Duplex",$N671="Mfd Home"),NOT($P671="Yes")),$E671,0)</f>
        <v>0</v>
      </c>
    </row>
    <row r="672" spans="1:277" ht="12" customHeight="1">
      <c r="A672" s="1687" t="str">
        <f t="shared" si="1"/>
        <v/>
      </c>
      <c r="B672" s="1702" t="str">
        <f>'Part VI-Revenues &amp; Expenses'!B11</f>
        <v>60% AMI</v>
      </c>
      <c r="C672" s="1703">
        <f>'Part VI-Revenues &amp; Expenses'!C11</f>
        <v>1</v>
      </c>
      <c r="D672" s="1704">
        <f>'Part VI-Revenues &amp; Expenses'!D11</f>
        <v>1</v>
      </c>
      <c r="E672" s="1705">
        <f>'Part VI-Revenues &amp; Expenses'!E11</f>
        <v>46</v>
      </c>
      <c r="F672" s="1705">
        <f>'Part VI-Revenues &amp; Expenses'!F11</f>
        <v>826</v>
      </c>
      <c r="G672" s="1705">
        <f>'Part VI-Revenues &amp; Expenses'!G11</f>
        <v>759</v>
      </c>
      <c r="H672" s="1705">
        <f>'Part VI-Revenues &amp; Expenses'!H11</f>
        <v>768</v>
      </c>
      <c r="I672" s="1705">
        <f>'Part VI-Revenues &amp; Expenses'!I11</f>
        <v>56</v>
      </c>
      <c r="J672" s="1706" t="str">
        <f>'Part VI-Revenues &amp; Expenses'!J11</f>
        <v>PHA PBRA</v>
      </c>
      <c r="K672" s="1707">
        <f t="shared" si="2"/>
        <v>712</v>
      </c>
      <c r="L672" s="1707">
        <f t="shared" si="3"/>
        <v>32752</v>
      </c>
      <c r="M672" s="1708" t="str">
        <f>'Part VI-Revenues &amp; Expenses'!M11</f>
        <v>No</v>
      </c>
      <c r="N672" s="1708" t="str">
        <f>'Part VI-Revenues &amp; Expenses'!N11</f>
        <v>3+ Story</v>
      </c>
      <c r="O672" s="1708" t="str">
        <f>'Part VI-Revenues &amp; Expenses'!O11</f>
        <v>New Construction</v>
      </c>
      <c r="P672" s="1515" t="str">
        <f>'Part VI-Revenues &amp; Expenses'!P11</f>
        <v>No</v>
      </c>
      <c r="Q672" s="1709">
        <f>'Part VI-Revenues &amp; Expenses'!Q11</f>
        <v>30720</v>
      </c>
      <c r="R672" s="1710">
        <f>'Part VI-Revenues &amp; Expenses'!R11</f>
        <v>0.59970717423133235</v>
      </c>
      <c r="S672" s="1709">
        <f>'Part VI-Revenues &amp; Expenses'!S11</f>
        <v>0</v>
      </c>
      <c r="T672" s="1710">
        <f>'Part VI-Revenues &amp; Expenses'!T11</f>
        <v>0</v>
      </c>
      <c r="U672" s="1629"/>
      <c r="V672" s="1629"/>
      <c r="W672" s="1271" t="str">
        <f t="shared" si="4"/>
        <v/>
      </c>
      <c r="X672" s="1271">
        <f t="shared" si="5"/>
        <v>46</v>
      </c>
      <c r="Y672" s="1271" t="str">
        <f t="shared" si="6"/>
        <v/>
      </c>
      <c r="Z672" s="1271" t="str">
        <f t="shared" si="7"/>
        <v/>
      </c>
      <c r="AA672" s="1271" t="str">
        <f t="shared" si="8"/>
        <v/>
      </c>
      <c r="AB672" s="1271" t="str">
        <f t="shared" si="9"/>
        <v/>
      </c>
      <c r="AC672" s="1271" t="str">
        <f t="shared" si="10"/>
        <v/>
      </c>
      <c r="AD672" s="1271" t="str">
        <f t="shared" si="11"/>
        <v/>
      </c>
      <c r="AE672" s="1271" t="str">
        <f t="shared" si="12"/>
        <v/>
      </c>
      <c r="AF672" s="1271" t="str">
        <f t="shared" si="13"/>
        <v/>
      </c>
      <c r="AG672" s="1271" t="str">
        <f t="shared" si="14"/>
        <v/>
      </c>
      <c r="AH672" s="1271" t="str">
        <f t="shared" si="15"/>
        <v/>
      </c>
      <c r="AI672" s="1271" t="str">
        <f t="shared" si="16"/>
        <v/>
      </c>
      <c r="AJ672" s="1271" t="str">
        <f t="shared" si="17"/>
        <v/>
      </c>
      <c r="AK672" s="1271" t="str">
        <f t="shared" si="18"/>
        <v/>
      </c>
      <c r="AL672" s="1271" t="str">
        <f t="shared" si="19"/>
        <v/>
      </c>
      <c r="AM672" s="1271" t="str">
        <f t="shared" si="20"/>
        <v/>
      </c>
      <c r="AN672" s="1271" t="str">
        <f t="shared" si="21"/>
        <v/>
      </c>
      <c r="AO672" s="1271" t="str">
        <f t="shared" si="22"/>
        <v/>
      </c>
      <c r="AP672" s="1271" t="str">
        <f t="shared" si="23"/>
        <v/>
      </c>
      <c r="AQ672" s="1271" t="str">
        <f t="shared" si="24"/>
        <v/>
      </c>
      <c r="AR672" s="1271" t="str">
        <f t="shared" si="25"/>
        <v/>
      </c>
      <c r="AS672" s="1271" t="str">
        <f t="shared" si="26"/>
        <v/>
      </c>
      <c r="AT672" s="1271" t="str">
        <f t="shared" si="27"/>
        <v/>
      </c>
      <c r="AU672" s="1271" t="str">
        <f t="shared" si="28"/>
        <v/>
      </c>
      <c r="AV672" s="1271" t="str">
        <f t="shared" si="29"/>
        <v/>
      </c>
      <c r="AW672" s="1271" t="str">
        <f t="shared" si="30"/>
        <v/>
      </c>
      <c r="AX672" s="1271" t="str">
        <f t="shared" si="31"/>
        <v/>
      </c>
      <c r="AY672" s="1271" t="str">
        <f t="shared" si="32"/>
        <v/>
      </c>
      <c r="AZ672" s="1271" t="str">
        <f t="shared" si="33"/>
        <v/>
      </c>
      <c r="BA672" s="1271" t="str">
        <f t="shared" si="34"/>
        <v/>
      </c>
      <c r="BB672" s="1271">
        <f t="shared" si="35"/>
        <v>46</v>
      </c>
      <c r="BC672" s="1271" t="str">
        <f t="shared" si="36"/>
        <v/>
      </c>
      <c r="BD672" s="1271" t="str">
        <f t="shared" si="37"/>
        <v/>
      </c>
      <c r="BE672" s="1271" t="str">
        <f t="shared" si="38"/>
        <v/>
      </c>
      <c r="BF672" s="1271" t="str">
        <f t="shared" si="39"/>
        <v/>
      </c>
      <c r="BG672" s="1271" t="str">
        <f t="shared" si="40"/>
        <v/>
      </c>
      <c r="BH672" s="1271" t="str">
        <f t="shared" si="41"/>
        <v/>
      </c>
      <c r="BI672" s="1271" t="str">
        <f t="shared" si="42"/>
        <v/>
      </c>
      <c r="BJ672" s="1271" t="str">
        <f t="shared" si="43"/>
        <v/>
      </c>
      <c r="BK672" s="1271" t="str">
        <f t="shared" si="44"/>
        <v/>
      </c>
      <c r="BL672" s="1271" t="str">
        <f t="shared" si="45"/>
        <v/>
      </c>
      <c r="BM672" s="1271" t="str">
        <f t="shared" si="46"/>
        <v/>
      </c>
      <c r="BN672" s="1271" t="str">
        <f t="shared" si="47"/>
        <v/>
      </c>
      <c r="BO672" s="1271" t="str">
        <f t="shared" si="48"/>
        <v/>
      </c>
      <c r="BP672" s="1271" t="str">
        <f t="shared" si="49"/>
        <v/>
      </c>
      <c r="BQ672" s="1271" t="str">
        <f t="shared" si="50"/>
        <v/>
      </c>
      <c r="BR672" s="1271" t="str">
        <f t="shared" si="51"/>
        <v/>
      </c>
      <c r="BS672" s="1271" t="str">
        <f t="shared" si="52"/>
        <v/>
      </c>
      <c r="BT672" s="1271" t="str">
        <f t="shared" si="53"/>
        <v/>
      </c>
      <c r="BU672" s="1271" t="str">
        <f t="shared" si="54"/>
        <v/>
      </c>
      <c r="BV672" s="1271" t="str">
        <f t="shared" si="55"/>
        <v/>
      </c>
      <c r="BW672" s="1271" t="str">
        <f t="shared" si="56"/>
        <v/>
      </c>
      <c r="BX672" s="1271" t="str">
        <f t="shared" si="57"/>
        <v/>
      </c>
      <c r="BY672" s="1271" t="str">
        <f t="shared" si="58"/>
        <v/>
      </c>
      <c r="BZ672" s="1271" t="str">
        <f t="shared" si="59"/>
        <v/>
      </c>
      <c r="CA672" s="1271">
        <f t="shared" si="60"/>
        <v>37996</v>
      </c>
      <c r="CB672" s="1271" t="str">
        <f t="shared" si="61"/>
        <v/>
      </c>
      <c r="CC672" s="1271" t="str">
        <f t="shared" si="62"/>
        <v/>
      </c>
      <c r="CD672" s="1271" t="str">
        <f t="shared" si="63"/>
        <v/>
      </c>
      <c r="CE672" s="1271" t="str">
        <f t="shared" si="64"/>
        <v/>
      </c>
      <c r="CF672" s="1271" t="str">
        <f t="shared" si="65"/>
        <v/>
      </c>
      <c r="CG672" s="1271" t="str">
        <f t="shared" si="66"/>
        <v/>
      </c>
      <c r="CH672" s="1271" t="str">
        <f t="shared" si="67"/>
        <v/>
      </c>
      <c r="CI672" s="1271" t="str">
        <f t="shared" si="68"/>
        <v/>
      </c>
      <c r="CJ672" s="1271" t="str">
        <f t="shared" si="69"/>
        <v/>
      </c>
      <c r="CK672" s="1271" t="str">
        <f t="shared" si="70"/>
        <v/>
      </c>
      <c r="CL672" s="1271" t="str">
        <f t="shared" si="71"/>
        <v/>
      </c>
      <c r="CM672" s="1271" t="str">
        <f t="shared" si="72"/>
        <v/>
      </c>
      <c r="CN672" s="1271" t="str">
        <f t="shared" si="73"/>
        <v/>
      </c>
      <c r="CO672" s="1271" t="str">
        <f t="shared" si="74"/>
        <v/>
      </c>
      <c r="CP672" s="1271" t="str">
        <f t="shared" si="75"/>
        <v/>
      </c>
      <c r="CQ672" s="1271" t="str">
        <f t="shared" si="76"/>
        <v/>
      </c>
      <c r="CR672" s="1271" t="str">
        <f t="shared" si="77"/>
        <v/>
      </c>
      <c r="CS672" s="1271" t="str">
        <f t="shared" si="78"/>
        <v/>
      </c>
      <c r="CT672" s="1271" t="str">
        <f t="shared" si="79"/>
        <v/>
      </c>
      <c r="CU672" s="1271">
        <f t="shared" si="80"/>
        <v>37996</v>
      </c>
      <c r="CV672" s="1271" t="str">
        <f t="shared" si="81"/>
        <v/>
      </c>
      <c r="CW672" s="1271" t="str">
        <f t="shared" si="82"/>
        <v/>
      </c>
      <c r="CX672" s="1271" t="str">
        <f t="shared" si="83"/>
        <v/>
      </c>
      <c r="CY672" s="1271" t="str">
        <f t="shared" si="84"/>
        <v/>
      </c>
      <c r="CZ672" s="1271" t="str">
        <f t="shared" si="85"/>
        <v/>
      </c>
      <c r="DA672" s="1271" t="str">
        <f t="shared" si="86"/>
        <v/>
      </c>
      <c r="DB672" s="1271" t="str">
        <f t="shared" si="87"/>
        <v/>
      </c>
      <c r="DC672" s="1271" t="str">
        <f t="shared" si="88"/>
        <v/>
      </c>
      <c r="DD672" s="1271" t="str">
        <f t="shared" si="89"/>
        <v/>
      </c>
      <c r="DE672" s="1271">
        <f t="shared" si="90"/>
        <v>46</v>
      </c>
      <c r="DF672" s="1271" t="str">
        <f t="shared" si="91"/>
        <v/>
      </c>
      <c r="DG672" s="1271" t="str">
        <f t="shared" si="92"/>
        <v/>
      </c>
      <c r="DH672" s="1271" t="str">
        <f t="shared" si="93"/>
        <v/>
      </c>
      <c r="DI672" s="1271" t="str">
        <f t="shared" si="94"/>
        <v/>
      </c>
      <c r="DJ672" s="1271" t="str">
        <f t="shared" si="95"/>
        <v/>
      </c>
      <c r="DK672" s="1271" t="str">
        <f t="shared" si="96"/>
        <v/>
      </c>
      <c r="DL672" s="1271" t="str">
        <f t="shared" si="97"/>
        <v/>
      </c>
      <c r="DM672" s="1271" t="str">
        <f t="shared" si="98"/>
        <v/>
      </c>
      <c r="DN672" s="1271" t="str">
        <f t="shared" si="99"/>
        <v/>
      </c>
      <c r="DO672" s="1271" t="str">
        <f t="shared" si="100"/>
        <v/>
      </c>
      <c r="DP672" s="1271" t="str">
        <f t="shared" si="101"/>
        <v/>
      </c>
      <c r="DQ672" s="1271" t="str">
        <f t="shared" si="102"/>
        <v/>
      </c>
      <c r="DR672" s="1271" t="str">
        <f t="shared" si="103"/>
        <v/>
      </c>
      <c r="DS672" s="1271" t="str">
        <f t="shared" si="104"/>
        <v/>
      </c>
      <c r="DT672" s="1271" t="str">
        <f t="shared" si="105"/>
        <v/>
      </c>
      <c r="DU672" s="1271" t="str">
        <f t="shared" si="106"/>
        <v/>
      </c>
      <c r="DV672" s="1271" t="str">
        <f t="shared" si="107"/>
        <v/>
      </c>
      <c r="DW672" s="1271" t="str">
        <f t="shared" si="108"/>
        <v/>
      </c>
      <c r="DX672" s="1271" t="str">
        <f t="shared" si="109"/>
        <v/>
      </c>
      <c r="DY672" s="1271" t="str">
        <f t="shared" si="110"/>
        <v/>
      </c>
      <c r="DZ672" s="1271" t="str">
        <f t="shared" si="111"/>
        <v/>
      </c>
      <c r="EA672" s="1271" t="str">
        <f t="shared" si="112"/>
        <v/>
      </c>
      <c r="EB672" s="1271" t="str">
        <f t="shared" si="113"/>
        <v/>
      </c>
      <c r="EC672" s="1271" t="str">
        <f t="shared" si="114"/>
        <v/>
      </c>
      <c r="ED672" s="1271" t="str">
        <f t="shared" si="115"/>
        <v/>
      </c>
      <c r="EE672" s="1271" t="str">
        <f t="shared" si="116"/>
        <v/>
      </c>
      <c r="EF672" s="1271" t="str">
        <f t="shared" si="117"/>
        <v/>
      </c>
      <c r="EG672" s="1271" t="str">
        <f t="shared" si="118"/>
        <v/>
      </c>
      <c r="EH672" s="1271" t="str">
        <f t="shared" si="119"/>
        <v/>
      </c>
      <c r="EI672" s="1271" t="str">
        <f t="shared" si="120"/>
        <v/>
      </c>
      <c r="EJ672" s="1271" t="str">
        <f t="shared" si="121"/>
        <v/>
      </c>
      <c r="EK672" s="1271" t="str">
        <f t="shared" si="122"/>
        <v/>
      </c>
      <c r="EL672" s="1271" t="str">
        <f t="shared" si="123"/>
        <v/>
      </c>
      <c r="EM672" s="1271" t="str">
        <f t="shared" si="124"/>
        <v/>
      </c>
      <c r="EN672" s="1271" t="str">
        <f t="shared" si="125"/>
        <v/>
      </c>
      <c r="EO672" s="1271" t="str">
        <f t="shared" si="126"/>
        <v/>
      </c>
      <c r="EP672" s="1271" t="str">
        <f t="shared" si="127"/>
        <v/>
      </c>
      <c r="EQ672" s="1271" t="str">
        <f t="shared" si="128"/>
        <v/>
      </c>
      <c r="ER672" s="1271" t="str">
        <f t="shared" si="129"/>
        <v/>
      </c>
      <c r="ES672" s="1271" t="str">
        <f t="shared" si="130"/>
        <v/>
      </c>
      <c r="ET672" s="1271" t="str">
        <f t="shared" si="131"/>
        <v/>
      </c>
      <c r="EU672" s="1271" t="str">
        <f t="shared" si="132"/>
        <v/>
      </c>
      <c r="EV672" s="1271" t="str">
        <f t="shared" si="133"/>
        <v/>
      </c>
      <c r="EW672" s="1519" t="str">
        <f t="shared" si="134"/>
        <v/>
      </c>
      <c r="EX672" s="1519">
        <f t="shared" si="135"/>
        <v>46</v>
      </c>
      <c r="EY672" s="1519" t="str">
        <f t="shared" si="136"/>
        <v/>
      </c>
      <c r="EZ672" s="1519" t="str">
        <f t="shared" si="137"/>
        <v/>
      </c>
      <c r="FA672" s="1519" t="str">
        <f t="shared" si="138"/>
        <v/>
      </c>
      <c r="FB672" s="1519" t="str">
        <f t="shared" si="139"/>
        <v/>
      </c>
      <c r="FC672" s="1519" t="str">
        <f t="shared" si="140"/>
        <v/>
      </c>
      <c r="FD672" s="1519" t="str">
        <f t="shared" si="141"/>
        <v/>
      </c>
      <c r="FE672" s="1519" t="str">
        <f t="shared" si="142"/>
        <v/>
      </c>
      <c r="FF672" s="1519" t="str">
        <f t="shared" si="143"/>
        <v/>
      </c>
      <c r="FG672" s="1519" t="str">
        <f t="shared" si="144"/>
        <v/>
      </c>
      <c r="FH672" s="1519" t="str">
        <f t="shared" si="145"/>
        <v/>
      </c>
      <c r="FI672" s="1519" t="str">
        <f t="shared" si="146"/>
        <v/>
      </c>
      <c r="FJ672" s="1519" t="str">
        <f t="shared" si="147"/>
        <v/>
      </c>
      <c r="FK672" s="1519" t="str">
        <f t="shared" si="148"/>
        <v/>
      </c>
      <c r="FL672" s="1519" t="str">
        <f t="shared" si="149"/>
        <v/>
      </c>
      <c r="FM672" s="1519" t="str">
        <f t="shared" si="150"/>
        <v/>
      </c>
      <c r="FN672" s="1519" t="str">
        <f t="shared" si="151"/>
        <v/>
      </c>
      <c r="FO672" s="1519" t="str">
        <f t="shared" si="152"/>
        <v/>
      </c>
      <c r="FP672" s="1519" t="str">
        <f t="shared" si="153"/>
        <v/>
      </c>
      <c r="FQ672" s="1519" t="str">
        <f t="shared" si="154"/>
        <v/>
      </c>
      <c r="FR672" s="1519" t="str">
        <f t="shared" si="155"/>
        <v/>
      </c>
      <c r="FS672" s="1519" t="str">
        <f t="shared" si="156"/>
        <v/>
      </c>
      <c r="FT672" s="1519" t="str">
        <f t="shared" si="157"/>
        <v/>
      </c>
      <c r="FU672" s="1519" t="str">
        <f t="shared" si="158"/>
        <v/>
      </c>
      <c r="FV672" s="1519" t="str">
        <f t="shared" si="159"/>
        <v/>
      </c>
      <c r="FW672" s="1519" t="str">
        <f t="shared" si="160"/>
        <v/>
      </c>
      <c r="FX672" s="1519" t="str">
        <f t="shared" si="161"/>
        <v/>
      </c>
      <c r="FY672" s="1519" t="str">
        <f t="shared" si="162"/>
        <v/>
      </c>
      <c r="FZ672" s="1519" t="str">
        <f t="shared" si="163"/>
        <v/>
      </c>
      <c r="GA672" s="1519" t="str">
        <f t="shared" si="164"/>
        <v/>
      </c>
      <c r="GB672" s="1519" t="str">
        <f t="shared" si="165"/>
        <v/>
      </c>
      <c r="GC672" s="1519" t="str">
        <f t="shared" si="166"/>
        <v/>
      </c>
      <c r="GD672" s="1519" t="str">
        <f t="shared" si="167"/>
        <v/>
      </c>
      <c r="GE672" s="1519" t="str">
        <f t="shared" si="168"/>
        <v/>
      </c>
      <c r="GF672" s="1519" t="str">
        <f t="shared" si="169"/>
        <v/>
      </c>
      <c r="GG672" s="1519" t="str">
        <f t="shared" si="170"/>
        <v/>
      </c>
      <c r="GH672" s="1519" t="str">
        <f t="shared" si="171"/>
        <v/>
      </c>
      <c r="GI672" s="1519" t="str">
        <f t="shared" si="172"/>
        <v/>
      </c>
      <c r="GJ672" s="1519" t="str">
        <f t="shared" si="173"/>
        <v/>
      </c>
      <c r="GK672" s="1519" t="str">
        <f t="shared" si="174"/>
        <v/>
      </c>
      <c r="GL672" s="1519" t="str">
        <f t="shared" si="175"/>
        <v/>
      </c>
      <c r="GM672" s="1519" t="str">
        <f t="shared" si="176"/>
        <v/>
      </c>
      <c r="GN672" s="1519" t="str">
        <f t="shared" si="177"/>
        <v/>
      </c>
      <c r="GO672" s="1519" t="str">
        <f t="shared" si="178"/>
        <v/>
      </c>
      <c r="GP672" s="1519" t="str">
        <f t="shared" si="179"/>
        <v/>
      </c>
      <c r="GQ672" s="1519" t="str">
        <f t="shared" si="180"/>
        <v/>
      </c>
      <c r="GR672" s="1519" t="str">
        <f t="shared" si="181"/>
        <v/>
      </c>
      <c r="GS672" s="1519" t="str">
        <f t="shared" si="182"/>
        <v/>
      </c>
      <c r="GT672" s="1519" t="str">
        <f t="shared" si="183"/>
        <v/>
      </c>
      <c r="GU672" s="1519" t="str">
        <f t="shared" si="184"/>
        <v/>
      </c>
      <c r="GV672" s="1519" t="str">
        <f t="shared" si="185"/>
        <v/>
      </c>
      <c r="GW672" s="1519" t="str">
        <f t="shared" si="186"/>
        <v/>
      </c>
      <c r="GX672" s="1519" t="str">
        <f t="shared" si="187"/>
        <v/>
      </c>
      <c r="GY672" s="1519" t="str">
        <f t="shared" si="188"/>
        <v/>
      </c>
      <c r="GZ672" s="1519" t="str">
        <f t="shared" si="189"/>
        <v/>
      </c>
      <c r="HA672" s="1519" t="str">
        <f t="shared" si="190"/>
        <v/>
      </c>
      <c r="HB672" s="1519" t="str">
        <f t="shared" si="191"/>
        <v/>
      </c>
      <c r="HC672" s="1519" t="str">
        <f t="shared" si="192"/>
        <v/>
      </c>
      <c r="HD672" s="1519" t="str">
        <f t="shared" si="193"/>
        <v/>
      </c>
      <c r="HE672" s="1519" t="str">
        <f t="shared" si="194"/>
        <v/>
      </c>
      <c r="HF672" s="1519" t="str">
        <f t="shared" si="195"/>
        <v/>
      </c>
      <c r="HG672" s="1519" t="str">
        <f t="shared" si="196"/>
        <v/>
      </c>
      <c r="HH672" s="1519" t="str">
        <f t="shared" si="197"/>
        <v/>
      </c>
      <c r="HI672" s="1519" t="str">
        <f t="shared" si="198"/>
        <v/>
      </c>
      <c r="HJ672" s="1519" t="str">
        <f t="shared" si="199"/>
        <v/>
      </c>
      <c r="HK672" s="1519" t="str">
        <f t="shared" si="200"/>
        <v/>
      </c>
      <c r="HL672" s="1519" t="str">
        <f t="shared" si="201"/>
        <v/>
      </c>
      <c r="HM672" s="1519" t="str">
        <f t="shared" si="202"/>
        <v/>
      </c>
      <c r="HN672" s="1519" t="str">
        <f t="shared" si="203"/>
        <v/>
      </c>
      <c r="HO672" s="1519" t="str">
        <f t="shared" si="204"/>
        <v/>
      </c>
      <c r="HP672" s="1519" t="str">
        <f t="shared" si="205"/>
        <v/>
      </c>
      <c r="HQ672" s="1519" t="str">
        <f t="shared" si="206"/>
        <v/>
      </c>
      <c r="HR672" s="1519" t="str">
        <f t="shared" si="207"/>
        <v/>
      </c>
      <c r="HS672" s="1519" t="str">
        <f t="shared" si="208"/>
        <v/>
      </c>
      <c r="HT672" s="1519" t="str">
        <f t="shared" si="209"/>
        <v/>
      </c>
      <c r="HU672" s="1519">
        <f t="shared" si="210"/>
        <v>46</v>
      </c>
      <c r="HV672" s="1519" t="str">
        <f t="shared" si="211"/>
        <v/>
      </c>
      <c r="HW672" s="1519" t="str">
        <f t="shared" si="212"/>
        <v/>
      </c>
      <c r="HX672" s="1519" t="str">
        <f t="shared" si="213"/>
        <v/>
      </c>
      <c r="HY672" s="1519" t="str">
        <f t="shared" si="214"/>
        <v/>
      </c>
      <c r="HZ672" s="1519" t="str">
        <f t="shared" si="215"/>
        <v/>
      </c>
      <c r="IA672" s="1519" t="str">
        <f t="shared" si="216"/>
        <v/>
      </c>
      <c r="IB672" s="1519" t="str">
        <f t="shared" si="217"/>
        <v/>
      </c>
      <c r="IC672" s="1519" t="str">
        <f t="shared" si="218"/>
        <v/>
      </c>
      <c r="ID672" s="1520" t="str">
        <f t="shared" si="219"/>
        <v/>
      </c>
      <c r="IE672" s="1520" t="str">
        <f t="shared" si="220"/>
        <v/>
      </c>
      <c r="IF672" s="1520" t="str">
        <f t="shared" si="221"/>
        <v/>
      </c>
      <c r="IG672" s="1520" t="str">
        <f t="shared" si="222"/>
        <v/>
      </c>
      <c r="IH672" s="1520" t="str">
        <f t="shared" si="223"/>
        <v/>
      </c>
      <c r="II672" s="1271" t="str">
        <f t="shared" si="224"/>
        <v/>
      </c>
      <c r="IJ672" s="1271" t="str">
        <f t="shared" si="225"/>
        <v/>
      </c>
      <c r="IK672" s="1271" t="str">
        <f t="shared" si="226"/>
        <v/>
      </c>
      <c r="IL672" s="1271" t="str">
        <f t="shared" si="227"/>
        <v/>
      </c>
      <c r="IM672" s="1271" t="str">
        <f t="shared" si="228"/>
        <v/>
      </c>
      <c r="IN672" s="1271" t="str">
        <f t="shared" si="229"/>
        <v/>
      </c>
      <c r="IO672" s="1271" t="str">
        <f t="shared" si="230"/>
        <v/>
      </c>
      <c r="IP672" s="1271" t="str">
        <f t="shared" si="231"/>
        <v/>
      </c>
      <c r="IQ672" s="1271" t="str">
        <f t="shared" si="232"/>
        <v/>
      </c>
      <c r="IR672" s="1271" t="str">
        <f t="shared" si="233"/>
        <v/>
      </c>
      <c r="IS672" s="1271" t="str">
        <f t="shared" si="234"/>
        <v/>
      </c>
      <c r="IT672" s="1271" t="str">
        <f t="shared" si="235"/>
        <v/>
      </c>
      <c r="IU672" s="1271" t="str">
        <f t="shared" si="236"/>
        <v/>
      </c>
      <c r="IV672" s="1271" t="str">
        <f t="shared" si="237"/>
        <v/>
      </c>
      <c r="IW672" s="1271" t="str">
        <f t="shared" si="238"/>
        <v/>
      </c>
      <c r="IX672" s="1271" t="str">
        <f t="shared" si="239"/>
        <v/>
      </c>
      <c r="IY672" s="1271" t="str">
        <f t="shared" si="240"/>
        <v/>
      </c>
      <c r="IZ672" s="1271" t="str">
        <f t="shared" si="241"/>
        <v/>
      </c>
      <c r="JA672" s="1271" t="str">
        <f t="shared" si="242"/>
        <v/>
      </c>
      <c r="JB672" s="1271" t="str">
        <f t="shared" si="243"/>
        <v/>
      </c>
      <c r="JC672" s="1518">
        <f t="shared" ref="JC672:JC708" si="244">IF(AND($C672="Efficiency",$E672&gt;0,OR($N672="1-Story",$N672="2-Story",$N672="3+ Story",$N672="2-Story Walkup",$N672="Townhome"),OR($O672="Acquisition/Rehab",$O672="Rehabilitation"),NOT($P672="Yes")),$E672,0)</f>
        <v>0</v>
      </c>
      <c r="JD672" s="1518">
        <f t="shared" ref="JD672:JD708" si="245">IF(AND($C672=1,$E672&gt;0,OR($N672="1-Story",$N672="2-Story",$N672="3+ Story",$N672="2-Story Walkup",$N672="Townhome"),OR($O672="Acquisition/Rehab",$O672="Rehabilitation"),NOT($P672="Yes")),$E672,0)</f>
        <v>0</v>
      </c>
      <c r="JE672" s="1518">
        <f t="shared" ref="JE672:JE708" si="246">IF(AND($C672=2,$E672&gt;0,OR($N672="1-Story",$N672="2-Story",$N672="3+ Story",$N672="2-Story Walkup",$N672="Townhome"),OR($O672="Acquisition/Rehab",$O672="Rehabilitation"),NOT($P672="Yes")),$E672,0)</f>
        <v>0</v>
      </c>
      <c r="JF672" s="1518">
        <f t="shared" ref="JF672:JF708" si="247">IF(AND($C672=3,$E672&gt;0,OR($N672="1-Story",$N672="2-Story",$N672="3+ Story",$N672="2-Story Walkup",$N672="Townhome"),OR($O672="Acquisition/Rehab",$O672="Rehabilitation"),NOT($P672="Yes")),$E672,0)</f>
        <v>0</v>
      </c>
      <c r="JG672" s="1518">
        <f t="shared" ref="JG672:JG708" si="248">IF(AND($C672=4,$E672&gt;0,OR($N672="1-Story",$N672="2-Story",$N672="3+ Story",$N672="2-Story Walkup",$N672="Townhome"),OR($O672="Acquisition/Rehab",$O672="Rehabilitation"),NOT($P672="Yes")),$E672,0)</f>
        <v>0</v>
      </c>
      <c r="JH672" s="1518">
        <f t="shared" ref="JH672:JH708" si="249">IF(AND($C672="Efficiency",$E672&gt;0,OR($N672="1-Story",$N672="2-Story",$N672="3+ Story",$N672="2-Story Walkup",$N672="Townhome"),$O672="New Construction"),$E672,0)</f>
        <v>0</v>
      </c>
      <c r="JI672" s="1518">
        <f t="shared" ref="JI672:JI708" si="250">IF(AND($C672=1,$E672&gt;0,OR($N672="1-Story",$N672="2-Story",$N672="3+ Story",$N672="2-Story Walkup",$N672="Townhome"),$O672="New Construction"),$E672,0)</f>
        <v>46</v>
      </c>
      <c r="JJ672" s="1518">
        <f t="shared" ref="JJ672:JJ708" si="251">IF(AND($C672=2,$E672&gt;0,OR($N672="1-Story",$N672="2-Story",$N672="3+ Story",$N672="2-Story Walkup",$N672="Townhome"),$O672="New Construction"),$E672,0)</f>
        <v>0</v>
      </c>
      <c r="JK672" s="1518">
        <f t="shared" ref="JK672:JK708" si="252">IF(AND($C672=3,$E672&gt;0,OR($N672="1-Story",$N672="2-Story",$N672="3+ Story",$N672="2-Story Walkup",$N672="Townhome"),$O672="New Construction"),$E672,0)</f>
        <v>0</v>
      </c>
      <c r="JL672" s="1518">
        <f t="shared" ref="JL672:JL708" si="253">IF(AND($C672=4,$E672&gt;0,OR($N672="1-Story",$N672="2-Story",$N672="3+ Story",$N672="2-Story Walkup",$N672="Townhome"),$O672="New Construction"),$E672,0)</f>
        <v>0</v>
      </c>
      <c r="JM672" s="1518">
        <f t="shared" ref="JM672:JM708" si="254">IF(AND($C672="Efficiency",$E672&gt;0,OR($N672="SF Detached",$N672="Duplex",$N672="Mfd Home"),NOT($P672="Yes")),$E672,0)</f>
        <v>0</v>
      </c>
      <c r="JN672" s="1518">
        <f t="shared" ref="JN672:JN708" si="255">IF(AND($C672=1,$E672&gt;0,OR($N672="SF Detached",$N672="Duplex",$N672="Mfd Home"),NOT($P672="Yes")),$E672,0)</f>
        <v>0</v>
      </c>
      <c r="JO672" s="1518">
        <f t="shared" ref="JO672:JO708" si="256">IF(AND($C672=2,$E672&gt;0,OR($N672="SF Detached",$N672="Duplex",$N672="Mfd Home"),NOT($P672="Yes")),$E672,0)</f>
        <v>0</v>
      </c>
      <c r="JP672" s="1518">
        <f t="shared" ref="JP672:JP708" si="257">IF(AND($C672=3,$E672&gt;0,OR($N672="SF Detached",$N672="Duplex",$N672="Mfd Home"),NOT($P672="Yes")),$E672,0)</f>
        <v>0</v>
      </c>
      <c r="JQ672" s="1518">
        <f t="shared" ref="JQ672:JQ708" si="258">IF(AND($C672=4,$E672&gt;0,OR($N672="SF Detached",$N672="Duplex",$N672="Mfd Home"),NOT($P672="Yes")),$E672,0)</f>
        <v>0</v>
      </c>
    </row>
    <row r="673" spans="1:277" ht="12" customHeight="1">
      <c r="A673" s="1687" t="str">
        <f t="shared" si="1"/>
        <v/>
      </c>
      <c r="B673" s="1702" t="str">
        <f>'Part VI-Revenues &amp; Expenses'!B12</f>
        <v>60% AMI</v>
      </c>
      <c r="C673" s="1703">
        <f>'Part VI-Revenues &amp; Expenses'!C12</f>
        <v>1</v>
      </c>
      <c r="D673" s="1704">
        <f>'Part VI-Revenues &amp; Expenses'!D12</f>
        <v>1</v>
      </c>
      <c r="E673" s="1705">
        <f>'Part VI-Revenues &amp; Expenses'!E12</f>
        <v>49</v>
      </c>
      <c r="F673" s="1705">
        <f>'Part VI-Revenues &amp; Expenses'!F12</f>
        <v>755</v>
      </c>
      <c r="G673" s="1705">
        <f>'Part VI-Revenues &amp; Expenses'!G12</f>
        <v>759</v>
      </c>
      <c r="H673" s="1705">
        <f>'Part VI-Revenues &amp; Expenses'!H12</f>
        <v>768</v>
      </c>
      <c r="I673" s="1705">
        <f>'Part VI-Revenues &amp; Expenses'!I12</f>
        <v>56</v>
      </c>
      <c r="J673" s="1706" t="str">
        <f>'Part VI-Revenues &amp; Expenses'!J12</f>
        <v>PHA PBRA</v>
      </c>
      <c r="K673" s="1707">
        <f t="shared" si="2"/>
        <v>712</v>
      </c>
      <c r="L673" s="1707">
        <f t="shared" si="3"/>
        <v>34888</v>
      </c>
      <c r="M673" s="1708" t="str">
        <f>'Part VI-Revenues &amp; Expenses'!M12</f>
        <v>No</v>
      </c>
      <c r="N673" s="1708" t="str">
        <f>'Part VI-Revenues &amp; Expenses'!N12</f>
        <v>3+ Story</v>
      </c>
      <c r="O673" s="1708" t="str">
        <f>'Part VI-Revenues &amp; Expenses'!O12</f>
        <v>New Construction</v>
      </c>
      <c r="P673" s="1515" t="str">
        <f>'Part VI-Revenues &amp; Expenses'!P12</f>
        <v>No</v>
      </c>
      <c r="Q673" s="1709">
        <f>'Part VI-Revenues &amp; Expenses'!Q12</f>
        <v>30720</v>
      </c>
      <c r="R673" s="1710">
        <f>'Part VI-Revenues &amp; Expenses'!R12</f>
        <v>0.59970717423133235</v>
      </c>
      <c r="S673" s="1709">
        <f>'Part VI-Revenues &amp; Expenses'!S12</f>
        <v>0</v>
      </c>
      <c r="T673" s="1710">
        <f>'Part VI-Revenues &amp; Expenses'!T12</f>
        <v>0</v>
      </c>
      <c r="U673" s="1629"/>
      <c r="V673" s="1629"/>
      <c r="W673" s="1271" t="str">
        <f t="shared" si="4"/>
        <v/>
      </c>
      <c r="X673" s="1271">
        <f t="shared" si="5"/>
        <v>49</v>
      </c>
      <c r="Y673" s="1271" t="str">
        <f t="shared" si="6"/>
        <v/>
      </c>
      <c r="Z673" s="1271" t="str">
        <f t="shared" si="7"/>
        <v/>
      </c>
      <c r="AA673" s="1271" t="str">
        <f t="shared" si="8"/>
        <v/>
      </c>
      <c r="AB673" s="1271" t="str">
        <f t="shared" si="9"/>
        <v/>
      </c>
      <c r="AC673" s="1271" t="str">
        <f t="shared" si="10"/>
        <v/>
      </c>
      <c r="AD673" s="1271" t="str">
        <f t="shared" si="11"/>
        <v/>
      </c>
      <c r="AE673" s="1271" t="str">
        <f t="shared" si="12"/>
        <v/>
      </c>
      <c r="AF673" s="1271" t="str">
        <f t="shared" si="13"/>
        <v/>
      </c>
      <c r="AG673" s="1271" t="str">
        <f t="shared" si="14"/>
        <v/>
      </c>
      <c r="AH673" s="1271" t="str">
        <f t="shared" si="15"/>
        <v/>
      </c>
      <c r="AI673" s="1271" t="str">
        <f t="shared" si="16"/>
        <v/>
      </c>
      <c r="AJ673" s="1271" t="str">
        <f t="shared" si="17"/>
        <v/>
      </c>
      <c r="AK673" s="1271" t="str">
        <f t="shared" si="18"/>
        <v/>
      </c>
      <c r="AL673" s="1271" t="str">
        <f t="shared" si="19"/>
        <v/>
      </c>
      <c r="AM673" s="1271" t="str">
        <f t="shared" si="20"/>
        <v/>
      </c>
      <c r="AN673" s="1271" t="str">
        <f t="shared" si="21"/>
        <v/>
      </c>
      <c r="AO673" s="1271" t="str">
        <f t="shared" si="22"/>
        <v/>
      </c>
      <c r="AP673" s="1271" t="str">
        <f t="shared" si="23"/>
        <v/>
      </c>
      <c r="AQ673" s="1271" t="str">
        <f t="shared" si="24"/>
        <v/>
      </c>
      <c r="AR673" s="1271" t="str">
        <f t="shared" si="25"/>
        <v/>
      </c>
      <c r="AS673" s="1271" t="str">
        <f t="shared" si="26"/>
        <v/>
      </c>
      <c r="AT673" s="1271" t="str">
        <f t="shared" si="27"/>
        <v/>
      </c>
      <c r="AU673" s="1271" t="str">
        <f t="shared" si="28"/>
        <v/>
      </c>
      <c r="AV673" s="1271" t="str">
        <f t="shared" si="29"/>
        <v/>
      </c>
      <c r="AW673" s="1271" t="str">
        <f t="shared" si="30"/>
        <v/>
      </c>
      <c r="AX673" s="1271" t="str">
        <f t="shared" si="31"/>
        <v/>
      </c>
      <c r="AY673" s="1271" t="str">
        <f t="shared" si="32"/>
        <v/>
      </c>
      <c r="AZ673" s="1271" t="str">
        <f t="shared" si="33"/>
        <v/>
      </c>
      <c r="BA673" s="1271" t="str">
        <f t="shared" si="34"/>
        <v/>
      </c>
      <c r="BB673" s="1271">
        <f t="shared" si="35"/>
        <v>49</v>
      </c>
      <c r="BC673" s="1271" t="str">
        <f t="shared" si="36"/>
        <v/>
      </c>
      <c r="BD673" s="1271" t="str">
        <f t="shared" si="37"/>
        <v/>
      </c>
      <c r="BE673" s="1271" t="str">
        <f t="shared" si="38"/>
        <v/>
      </c>
      <c r="BF673" s="1271" t="str">
        <f t="shared" si="39"/>
        <v/>
      </c>
      <c r="BG673" s="1271" t="str">
        <f t="shared" si="40"/>
        <v/>
      </c>
      <c r="BH673" s="1271" t="str">
        <f t="shared" si="41"/>
        <v/>
      </c>
      <c r="BI673" s="1271" t="str">
        <f t="shared" si="42"/>
        <v/>
      </c>
      <c r="BJ673" s="1271" t="str">
        <f t="shared" si="43"/>
        <v/>
      </c>
      <c r="BK673" s="1271" t="str">
        <f t="shared" si="44"/>
        <v/>
      </c>
      <c r="BL673" s="1271" t="str">
        <f t="shared" si="45"/>
        <v/>
      </c>
      <c r="BM673" s="1271" t="str">
        <f t="shared" si="46"/>
        <v/>
      </c>
      <c r="BN673" s="1271" t="str">
        <f t="shared" si="47"/>
        <v/>
      </c>
      <c r="BO673" s="1271" t="str">
        <f t="shared" si="48"/>
        <v/>
      </c>
      <c r="BP673" s="1271" t="str">
        <f t="shared" si="49"/>
        <v/>
      </c>
      <c r="BQ673" s="1271" t="str">
        <f t="shared" si="50"/>
        <v/>
      </c>
      <c r="BR673" s="1271" t="str">
        <f t="shared" si="51"/>
        <v/>
      </c>
      <c r="BS673" s="1271" t="str">
        <f t="shared" si="52"/>
        <v/>
      </c>
      <c r="BT673" s="1271" t="str">
        <f t="shared" si="53"/>
        <v/>
      </c>
      <c r="BU673" s="1271" t="str">
        <f t="shared" si="54"/>
        <v/>
      </c>
      <c r="BV673" s="1271" t="str">
        <f t="shared" si="55"/>
        <v/>
      </c>
      <c r="BW673" s="1271" t="str">
        <f t="shared" si="56"/>
        <v/>
      </c>
      <c r="BX673" s="1271" t="str">
        <f t="shared" si="57"/>
        <v/>
      </c>
      <c r="BY673" s="1271" t="str">
        <f t="shared" si="58"/>
        <v/>
      </c>
      <c r="BZ673" s="1271" t="str">
        <f t="shared" si="59"/>
        <v/>
      </c>
      <c r="CA673" s="1271">
        <f t="shared" si="60"/>
        <v>36995</v>
      </c>
      <c r="CB673" s="1271" t="str">
        <f t="shared" si="61"/>
        <v/>
      </c>
      <c r="CC673" s="1271" t="str">
        <f t="shared" si="62"/>
        <v/>
      </c>
      <c r="CD673" s="1271" t="str">
        <f t="shared" si="63"/>
        <v/>
      </c>
      <c r="CE673" s="1271" t="str">
        <f t="shared" si="64"/>
        <v/>
      </c>
      <c r="CF673" s="1271" t="str">
        <f t="shared" si="65"/>
        <v/>
      </c>
      <c r="CG673" s="1271" t="str">
        <f t="shared" si="66"/>
        <v/>
      </c>
      <c r="CH673" s="1271" t="str">
        <f t="shared" si="67"/>
        <v/>
      </c>
      <c r="CI673" s="1271" t="str">
        <f t="shared" si="68"/>
        <v/>
      </c>
      <c r="CJ673" s="1271" t="str">
        <f t="shared" si="69"/>
        <v/>
      </c>
      <c r="CK673" s="1271" t="str">
        <f t="shared" si="70"/>
        <v/>
      </c>
      <c r="CL673" s="1271" t="str">
        <f t="shared" si="71"/>
        <v/>
      </c>
      <c r="CM673" s="1271" t="str">
        <f t="shared" si="72"/>
        <v/>
      </c>
      <c r="CN673" s="1271" t="str">
        <f t="shared" si="73"/>
        <v/>
      </c>
      <c r="CO673" s="1271" t="str">
        <f t="shared" si="74"/>
        <v/>
      </c>
      <c r="CP673" s="1271" t="str">
        <f t="shared" si="75"/>
        <v/>
      </c>
      <c r="CQ673" s="1271" t="str">
        <f t="shared" si="76"/>
        <v/>
      </c>
      <c r="CR673" s="1271" t="str">
        <f t="shared" si="77"/>
        <v/>
      </c>
      <c r="CS673" s="1271" t="str">
        <f t="shared" si="78"/>
        <v/>
      </c>
      <c r="CT673" s="1271" t="str">
        <f t="shared" si="79"/>
        <v/>
      </c>
      <c r="CU673" s="1271">
        <f t="shared" si="80"/>
        <v>36995</v>
      </c>
      <c r="CV673" s="1271" t="str">
        <f t="shared" si="81"/>
        <v/>
      </c>
      <c r="CW673" s="1271" t="str">
        <f t="shared" si="82"/>
        <v/>
      </c>
      <c r="CX673" s="1271" t="str">
        <f t="shared" si="83"/>
        <v/>
      </c>
      <c r="CY673" s="1271" t="str">
        <f t="shared" si="84"/>
        <v/>
      </c>
      <c r="CZ673" s="1271" t="str">
        <f t="shared" si="85"/>
        <v/>
      </c>
      <c r="DA673" s="1271" t="str">
        <f t="shared" si="86"/>
        <v/>
      </c>
      <c r="DB673" s="1271" t="str">
        <f t="shared" si="87"/>
        <v/>
      </c>
      <c r="DC673" s="1271" t="str">
        <f t="shared" si="88"/>
        <v/>
      </c>
      <c r="DD673" s="1271" t="str">
        <f t="shared" si="89"/>
        <v/>
      </c>
      <c r="DE673" s="1271">
        <f t="shared" si="90"/>
        <v>49</v>
      </c>
      <c r="DF673" s="1271" t="str">
        <f t="shared" si="91"/>
        <v/>
      </c>
      <c r="DG673" s="1271" t="str">
        <f t="shared" si="92"/>
        <v/>
      </c>
      <c r="DH673" s="1271" t="str">
        <f t="shared" si="93"/>
        <v/>
      </c>
      <c r="DI673" s="1271" t="str">
        <f t="shared" si="94"/>
        <v/>
      </c>
      <c r="DJ673" s="1271" t="str">
        <f t="shared" si="95"/>
        <v/>
      </c>
      <c r="DK673" s="1271" t="str">
        <f t="shared" si="96"/>
        <v/>
      </c>
      <c r="DL673" s="1271" t="str">
        <f t="shared" si="97"/>
        <v/>
      </c>
      <c r="DM673" s="1271" t="str">
        <f t="shared" si="98"/>
        <v/>
      </c>
      <c r="DN673" s="1271" t="str">
        <f t="shared" si="99"/>
        <v/>
      </c>
      <c r="DO673" s="1271" t="str">
        <f t="shared" si="100"/>
        <v/>
      </c>
      <c r="DP673" s="1271" t="str">
        <f t="shared" si="101"/>
        <v/>
      </c>
      <c r="DQ673" s="1271" t="str">
        <f t="shared" si="102"/>
        <v/>
      </c>
      <c r="DR673" s="1271" t="str">
        <f t="shared" si="103"/>
        <v/>
      </c>
      <c r="DS673" s="1271" t="str">
        <f t="shared" si="104"/>
        <v/>
      </c>
      <c r="DT673" s="1271" t="str">
        <f t="shared" si="105"/>
        <v/>
      </c>
      <c r="DU673" s="1271" t="str">
        <f t="shared" si="106"/>
        <v/>
      </c>
      <c r="DV673" s="1271" t="str">
        <f t="shared" si="107"/>
        <v/>
      </c>
      <c r="DW673" s="1271" t="str">
        <f t="shared" si="108"/>
        <v/>
      </c>
      <c r="DX673" s="1271" t="str">
        <f t="shared" si="109"/>
        <v/>
      </c>
      <c r="DY673" s="1271" t="str">
        <f t="shared" si="110"/>
        <v/>
      </c>
      <c r="DZ673" s="1271" t="str">
        <f t="shared" si="111"/>
        <v/>
      </c>
      <c r="EA673" s="1271" t="str">
        <f t="shared" si="112"/>
        <v/>
      </c>
      <c r="EB673" s="1271" t="str">
        <f t="shared" si="113"/>
        <v/>
      </c>
      <c r="EC673" s="1271" t="str">
        <f t="shared" si="114"/>
        <v/>
      </c>
      <c r="ED673" s="1271" t="str">
        <f t="shared" si="115"/>
        <v/>
      </c>
      <c r="EE673" s="1271" t="str">
        <f t="shared" si="116"/>
        <v/>
      </c>
      <c r="EF673" s="1271" t="str">
        <f t="shared" si="117"/>
        <v/>
      </c>
      <c r="EG673" s="1271" t="str">
        <f t="shared" si="118"/>
        <v/>
      </c>
      <c r="EH673" s="1271" t="str">
        <f t="shared" si="119"/>
        <v/>
      </c>
      <c r="EI673" s="1271" t="str">
        <f t="shared" si="120"/>
        <v/>
      </c>
      <c r="EJ673" s="1271" t="str">
        <f t="shared" si="121"/>
        <v/>
      </c>
      <c r="EK673" s="1271" t="str">
        <f t="shared" si="122"/>
        <v/>
      </c>
      <c r="EL673" s="1271" t="str">
        <f t="shared" si="123"/>
        <v/>
      </c>
      <c r="EM673" s="1271" t="str">
        <f t="shared" si="124"/>
        <v/>
      </c>
      <c r="EN673" s="1271" t="str">
        <f t="shared" si="125"/>
        <v/>
      </c>
      <c r="EO673" s="1271" t="str">
        <f t="shared" si="126"/>
        <v/>
      </c>
      <c r="EP673" s="1271" t="str">
        <f t="shared" si="127"/>
        <v/>
      </c>
      <c r="EQ673" s="1271" t="str">
        <f t="shared" si="128"/>
        <v/>
      </c>
      <c r="ER673" s="1271" t="str">
        <f t="shared" si="129"/>
        <v/>
      </c>
      <c r="ES673" s="1271" t="str">
        <f t="shared" si="130"/>
        <v/>
      </c>
      <c r="ET673" s="1271" t="str">
        <f t="shared" si="131"/>
        <v/>
      </c>
      <c r="EU673" s="1271" t="str">
        <f t="shared" si="132"/>
        <v/>
      </c>
      <c r="EV673" s="1271" t="str">
        <f t="shared" si="133"/>
        <v/>
      </c>
      <c r="EW673" s="1519" t="str">
        <f t="shared" si="134"/>
        <v/>
      </c>
      <c r="EX673" s="1519">
        <f t="shared" si="135"/>
        <v>49</v>
      </c>
      <c r="EY673" s="1519" t="str">
        <f t="shared" si="136"/>
        <v/>
      </c>
      <c r="EZ673" s="1519" t="str">
        <f t="shared" si="137"/>
        <v/>
      </c>
      <c r="FA673" s="1519" t="str">
        <f t="shared" si="138"/>
        <v/>
      </c>
      <c r="FB673" s="1519" t="str">
        <f t="shared" si="139"/>
        <v/>
      </c>
      <c r="FC673" s="1519" t="str">
        <f t="shared" si="140"/>
        <v/>
      </c>
      <c r="FD673" s="1519" t="str">
        <f t="shared" si="141"/>
        <v/>
      </c>
      <c r="FE673" s="1519" t="str">
        <f t="shared" si="142"/>
        <v/>
      </c>
      <c r="FF673" s="1519" t="str">
        <f t="shared" si="143"/>
        <v/>
      </c>
      <c r="FG673" s="1519" t="str">
        <f t="shared" si="144"/>
        <v/>
      </c>
      <c r="FH673" s="1519" t="str">
        <f t="shared" si="145"/>
        <v/>
      </c>
      <c r="FI673" s="1519" t="str">
        <f t="shared" si="146"/>
        <v/>
      </c>
      <c r="FJ673" s="1519" t="str">
        <f t="shared" si="147"/>
        <v/>
      </c>
      <c r="FK673" s="1519" t="str">
        <f t="shared" si="148"/>
        <v/>
      </c>
      <c r="FL673" s="1519" t="str">
        <f t="shared" si="149"/>
        <v/>
      </c>
      <c r="FM673" s="1519" t="str">
        <f t="shared" si="150"/>
        <v/>
      </c>
      <c r="FN673" s="1519" t="str">
        <f t="shared" si="151"/>
        <v/>
      </c>
      <c r="FO673" s="1519" t="str">
        <f t="shared" si="152"/>
        <v/>
      </c>
      <c r="FP673" s="1519" t="str">
        <f t="shared" si="153"/>
        <v/>
      </c>
      <c r="FQ673" s="1519" t="str">
        <f t="shared" si="154"/>
        <v/>
      </c>
      <c r="FR673" s="1519" t="str">
        <f t="shared" si="155"/>
        <v/>
      </c>
      <c r="FS673" s="1519" t="str">
        <f t="shared" si="156"/>
        <v/>
      </c>
      <c r="FT673" s="1519" t="str">
        <f t="shared" si="157"/>
        <v/>
      </c>
      <c r="FU673" s="1519" t="str">
        <f t="shared" si="158"/>
        <v/>
      </c>
      <c r="FV673" s="1519" t="str">
        <f t="shared" si="159"/>
        <v/>
      </c>
      <c r="FW673" s="1519" t="str">
        <f t="shared" si="160"/>
        <v/>
      </c>
      <c r="FX673" s="1519" t="str">
        <f t="shared" si="161"/>
        <v/>
      </c>
      <c r="FY673" s="1519" t="str">
        <f t="shared" si="162"/>
        <v/>
      </c>
      <c r="FZ673" s="1519" t="str">
        <f t="shared" si="163"/>
        <v/>
      </c>
      <c r="GA673" s="1519" t="str">
        <f t="shared" si="164"/>
        <v/>
      </c>
      <c r="GB673" s="1519" t="str">
        <f t="shared" si="165"/>
        <v/>
      </c>
      <c r="GC673" s="1519" t="str">
        <f t="shared" si="166"/>
        <v/>
      </c>
      <c r="GD673" s="1519" t="str">
        <f t="shared" si="167"/>
        <v/>
      </c>
      <c r="GE673" s="1519" t="str">
        <f t="shared" si="168"/>
        <v/>
      </c>
      <c r="GF673" s="1519" t="str">
        <f t="shared" si="169"/>
        <v/>
      </c>
      <c r="GG673" s="1519" t="str">
        <f t="shared" si="170"/>
        <v/>
      </c>
      <c r="GH673" s="1519" t="str">
        <f t="shared" si="171"/>
        <v/>
      </c>
      <c r="GI673" s="1519" t="str">
        <f t="shared" si="172"/>
        <v/>
      </c>
      <c r="GJ673" s="1519" t="str">
        <f t="shared" si="173"/>
        <v/>
      </c>
      <c r="GK673" s="1519" t="str">
        <f t="shared" si="174"/>
        <v/>
      </c>
      <c r="GL673" s="1519" t="str">
        <f t="shared" si="175"/>
        <v/>
      </c>
      <c r="GM673" s="1519" t="str">
        <f t="shared" si="176"/>
        <v/>
      </c>
      <c r="GN673" s="1519" t="str">
        <f t="shared" si="177"/>
        <v/>
      </c>
      <c r="GO673" s="1519" t="str">
        <f t="shared" si="178"/>
        <v/>
      </c>
      <c r="GP673" s="1519" t="str">
        <f t="shared" si="179"/>
        <v/>
      </c>
      <c r="GQ673" s="1519" t="str">
        <f t="shared" si="180"/>
        <v/>
      </c>
      <c r="GR673" s="1519" t="str">
        <f t="shared" si="181"/>
        <v/>
      </c>
      <c r="GS673" s="1519" t="str">
        <f t="shared" si="182"/>
        <v/>
      </c>
      <c r="GT673" s="1519" t="str">
        <f t="shared" si="183"/>
        <v/>
      </c>
      <c r="GU673" s="1519" t="str">
        <f t="shared" si="184"/>
        <v/>
      </c>
      <c r="GV673" s="1519" t="str">
        <f t="shared" si="185"/>
        <v/>
      </c>
      <c r="GW673" s="1519" t="str">
        <f t="shared" si="186"/>
        <v/>
      </c>
      <c r="GX673" s="1519" t="str">
        <f t="shared" si="187"/>
        <v/>
      </c>
      <c r="GY673" s="1519" t="str">
        <f t="shared" si="188"/>
        <v/>
      </c>
      <c r="GZ673" s="1519" t="str">
        <f t="shared" si="189"/>
        <v/>
      </c>
      <c r="HA673" s="1519" t="str">
        <f t="shared" si="190"/>
        <v/>
      </c>
      <c r="HB673" s="1519" t="str">
        <f t="shared" si="191"/>
        <v/>
      </c>
      <c r="HC673" s="1519" t="str">
        <f t="shared" si="192"/>
        <v/>
      </c>
      <c r="HD673" s="1519" t="str">
        <f t="shared" si="193"/>
        <v/>
      </c>
      <c r="HE673" s="1519" t="str">
        <f t="shared" si="194"/>
        <v/>
      </c>
      <c r="HF673" s="1519" t="str">
        <f t="shared" si="195"/>
        <v/>
      </c>
      <c r="HG673" s="1519" t="str">
        <f t="shared" si="196"/>
        <v/>
      </c>
      <c r="HH673" s="1519" t="str">
        <f t="shared" si="197"/>
        <v/>
      </c>
      <c r="HI673" s="1519" t="str">
        <f t="shared" si="198"/>
        <v/>
      </c>
      <c r="HJ673" s="1519" t="str">
        <f t="shared" si="199"/>
        <v/>
      </c>
      <c r="HK673" s="1519" t="str">
        <f t="shared" si="200"/>
        <v/>
      </c>
      <c r="HL673" s="1519" t="str">
        <f t="shared" si="201"/>
        <v/>
      </c>
      <c r="HM673" s="1519" t="str">
        <f t="shared" si="202"/>
        <v/>
      </c>
      <c r="HN673" s="1519" t="str">
        <f t="shared" si="203"/>
        <v/>
      </c>
      <c r="HO673" s="1519" t="str">
        <f t="shared" si="204"/>
        <v/>
      </c>
      <c r="HP673" s="1519" t="str">
        <f t="shared" si="205"/>
        <v/>
      </c>
      <c r="HQ673" s="1519" t="str">
        <f t="shared" si="206"/>
        <v/>
      </c>
      <c r="HR673" s="1519" t="str">
        <f t="shared" si="207"/>
        <v/>
      </c>
      <c r="HS673" s="1519" t="str">
        <f t="shared" si="208"/>
        <v/>
      </c>
      <c r="HT673" s="1519" t="str">
        <f t="shared" si="209"/>
        <v/>
      </c>
      <c r="HU673" s="1519">
        <f t="shared" si="210"/>
        <v>49</v>
      </c>
      <c r="HV673" s="1519" t="str">
        <f t="shared" si="211"/>
        <v/>
      </c>
      <c r="HW673" s="1519" t="str">
        <f t="shared" si="212"/>
        <v/>
      </c>
      <c r="HX673" s="1519" t="str">
        <f t="shared" si="213"/>
        <v/>
      </c>
      <c r="HY673" s="1519" t="str">
        <f t="shared" si="214"/>
        <v/>
      </c>
      <c r="HZ673" s="1519" t="str">
        <f t="shared" si="215"/>
        <v/>
      </c>
      <c r="IA673" s="1519" t="str">
        <f t="shared" si="216"/>
        <v/>
      </c>
      <c r="IB673" s="1519" t="str">
        <f t="shared" si="217"/>
        <v/>
      </c>
      <c r="IC673" s="1519" t="str">
        <f t="shared" si="218"/>
        <v/>
      </c>
      <c r="ID673" s="1520" t="str">
        <f t="shared" si="219"/>
        <v/>
      </c>
      <c r="IE673" s="1520" t="str">
        <f t="shared" si="220"/>
        <v/>
      </c>
      <c r="IF673" s="1520" t="str">
        <f t="shared" si="221"/>
        <v/>
      </c>
      <c r="IG673" s="1520" t="str">
        <f t="shared" si="222"/>
        <v/>
      </c>
      <c r="IH673" s="1520" t="str">
        <f t="shared" si="223"/>
        <v/>
      </c>
      <c r="II673" s="1271" t="str">
        <f t="shared" si="224"/>
        <v/>
      </c>
      <c r="IJ673" s="1271" t="str">
        <f t="shared" si="225"/>
        <v/>
      </c>
      <c r="IK673" s="1271" t="str">
        <f t="shared" si="226"/>
        <v/>
      </c>
      <c r="IL673" s="1271" t="str">
        <f t="shared" si="227"/>
        <v/>
      </c>
      <c r="IM673" s="1271" t="str">
        <f t="shared" si="228"/>
        <v/>
      </c>
      <c r="IN673" s="1271" t="str">
        <f t="shared" si="229"/>
        <v/>
      </c>
      <c r="IO673" s="1271" t="str">
        <f t="shared" si="230"/>
        <v/>
      </c>
      <c r="IP673" s="1271" t="str">
        <f t="shared" si="231"/>
        <v/>
      </c>
      <c r="IQ673" s="1271" t="str">
        <f t="shared" si="232"/>
        <v/>
      </c>
      <c r="IR673" s="1271" t="str">
        <f t="shared" si="233"/>
        <v/>
      </c>
      <c r="IS673" s="1271" t="str">
        <f t="shared" si="234"/>
        <v/>
      </c>
      <c r="IT673" s="1271" t="str">
        <f t="shared" si="235"/>
        <v/>
      </c>
      <c r="IU673" s="1271" t="str">
        <f t="shared" si="236"/>
        <v/>
      </c>
      <c r="IV673" s="1271" t="str">
        <f t="shared" si="237"/>
        <v/>
      </c>
      <c r="IW673" s="1271" t="str">
        <f t="shared" si="238"/>
        <v/>
      </c>
      <c r="IX673" s="1271" t="str">
        <f t="shared" si="239"/>
        <v/>
      </c>
      <c r="IY673" s="1271" t="str">
        <f t="shared" si="240"/>
        <v/>
      </c>
      <c r="IZ673" s="1271" t="str">
        <f t="shared" si="241"/>
        <v/>
      </c>
      <c r="JA673" s="1271" t="str">
        <f t="shared" si="242"/>
        <v/>
      </c>
      <c r="JB673" s="1271" t="str">
        <f t="shared" si="243"/>
        <v/>
      </c>
      <c r="JC673" s="1518">
        <f t="shared" si="244"/>
        <v>0</v>
      </c>
      <c r="JD673" s="1518">
        <f t="shared" si="245"/>
        <v>0</v>
      </c>
      <c r="JE673" s="1518">
        <f t="shared" si="246"/>
        <v>0</v>
      </c>
      <c r="JF673" s="1518">
        <f t="shared" si="247"/>
        <v>0</v>
      </c>
      <c r="JG673" s="1518">
        <f t="shared" si="248"/>
        <v>0</v>
      </c>
      <c r="JH673" s="1518">
        <f t="shared" si="249"/>
        <v>0</v>
      </c>
      <c r="JI673" s="1518">
        <f t="shared" si="250"/>
        <v>49</v>
      </c>
      <c r="JJ673" s="1518">
        <f t="shared" si="251"/>
        <v>0</v>
      </c>
      <c r="JK673" s="1518">
        <f t="shared" si="252"/>
        <v>0</v>
      </c>
      <c r="JL673" s="1518">
        <f t="shared" si="253"/>
        <v>0</v>
      </c>
      <c r="JM673" s="1518">
        <f t="shared" si="254"/>
        <v>0</v>
      </c>
      <c r="JN673" s="1518">
        <f t="shared" si="255"/>
        <v>0</v>
      </c>
      <c r="JO673" s="1518">
        <f t="shared" si="256"/>
        <v>0</v>
      </c>
      <c r="JP673" s="1518">
        <f t="shared" si="257"/>
        <v>0</v>
      </c>
      <c r="JQ673" s="1518">
        <f t="shared" si="258"/>
        <v>0</v>
      </c>
    </row>
    <row r="674" spans="1:277" ht="12" customHeight="1">
      <c r="A674" s="1687" t="str">
        <f t="shared" si="1"/>
        <v/>
      </c>
      <c r="B674" s="1702" t="str">
        <f>'Part VI-Revenues &amp; Expenses'!B13</f>
        <v>60% AMI</v>
      </c>
      <c r="C674" s="1703">
        <f>'Part VI-Revenues &amp; Expenses'!C13</f>
        <v>2</v>
      </c>
      <c r="D674" s="1704">
        <f>'Part VI-Revenues &amp; Expenses'!D13</f>
        <v>2</v>
      </c>
      <c r="E674" s="1705">
        <f>'Part VI-Revenues &amp; Expenses'!E13</f>
        <v>13</v>
      </c>
      <c r="F674" s="1705">
        <f>'Part VI-Revenues &amp; Expenses'!F13</f>
        <v>1039</v>
      </c>
      <c r="G674" s="1705">
        <f>'Part VI-Revenues &amp; Expenses'!G13</f>
        <v>912</v>
      </c>
      <c r="H674" s="1705">
        <f>'Part VI-Revenues &amp; Expenses'!H13</f>
        <v>921</v>
      </c>
      <c r="I674" s="1705">
        <f>'Part VI-Revenues &amp; Expenses'!I13</f>
        <v>74</v>
      </c>
      <c r="J674" s="1706" t="str">
        <f>'Part VI-Revenues &amp; Expenses'!J13</f>
        <v>PHA PBRA</v>
      </c>
      <c r="K674" s="1707">
        <f t="shared" si="2"/>
        <v>847</v>
      </c>
      <c r="L674" s="1707">
        <f t="shared" si="3"/>
        <v>11011</v>
      </c>
      <c r="M674" s="1708" t="str">
        <f>'Part VI-Revenues &amp; Expenses'!M13</f>
        <v>No</v>
      </c>
      <c r="N674" s="1708" t="str">
        <f>'Part VI-Revenues &amp; Expenses'!N13</f>
        <v>3+ Story</v>
      </c>
      <c r="O674" s="1708" t="str">
        <f>'Part VI-Revenues &amp; Expenses'!O13</f>
        <v>New Construction</v>
      </c>
      <c r="P674" s="1515" t="str">
        <f>'Part VI-Revenues &amp; Expenses'!P13</f>
        <v>No</v>
      </c>
      <c r="Q674" s="1709">
        <f>'Part VI-Revenues &amp; Expenses'!Q13</f>
        <v>36840</v>
      </c>
      <c r="R674" s="1710">
        <f>'Part VI-Revenues &amp; Expenses'!R13</f>
        <v>0.59931673987310885</v>
      </c>
      <c r="S674" s="1709">
        <f>'Part VI-Revenues &amp; Expenses'!S13</f>
        <v>0</v>
      </c>
      <c r="T674" s="1710">
        <f>'Part VI-Revenues &amp; Expenses'!T13</f>
        <v>0</v>
      </c>
      <c r="U674" s="1629"/>
      <c r="V674" s="1629"/>
      <c r="W674" s="1271" t="str">
        <f t="shared" si="4"/>
        <v/>
      </c>
      <c r="X674" s="1271" t="str">
        <f t="shared" si="5"/>
        <v/>
      </c>
      <c r="Y674" s="1271">
        <f t="shared" si="6"/>
        <v>13</v>
      </c>
      <c r="Z674" s="1271" t="str">
        <f t="shared" si="7"/>
        <v/>
      </c>
      <c r="AA674" s="1271" t="str">
        <f t="shared" si="8"/>
        <v/>
      </c>
      <c r="AB674" s="1271" t="str">
        <f t="shared" si="9"/>
        <v/>
      </c>
      <c r="AC674" s="1271" t="str">
        <f t="shared" si="10"/>
        <v/>
      </c>
      <c r="AD674" s="1271" t="str">
        <f t="shared" si="11"/>
        <v/>
      </c>
      <c r="AE674" s="1271" t="str">
        <f t="shared" si="12"/>
        <v/>
      </c>
      <c r="AF674" s="1271" t="str">
        <f t="shared" si="13"/>
        <v/>
      </c>
      <c r="AG674" s="1271" t="str">
        <f t="shared" si="14"/>
        <v/>
      </c>
      <c r="AH674" s="1271" t="str">
        <f t="shared" si="15"/>
        <v/>
      </c>
      <c r="AI674" s="1271" t="str">
        <f t="shared" si="16"/>
        <v/>
      </c>
      <c r="AJ674" s="1271" t="str">
        <f t="shared" si="17"/>
        <v/>
      </c>
      <c r="AK674" s="1271" t="str">
        <f t="shared" si="18"/>
        <v/>
      </c>
      <c r="AL674" s="1271" t="str">
        <f t="shared" si="19"/>
        <v/>
      </c>
      <c r="AM674" s="1271" t="str">
        <f t="shared" si="20"/>
        <v/>
      </c>
      <c r="AN674" s="1271" t="str">
        <f t="shared" si="21"/>
        <v/>
      </c>
      <c r="AO674" s="1271" t="str">
        <f t="shared" si="22"/>
        <v/>
      </c>
      <c r="AP674" s="1271" t="str">
        <f t="shared" si="23"/>
        <v/>
      </c>
      <c r="AQ674" s="1271" t="str">
        <f t="shared" si="24"/>
        <v/>
      </c>
      <c r="AR674" s="1271" t="str">
        <f t="shared" si="25"/>
        <v/>
      </c>
      <c r="AS674" s="1271" t="str">
        <f t="shared" si="26"/>
        <v/>
      </c>
      <c r="AT674" s="1271" t="str">
        <f t="shared" si="27"/>
        <v/>
      </c>
      <c r="AU674" s="1271" t="str">
        <f t="shared" si="28"/>
        <v/>
      </c>
      <c r="AV674" s="1271" t="str">
        <f t="shared" si="29"/>
        <v/>
      </c>
      <c r="AW674" s="1271" t="str">
        <f t="shared" si="30"/>
        <v/>
      </c>
      <c r="AX674" s="1271" t="str">
        <f t="shared" si="31"/>
        <v/>
      </c>
      <c r="AY674" s="1271" t="str">
        <f t="shared" si="32"/>
        <v/>
      </c>
      <c r="AZ674" s="1271" t="str">
        <f t="shared" si="33"/>
        <v/>
      </c>
      <c r="BA674" s="1271" t="str">
        <f t="shared" si="34"/>
        <v/>
      </c>
      <c r="BB674" s="1271" t="str">
        <f t="shared" si="35"/>
        <v/>
      </c>
      <c r="BC674" s="1271">
        <f t="shared" si="36"/>
        <v>13</v>
      </c>
      <c r="BD674" s="1271" t="str">
        <f t="shared" si="37"/>
        <v/>
      </c>
      <c r="BE674" s="1271" t="str">
        <f t="shared" si="38"/>
        <v/>
      </c>
      <c r="BF674" s="1271" t="str">
        <f t="shared" si="39"/>
        <v/>
      </c>
      <c r="BG674" s="1271" t="str">
        <f t="shared" si="40"/>
        <v/>
      </c>
      <c r="BH674" s="1271" t="str">
        <f t="shared" si="41"/>
        <v/>
      </c>
      <c r="BI674" s="1271" t="str">
        <f t="shared" si="42"/>
        <v/>
      </c>
      <c r="BJ674" s="1271" t="str">
        <f t="shared" si="43"/>
        <v/>
      </c>
      <c r="BK674" s="1271" t="str">
        <f t="shared" si="44"/>
        <v/>
      </c>
      <c r="BL674" s="1271" t="str">
        <f t="shared" si="45"/>
        <v/>
      </c>
      <c r="BM674" s="1271" t="str">
        <f t="shared" si="46"/>
        <v/>
      </c>
      <c r="BN674" s="1271" t="str">
        <f t="shared" si="47"/>
        <v/>
      </c>
      <c r="BO674" s="1271" t="str">
        <f t="shared" si="48"/>
        <v/>
      </c>
      <c r="BP674" s="1271" t="str">
        <f t="shared" si="49"/>
        <v/>
      </c>
      <c r="BQ674" s="1271" t="str">
        <f t="shared" si="50"/>
        <v/>
      </c>
      <c r="BR674" s="1271" t="str">
        <f t="shared" si="51"/>
        <v/>
      </c>
      <c r="BS674" s="1271" t="str">
        <f t="shared" si="52"/>
        <v/>
      </c>
      <c r="BT674" s="1271" t="str">
        <f t="shared" si="53"/>
        <v/>
      </c>
      <c r="BU674" s="1271" t="str">
        <f t="shared" si="54"/>
        <v/>
      </c>
      <c r="BV674" s="1271" t="str">
        <f t="shared" si="55"/>
        <v/>
      </c>
      <c r="BW674" s="1271" t="str">
        <f t="shared" si="56"/>
        <v/>
      </c>
      <c r="BX674" s="1271" t="str">
        <f t="shared" si="57"/>
        <v/>
      </c>
      <c r="BY674" s="1271" t="str">
        <f t="shared" si="58"/>
        <v/>
      </c>
      <c r="BZ674" s="1271" t="str">
        <f t="shared" si="59"/>
        <v/>
      </c>
      <c r="CA674" s="1271" t="str">
        <f t="shared" si="60"/>
        <v/>
      </c>
      <c r="CB674" s="1271">
        <f t="shared" si="61"/>
        <v>13507</v>
      </c>
      <c r="CC674" s="1271" t="str">
        <f t="shared" si="62"/>
        <v/>
      </c>
      <c r="CD674" s="1271" t="str">
        <f t="shared" si="63"/>
        <v/>
      </c>
      <c r="CE674" s="1271" t="str">
        <f t="shared" si="64"/>
        <v/>
      </c>
      <c r="CF674" s="1271" t="str">
        <f t="shared" si="65"/>
        <v/>
      </c>
      <c r="CG674" s="1271" t="str">
        <f t="shared" si="66"/>
        <v/>
      </c>
      <c r="CH674" s="1271" t="str">
        <f t="shared" si="67"/>
        <v/>
      </c>
      <c r="CI674" s="1271" t="str">
        <f t="shared" si="68"/>
        <v/>
      </c>
      <c r="CJ674" s="1271" t="str">
        <f t="shared" si="69"/>
        <v/>
      </c>
      <c r="CK674" s="1271" t="str">
        <f t="shared" si="70"/>
        <v/>
      </c>
      <c r="CL674" s="1271" t="str">
        <f t="shared" si="71"/>
        <v/>
      </c>
      <c r="CM674" s="1271" t="str">
        <f t="shared" si="72"/>
        <v/>
      </c>
      <c r="CN674" s="1271" t="str">
        <f t="shared" si="73"/>
        <v/>
      </c>
      <c r="CO674" s="1271" t="str">
        <f t="shared" si="74"/>
        <v/>
      </c>
      <c r="CP674" s="1271" t="str">
        <f t="shared" si="75"/>
        <v/>
      </c>
      <c r="CQ674" s="1271" t="str">
        <f t="shared" si="76"/>
        <v/>
      </c>
      <c r="CR674" s="1271" t="str">
        <f t="shared" si="77"/>
        <v/>
      </c>
      <c r="CS674" s="1271" t="str">
        <f t="shared" si="78"/>
        <v/>
      </c>
      <c r="CT674" s="1271" t="str">
        <f t="shared" si="79"/>
        <v/>
      </c>
      <c r="CU674" s="1271" t="str">
        <f t="shared" si="80"/>
        <v/>
      </c>
      <c r="CV674" s="1271">
        <f t="shared" si="81"/>
        <v>13507</v>
      </c>
      <c r="CW674" s="1271" t="str">
        <f t="shared" si="82"/>
        <v/>
      </c>
      <c r="CX674" s="1271" t="str">
        <f t="shared" si="83"/>
        <v/>
      </c>
      <c r="CY674" s="1271" t="str">
        <f t="shared" si="84"/>
        <v/>
      </c>
      <c r="CZ674" s="1271" t="str">
        <f t="shared" si="85"/>
        <v/>
      </c>
      <c r="DA674" s="1271" t="str">
        <f t="shared" si="86"/>
        <v/>
      </c>
      <c r="DB674" s="1271" t="str">
        <f t="shared" si="87"/>
        <v/>
      </c>
      <c r="DC674" s="1271" t="str">
        <f t="shared" si="88"/>
        <v/>
      </c>
      <c r="DD674" s="1271" t="str">
        <f t="shared" si="89"/>
        <v/>
      </c>
      <c r="DE674" s="1271" t="str">
        <f t="shared" si="90"/>
        <v/>
      </c>
      <c r="DF674" s="1271">
        <f t="shared" si="91"/>
        <v>13</v>
      </c>
      <c r="DG674" s="1271" t="str">
        <f t="shared" si="92"/>
        <v/>
      </c>
      <c r="DH674" s="1271" t="str">
        <f t="shared" si="93"/>
        <v/>
      </c>
      <c r="DI674" s="1271" t="str">
        <f t="shared" si="94"/>
        <v/>
      </c>
      <c r="DJ674" s="1271" t="str">
        <f t="shared" si="95"/>
        <v/>
      </c>
      <c r="DK674" s="1271" t="str">
        <f t="shared" si="96"/>
        <v/>
      </c>
      <c r="DL674" s="1271" t="str">
        <f t="shared" si="97"/>
        <v/>
      </c>
      <c r="DM674" s="1271" t="str">
        <f t="shared" si="98"/>
        <v/>
      </c>
      <c r="DN674" s="1271" t="str">
        <f t="shared" si="99"/>
        <v/>
      </c>
      <c r="DO674" s="1271" t="str">
        <f t="shared" si="100"/>
        <v/>
      </c>
      <c r="DP674" s="1271" t="str">
        <f t="shared" si="101"/>
        <v/>
      </c>
      <c r="DQ674" s="1271" t="str">
        <f t="shared" si="102"/>
        <v/>
      </c>
      <c r="DR674" s="1271" t="str">
        <f t="shared" si="103"/>
        <v/>
      </c>
      <c r="DS674" s="1271" t="str">
        <f t="shared" si="104"/>
        <v/>
      </c>
      <c r="DT674" s="1271" t="str">
        <f t="shared" si="105"/>
        <v/>
      </c>
      <c r="DU674" s="1271" t="str">
        <f t="shared" si="106"/>
        <v/>
      </c>
      <c r="DV674" s="1271" t="str">
        <f t="shared" si="107"/>
        <v/>
      </c>
      <c r="DW674" s="1271" t="str">
        <f t="shared" si="108"/>
        <v/>
      </c>
      <c r="DX674" s="1271" t="str">
        <f t="shared" si="109"/>
        <v/>
      </c>
      <c r="DY674" s="1271" t="str">
        <f t="shared" si="110"/>
        <v/>
      </c>
      <c r="DZ674" s="1271" t="str">
        <f t="shared" si="111"/>
        <v/>
      </c>
      <c r="EA674" s="1271" t="str">
        <f t="shared" si="112"/>
        <v/>
      </c>
      <c r="EB674" s="1271" t="str">
        <f t="shared" si="113"/>
        <v/>
      </c>
      <c r="EC674" s="1271" t="str">
        <f t="shared" si="114"/>
        <v/>
      </c>
      <c r="ED674" s="1271" t="str">
        <f t="shared" si="115"/>
        <v/>
      </c>
      <c r="EE674" s="1271" t="str">
        <f t="shared" si="116"/>
        <v/>
      </c>
      <c r="EF674" s="1271" t="str">
        <f t="shared" si="117"/>
        <v/>
      </c>
      <c r="EG674" s="1271" t="str">
        <f t="shared" si="118"/>
        <v/>
      </c>
      <c r="EH674" s="1271" t="str">
        <f t="shared" si="119"/>
        <v/>
      </c>
      <c r="EI674" s="1271" t="str">
        <f t="shared" si="120"/>
        <v/>
      </c>
      <c r="EJ674" s="1271" t="str">
        <f t="shared" si="121"/>
        <v/>
      </c>
      <c r="EK674" s="1271" t="str">
        <f t="shared" si="122"/>
        <v/>
      </c>
      <c r="EL674" s="1271" t="str">
        <f t="shared" si="123"/>
        <v/>
      </c>
      <c r="EM674" s="1271" t="str">
        <f t="shared" si="124"/>
        <v/>
      </c>
      <c r="EN674" s="1271" t="str">
        <f t="shared" si="125"/>
        <v/>
      </c>
      <c r="EO674" s="1271" t="str">
        <f t="shared" si="126"/>
        <v/>
      </c>
      <c r="EP674" s="1271" t="str">
        <f t="shared" si="127"/>
        <v/>
      </c>
      <c r="EQ674" s="1271" t="str">
        <f t="shared" si="128"/>
        <v/>
      </c>
      <c r="ER674" s="1271" t="str">
        <f t="shared" si="129"/>
        <v/>
      </c>
      <c r="ES674" s="1271" t="str">
        <f t="shared" si="130"/>
        <v/>
      </c>
      <c r="ET674" s="1271" t="str">
        <f t="shared" si="131"/>
        <v/>
      </c>
      <c r="EU674" s="1271" t="str">
        <f t="shared" si="132"/>
        <v/>
      </c>
      <c r="EV674" s="1271" t="str">
        <f t="shared" si="133"/>
        <v/>
      </c>
      <c r="EW674" s="1519" t="str">
        <f t="shared" si="134"/>
        <v/>
      </c>
      <c r="EX674" s="1519" t="str">
        <f t="shared" si="135"/>
        <v/>
      </c>
      <c r="EY674" s="1519">
        <f t="shared" si="136"/>
        <v>13</v>
      </c>
      <c r="EZ674" s="1519" t="str">
        <f t="shared" si="137"/>
        <v/>
      </c>
      <c r="FA674" s="1519" t="str">
        <f t="shared" si="138"/>
        <v/>
      </c>
      <c r="FB674" s="1519" t="str">
        <f t="shared" si="139"/>
        <v/>
      </c>
      <c r="FC674" s="1519" t="str">
        <f t="shared" si="140"/>
        <v/>
      </c>
      <c r="FD674" s="1519" t="str">
        <f t="shared" si="141"/>
        <v/>
      </c>
      <c r="FE674" s="1519" t="str">
        <f t="shared" si="142"/>
        <v/>
      </c>
      <c r="FF674" s="1519" t="str">
        <f t="shared" si="143"/>
        <v/>
      </c>
      <c r="FG674" s="1519" t="str">
        <f t="shared" si="144"/>
        <v/>
      </c>
      <c r="FH674" s="1519" t="str">
        <f t="shared" si="145"/>
        <v/>
      </c>
      <c r="FI674" s="1519" t="str">
        <f t="shared" si="146"/>
        <v/>
      </c>
      <c r="FJ674" s="1519" t="str">
        <f t="shared" si="147"/>
        <v/>
      </c>
      <c r="FK674" s="1519" t="str">
        <f t="shared" si="148"/>
        <v/>
      </c>
      <c r="FL674" s="1519" t="str">
        <f t="shared" si="149"/>
        <v/>
      </c>
      <c r="FM674" s="1519" t="str">
        <f t="shared" si="150"/>
        <v/>
      </c>
      <c r="FN674" s="1519" t="str">
        <f t="shared" si="151"/>
        <v/>
      </c>
      <c r="FO674" s="1519" t="str">
        <f t="shared" si="152"/>
        <v/>
      </c>
      <c r="FP674" s="1519" t="str">
        <f t="shared" si="153"/>
        <v/>
      </c>
      <c r="FQ674" s="1519" t="str">
        <f t="shared" si="154"/>
        <v/>
      </c>
      <c r="FR674" s="1519" t="str">
        <f t="shared" si="155"/>
        <v/>
      </c>
      <c r="FS674" s="1519" t="str">
        <f t="shared" si="156"/>
        <v/>
      </c>
      <c r="FT674" s="1519" t="str">
        <f t="shared" si="157"/>
        <v/>
      </c>
      <c r="FU674" s="1519" t="str">
        <f t="shared" si="158"/>
        <v/>
      </c>
      <c r="FV674" s="1519" t="str">
        <f t="shared" si="159"/>
        <v/>
      </c>
      <c r="FW674" s="1519" t="str">
        <f t="shared" si="160"/>
        <v/>
      </c>
      <c r="FX674" s="1519" t="str">
        <f t="shared" si="161"/>
        <v/>
      </c>
      <c r="FY674" s="1519" t="str">
        <f t="shared" si="162"/>
        <v/>
      </c>
      <c r="FZ674" s="1519" t="str">
        <f t="shared" si="163"/>
        <v/>
      </c>
      <c r="GA674" s="1519" t="str">
        <f t="shared" si="164"/>
        <v/>
      </c>
      <c r="GB674" s="1519" t="str">
        <f t="shared" si="165"/>
        <v/>
      </c>
      <c r="GC674" s="1519" t="str">
        <f t="shared" si="166"/>
        <v/>
      </c>
      <c r="GD674" s="1519" t="str">
        <f t="shared" si="167"/>
        <v/>
      </c>
      <c r="GE674" s="1519" t="str">
        <f t="shared" si="168"/>
        <v/>
      </c>
      <c r="GF674" s="1519" t="str">
        <f t="shared" si="169"/>
        <v/>
      </c>
      <c r="GG674" s="1519" t="str">
        <f t="shared" si="170"/>
        <v/>
      </c>
      <c r="GH674" s="1519" t="str">
        <f t="shared" si="171"/>
        <v/>
      </c>
      <c r="GI674" s="1519" t="str">
        <f t="shared" si="172"/>
        <v/>
      </c>
      <c r="GJ674" s="1519" t="str">
        <f t="shared" si="173"/>
        <v/>
      </c>
      <c r="GK674" s="1519" t="str">
        <f t="shared" si="174"/>
        <v/>
      </c>
      <c r="GL674" s="1519" t="str">
        <f t="shared" si="175"/>
        <v/>
      </c>
      <c r="GM674" s="1519" t="str">
        <f t="shared" si="176"/>
        <v/>
      </c>
      <c r="GN674" s="1519" t="str">
        <f t="shared" si="177"/>
        <v/>
      </c>
      <c r="GO674" s="1519" t="str">
        <f t="shared" si="178"/>
        <v/>
      </c>
      <c r="GP674" s="1519" t="str">
        <f t="shared" si="179"/>
        <v/>
      </c>
      <c r="GQ674" s="1519" t="str">
        <f t="shared" si="180"/>
        <v/>
      </c>
      <c r="GR674" s="1519" t="str">
        <f t="shared" si="181"/>
        <v/>
      </c>
      <c r="GS674" s="1519" t="str">
        <f t="shared" si="182"/>
        <v/>
      </c>
      <c r="GT674" s="1519" t="str">
        <f t="shared" si="183"/>
        <v/>
      </c>
      <c r="GU674" s="1519" t="str">
        <f t="shared" si="184"/>
        <v/>
      </c>
      <c r="GV674" s="1519" t="str">
        <f t="shared" si="185"/>
        <v/>
      </c>
      <c r="GW674" s="1519" t="str">
        <f t="shared" si="186"/>
        <v/>
      </c>
      <c r="GX674" s="1519" t="str">
        <f t="shared" si="187"/>
        <v/>
      </c>
      <c r="GY674" s="1519" t="str">
        <f t="shared" si="188"/>
        <v/>
      </c>
      <c r="GZ674" s="1519" t="str">
        <f t="shared" si="189"/>
        <v/>
      </c>
      <c r="HA674" s="1519" t="str">
        <f t="shared" si="190"/>
        <v/>
      </c>
      <c r="HB674" s="1519" t="str">
        <f t="shared" si="191"/>
        <v/>
      </c>
      <c r="HC674" s="1519" t="str">
        <f t="shared" si="192"/>
        <v/>
      </c>
      <c r="HD674" s="1519" t="str">
        <f t="shared" si="193"/>
        <v/>
      </c>
      <c r="HE674" s="1519" t="str">
        <f t="shared" si="194"/>
        <v/>
      </c>
      <c r="HF674" s="1519" t="str">
        <f t="shared" si="195"/>
        <v/>
      </c>
      <c r="HG674" s="1519" t="str">
        <f t="shared" si="196"/>
        <v/>
      </c>
      <c r="HH674" s="1519" t="str">
        <f t="shared" si="197"/>
        <v/>
      </c>
      <c r="HI674" s="1519" t="str">
        <f t="shared" si="198"/>
        <v/>
      </c>
      <c r="HJ674" s="1519" t="str">
        <f t="shared" si="199"/>
        <v/>
      </c>
      <c r="HK674" s="1519" t="str">
        <f t="shared" si="200"/>
        <v/>
      </c>
      <c r="HL674" s="1519" t="str">
        <f t="shared" si="201"/>
        <v/>
      </c>
      <c r="HM674" s="1519" t="str">
        <f t="shared" si="202"/>
        <v/>
      </c>
      <c r="HN674" s="1519" t="str">
        <f t="shared" si="203"/>
        <v/>
      </c>
      <c r="HO674" s="1519" t="str">
        <f t="shared" si="204"/>
        <v/>
      </c>
      <c r="HP674" s="1519" t="str">
        <f t="shared" si="205"/>
        <v/>
      </c>
      <c r="HQ674" s="1519" t="str">
        <f t="shared" si="206"/>
        <v/>
      </c>
      <c r="HR674" s="1519" t="str">
        <f t="shared" si="207"/>
        <v/>
      </c>
      <c r="HS674" s="1519" t="str">
        <f t="shared" si="208"/>
        <v/>
      </c>
      <c r="HT674" s="1519" t="str">
        <f t="shared" si="209"/>
        <v/>
      </c>
      <c r="HU674" s="1519" t="str">
        <f t="shared" si="210"/>
        <v/>
      </c>
      <c r="HV674" s="1519">
        <f t="shared" si="211"/>
        <v>13</v>
      </c>
      <c r="HW674" s="1519" t="str">
        <f t="shared" si="212"/>
        <v/>
      </c>
      <c r="HX674" s="1519" t="str">
        <f t="shared" si="213"/>
        <v/>
      </c>
      <c r="HY674" s="1519" t="str">
        <f t="shared" si="214"/>
        <v/>
      </c>
      <c r="HZ674" s="1519" t="str">
        <f t="shared" si="215"/>
        <v/>
      </c>
      <c r="IA674" s="1519" t="str">
        <f t="shared" si="216"/>
        <v/>
      </c>
      <c r="IB674" s="1519" t="str">
        <f t="shared" si="217"/>
        <v/>
      </c>
      <c r="IC674" s="1519" t="str">
        <f t="shared" si="218"/>
        <v/>
      </c>
      <c r="ID674" s="1520" t="str">
        <f t="shared" si="219"/>
        <v/>
      </c>
      <c r="IE674" s="1520" t="str">
        <f t="shared" si="220"/>
        <v/>
      </c>
      <c r="IF674" s="1520" t="str">
        <f t="shared" si="221"/>
        <v/>
      </c>
      <c r="IG674" s="1520" t="str">
        <f t="shared" si="222"/>
        <v/>
      </c>
      <c r="IH674" s="1520" t="str">
        <f t="shared" si="223"/>
        <v/>
      </c>
      <c r="II674" s="1271" t="str">
        <f t="shared" si="224"/>
        <v/>
      </c>
      <c r="IJ674" s="1271" t="str">
        <f t="shared" si="225"/>
        <v/>
      </c>
      <c r="IK674" s="1271" t="str">
        <f t="shared" si="226"/>
        <v/>
      </c>
      <c r="IL674" s="1271" t="str">
        <f t="shared" si="227"/>
        <v/>
      </c>
      <c r="IM674" s="1271" t="str">
        <f t="shared" si="228"/>
        <v/>
      </c>
      <c r="IN674" s="1271" t="str">
        <f t="shared" si="229"/>
        <v/>
      </c>
      <c r="IO674" s="1271" t="str">
        <f t="shared" si="230"/>
        <v/>
      </c>
      <c r="IP674" s="1271" t="str">
        <f t="shared" si="231"/>
        <v/>
      </c>
      <c r="IQ674" s="1271" t="str">
        <f t="shared" si="232"/>
        <v/>
      </c>
      <c r="IR674" s="1271" t="str">
        <f t="shared" si="233"/>
        <v/>
      </c>
      <c r="IS674" s="1271" t="str">
        <f t="shared" si="234"/>
        <v/>
      </c>
      <c r="IT674" s="1271" t="str">
        <f t="shared" si="235"/>
        <v/>
      </c>
      <c r="IU674" s="1271" t="str">
        <f t="shared" si="236"/>
        <v/>
      </c>
      <c r="IV674" s="1271" t="str">
        <f t="shared" si="237"/>
        <v/>
      </c>
      <c r="IW674" s="1271" t="str">
        <f t="shared" si="238"/>
        <v/>
      </c>
      <c r="IX674" s="1271" t="str">
        <f t="shared" si="239"/>
        <v/>
      </c>
      <c r="IY674" s="1271" t="str">
        <f t="shared" si="240"/>
        <v/>
      </c>
      <c r="IZ674" s="1271" t="str">
        <f t="shared" si="241"/>
        <v/>
      </c>
      <c r="JA674" s="1271" t="str">
        <f t="shared" si="242"/>
        <v/>
      </c>
      <c r="JB674" s="1271" t="str">
        <f t="shared" si="243"/>
        <v/>
      </c>
      <c r="JC674" s="1518">
        <f t="shared" si="244"/>
        <v>0</v>
      </c>
      <c r="JD674" s="1518">
        <f t="shared" si="245"/>
        <v>0</v>
      </c>
      <c r="JE674" s="1518">
        <f t="shared" si="246"/>
        <v>0</v>
      </c>
      <c r="JF674" s="1518">
        <f t="shared" si="247"/>
        <v>0</v>
      </c>
      <c r="JG674" s="1518">
        <f t="shared" si="248"/>
        <v>0</v>
      </c>
      <c r="JH674" s="1518">
        <f t="shared" si="249"/>
        <v>0</v>
      </c>
      <c r="JI674" s="1518">
        <f t="shared" si="250"/>
        <v>0</v>
      </c>
      <c r="JJ674" s="1518">
        <f t="shared" si="251"/>
        <v>13</v>
      </c>
      <c r="JK674" s="1518">
        <f t="shared" si="252"/>
        <v>0</v>
      </c>
      <c r="JL674" s="1518">
        <f t="shared" si="253"/>
        <v>0</v>
      </c>
      <c r="JM674" s="1518">
        <f t="shared" si="254"/>
        <v>0</v>
      </c>
      <c r="JN674" s="1518">
        <f t="shared" si="255"/>
        <v>0</v>
      </c>
      <c r="JO674" s="1518">
        <f t="shared" si="256"/>
        <v>0</v>
      </c>
      <c r="JP674" s="1518">
        <f t="shared" si="257"/>
        <v>0</v>
      </c>
      <c r="JQ674" s="1518">
        <f t="shared" si="258"/>
        <v>0</v>
      </c>
    </row>
    <row r="675" spans="1:277" ht="12" customHeight="1">
      <c r="A675" s="1687" t="str">
        <f t="shared" si="1"/>
        <v/>
      </c>
      <c r="B675" s="1702" t="str">
        <f>'Part VI-Revenues &amp; Expenses'!B14</f>
        <v>60% AMI</v>
      </c>
      <c r="C675" s="1703">
        <f>'Part VI-Revenues &amp; Expenses'!C14</f>
        <v>2</v>
      </c>
      <c r="D675" s="1704">
        <f>'Part VI-Revenues &amp; Expenses'!D14</f>
        <v>2</v>
      </c>
      <c r="E675" s="1705">
        <f>'Part VI-Revenues &amp; Expenses'!E14</f>
        <v>5</v>
      </c>
      <c r="F675" s="1705">
        <f>'Part VI-Revenues &amp; Expenses'!F14</f>
        <v>1088</v>
      </c>
      <c r="G675" s="1705">
        <f>'Part VI-Revenues &amp; Expenses'!G14</f>
        <v>912</v>
      </c>
      <c r="H675" s="1705">
        <f>'Part VI-Revenues &amp; Expenses'!H14</f>
        <v>921</v>
      </c>
      <c r="I675" s="1705">
        <f>'Part VI-Revenues &amp; Expenses'!I14</f>
        <v>74</v>
      </c>
      <c r="J675" s="1706" t="str">
        <f>'Part VI-Revenues &amp; Expenses'!J14</f>
        <v>PHA PBRA</v>
      </c>
      <c r="K675" s="1707">
        <f t="shared" si="2"/>
        <v>847</v>
      </c>
      <c r="L675" s="1707">
        <f t="shared" si="3"/>
        <v>4235</v>
      </c>
      <c r="M675" s="1708" t="str">
        <f>'Part VI-Revenues &amp; Expenses'!M14</f>
        <v>No</v>
      </c>
      <c r="N675" s="1708" t="str">
        <f>'Part VI-Revenues &amp; Expenses'!N14</f>
        <v>3+ Story</v>
      </c>
      <c r="O675" s="1708" t="str">
        <f>'Part VI-Revenues &amp; Expenses'!O14</f>
        <v>New Construction</v>
      </c>
      <c r="P675" s="1515" t="str">
        <f>'Part VI-Revenues &amp; Expenses'!P14</f>
        <v>No</v>
      </c>
      <c r="Q675" s="1709">
        <f>'Part VI-Revenues &amp; Expenses'!Q14</f>
        <v>36840</v>
      </c>
      <c r="R675" s="1710">
        <f>'Part VI-Revenues &amp; Expenses'!R14</f>
        <v>0.59931673987310885</v>
      </c>
      <c r="S675" s="1709">
        <f>'Part VI-Revenues &amp; Expenses'!S14</f>
        <v>0</v>
      </c>
      <c r="T675" s="1710">
        <f>'Part VI-Revenues &amp; Expenses'!T14</f>
        <v>0</v>
      </c>
      <c r="U675" s="1629"/>
      <c r="V675" s="1629"/>
      <c r="W675" s="1271" t="str">
        <f t="shared" si="4"/>
        <v/>
      </c>
      <c r="X675" s="1271" t="str">
        <f t="shared" si="5"/>
        <v/>
      </c>
      <c r="Y675" s="1271">
        <f t="shared" si="6"/>
        <v>5</v>
      </c>
      <c r="Z675" s="1271" t="str">
        <f t="shared" si="7"/>
        <v/>
      </c>
      <c r="AA675" s="1271" t="str">
        <f t="shared" si="8"/>
        <v/>
      </c>
      <c r="AB675" s="1271" t="str">
        <f t="shared" si="9"/>
        <v/>
      </c>
      <c r="AC675" s="1271" t="str">
        <f t="shared" si="10"/>
        <v/>
      </c>
      <c r="AD675" s="1271" t="str">
        <f t="shared" si="11"/>
        <v/>
      </c>
      <c r="AE675" s="1271" t="str">
        <f t="shared" si="12"/>
        <v/>
      </c>
      <c r="AF675" s="1271" t="str">
        <f t="shared" si="13"/>
        <v/>
      </c>
      <c r="AG675" s="1271" t="str">
        <f t="shared" si="14"/>
        <v/>
      </c>
      <c r="AH675" s="1271" t="str">
        <f t="shared" si="15"/>
        <v/>
      </c>
      <c r="AI675" s="1271" t="str">
        <f t="shared" si="16"/>
        <v/>
      </c>
      <c r="AJ675" s="1271" t="str">
        <f t="shared" si="17"/>
        <v/>
      </c>
      <c r="AK675" s="1271" t="str">
        <f t="shared" si="18"/>
        <v/>
      </c>
      <c r="AL675" s="1271" t="str">
        <f t="shared" si="19"/>
        <v/>
      </c>
      <c r="AM675" s="1271" t="str">
        <f t="shared" si="20"/>
        <v/>
      </c>
      <c r="AN675" s="1271" t="str">
        <f t="shared" si="21"/>
        <v/>
      </c>
      <c r="AO675" s="1271" t="str">
        <f t="shared" si="22"/>
        <v/>
      </c>
      <c r="AP675" s="1271" t="str">
        <f t="shared" si="23"/>
        <v/>
      </c>
      <c r="AQ675" s="1271" t="str">
        <f t="shared" si="24"/>
        <v/>
      </c>
      <c r="AR675" s="1271" t="str">
        <f t="shared" si="25"/>
        <v/>
      </c>
      <c r="AS675" s="1271" t="str">
        <f t="shared" si="26"/>
        <v/>
      </c>
      <c r="AT675" s="1271" t="str">
        <f t="shared" si="27"/>
        <v/>
      </c>
      <c r="AU675" s="1271" t="str">
        <f t="shared" si="28"/>
        <v/>
      </c>
      <c r="AV675" s="1271" t="str">
        <f t="shared" si="29"/>
        <v/>
      </c>
      <c r="AW675" s="1271" t="str">
        <f t="shared" si="30"/>
        <v/>
      </c>
      <c r="AX675" s="1271" t="str">
        <f t="shared" si="31"/>
        <v/>
      </c>
      <c r="AY675" s="1271" t="str">
        <f t="shared" si="32"/>
        <v/>
      </c>
      <c r="AZ675" s="1271" t="str">
        <f t="shared" si="33"/>
        <v/>
      </c>
      <c r="BA675" s="1271" t="str">
        <f t="shared" si="34"/>
        <v/>
      </c>
      <c r="BB675" s="1271" t="str">
        <f t="shared" si="35"/>
        <v/>
      </c>
      <c r="BC675" s="1271">
        <f t="shared" si="36"/>
        <v>5</v>
      </c>
      <c r="BD675" s="1271" t="str">
        <f t="shared" si="37"/>
        <v/>
      </c>
      <c r="BE675" s="1271" t="str">
        <f t="shared" si="38"/>
        <v/>
      </c>
      <c r="BF675" s="1271" t="str">
        <f t="shared" si="39"/>
        <v/>
      </c>
      <c r="BG675" s="1271" t="str">
        <f t="shared" si="40"/>
        <v/>
      </c>
      <c r="BH675" s="1271" t="str">
        <f t="shared" si="41"/>
        <v/>
      </c>
      <c r="BI675" s="1271" t="str">
        <f t="shared" si="42"/>
        <v/>
      </c>
      <c r="BJ675" s="1271" t="str">
        <f t="shared" si="43"/>
        <v/>
      </c>
      <c r="BK675" s="1271" t="str">
        <f t="shared" si="44"/>
        <v/>
      </c>
      <c r="BL675" s="1271" t="str">
        <f t="shared" si="45"/>
        <v/>
      </c>
      <c r="BM675" s="1271" t="str">
        <f t="shared" si="46"/>
        <v/>
      </c>
      <c r="BN675" s="1271" t="str">
        <f t="shared" si="47"/>
        <v/>
      </c>
      <c r="BO675" s="1271" t="str">
        <f t="shared" si="48"/>
        <v/>
      </c>
      <c r="BP675" s="1271" t="str">
        <f t="shared" si="49"/>
        <v/>
      </c>
      <c r="BQ675" s="1271" t="str">
        <f t="shared" si="50"/>
        <v/>
      </c>
      <c r="BR675" s="1271" t="str">
        <f t="shared" si="51"/>
        <v/>
      </c>
      <c r="BS675" s="1271" t="str">
        <f t="shared" si="52"/>
        <v/>
      </c>
      <c r="BT675" s="1271" t="str">
        <f t="shared" si="53"/>
        <v/>
      </c>
      <c r="BU675" s="1271" t="str">
        <f t="shared" si="54"/>
        <v/>
      </c>
      <c r="BV675" s="1271" t="str">
        <f t="shared" si="55"/>
        <v/>
      </c>
      <c r="BW675" s="1271" t="str">
        <f t="shared" si="56"/>
        <v/>
      </c>
      <c r="BX675" s="1271" t="str">
        <f t="shared" si="57"/>
        <v/>
      </c>
      <c r="BY675" s="1271" t="str">
        <f t="shared" si="58"/>
        <v/>
      </c>
      <c r="BZ675" s="1271" t="str">
        <f t="shared" si="59"/>
        <v/>
      </c>
      <c r="CA675" s="1271" t="str">
        <f t="shared" si="60"/>
        <v/>
      </c>
      <c r="CB675" s="1271">
        <f t="shared" si="61"/>
        <v>5440</v>
      </c>
      <c r="CC675" s="1271" t="str">
        <f t="shared" si="62"/>
        <v/>
      </c>
      <c r="CD675" s="1271" t="str">
        <f t="shared" si="63"/>
        <v/>
      </c>
      <c r="CE675" s="1271" t="str">
        <f t="shared" si="64"/>
        <v/>
      </c>
      <c r="CF675" s="1271" t="str">
        <f t="shared" si="65"/>
        <v/>
      </c>
      <c r="CG675" s="1271" t="str">
        <f t="shared" si="66"/>
        <v/>
      </c>
      <c r="CH675" s="1271" t="str">
        <f t="shared" si="67"/>
        <v/>
      </c>
      <c r="CI675" s="1271" t="str">
        <f t="shared" si="68"/>
        <v/>
      </c>
      <c r="CJ675" s="1271" t="str">
        <f t="shared" si="69"/>
        <v/>
      </c>
      <c r="CK675" s="1271" t="str">
        <f t="shared" si="70"/>
        <v/>
      </c>
      <c r="CL675" s="1271" t="str">
        <f t="shared" si="71"/>
        <v/>
      </c>
      <c r="CM675" s="1271" t="str">
        <f t="shared" si="72"/>
        <v/>
      </c>
      <c r="CN675" s="1271" t="str">
        <f t="shared" si="73"/>
        <v/>
      </c>
      <c r="CO675" s="1271" t="str">
        <f t="shared" si="74"/>
        <v/>
      </c>
      <c r="CP675" s="1271" t="str">
        <f t="shared" si="75"/>
        <v/>
      </c>
      <c r="CQ675" s="1271" t="str">
        <f t="shared" si="76"/>
        <v/>
      </c>
      <c r="CR675" s="1271" t="str">
        <f t="shared" si="77"/>
        <v/>
      </c>
      <c r="CS675" s="1271" t="str">
        <f t="shared" si="78"/>
        <v/>
      </c>
      <c r="CT675" s="1271" t="str">
        <f t="shared" si="79"/>
        <v/>
      </c>
      <c r="CU675" s="1271" t="str">
        <f t="shared" si="80"/>
        <v/>
      </c>
      <c r="CV675" s="1271">
        <f t="shared" si="81"/>
        <v>5440</v>
      </c>
      <c r="CW675" s="1271" t="str">
        <f t="shared" si="82"/>
        <v/>
      </c>
      <c r="CX675" s="1271" t="str">
        <f t="shared" si="83"/>
        <v/>
      </c>
      <c r="CY675" s="1271" t="str">
        <f t="shared" si="84"/>
        <v/>
      </c>
      <c r="CZ675" s="1271" t="str">
        <f t="shared" si="85"/>
        <v/>
      </c>
      <c r="DA675" s="1271" t="str">
        <f t="shared" si="86"/>
        <v/>
      </c>
      <c r="DB675" s="1271" t="str">
        <f t="shared" si="87"/>
        <v/>
      </c>
      <c r="DC675" s="1271" t="str">
        <f t="shared" si="88"/>
        <v/>
      </c>
      <c r="DD675" s="1271" t="str">
        <f t="shared" si="89"/>
        <v/>
      </c>
      <c r="DE675" s="1271" t="str">
        <f t="shared" si="90"/>
        <v/>
      </c>
      <c r="DF675" s="1271">
        <f t="shared" si="91"/>
        <v>5</v>
      </c>
      <c r="DG675" s="1271" t="str">
        <f t="shared" si="92"/>
        <v/>
      </c>
      <c r="DH675" s="1271" t="str">
        <f t="shared" si="93"/>
        <v/>
      </c>
      <c r="DI675" s="1271" t="str">
        <f t="shared" si="94"/>
        <v/>
      </c>
      <c r="DJ675" s="1271" t="str">
        <f t="shared" si="95"/>
        <v/>
      </c>
      <c r="DK675" s="1271" t="str">
        <f t="shared" si="96"/>
        <v/>
      </c>
      <c r="DL675" s="1271" t="str">
        <f t="shared" si="97"/>
        <v/>
      </c>
      <c r="DM675" s="1271" t="str">
        <f t="shared" si="98"/>
        <v/>
      </c>
      <c r="DN675" s="1271" t="str">
        <f t="shared" si="99"/>
        <v/>
      </c>
      <c r="DO675" s="1271" t="str">
        <f t="shared" si="100"/>
        <v/>
      </c>
      <c r="DP675" s="1271" t="str">
        <f t="shared" si="101"/>
        <v/>
      </c>
      <c r="DQ675" s="1271" t="str">
        <f t="shared" si="102"/>
        <v/>
      </c>
      <c r="DR675" s="1271" t="str">
        <f t="shared" si="103"/>
        <v/>
      </c>
      <c r="DS675" s="1271" t="str">
        <f t="shared" si="104"/>
        <v/>
      </c>
      <c r="DT675" s="1271" t="str">
        <f t="shared" si="105"/>
        <v/>
      </c>
      <c r="DU675" s="1271" t="str">
        <f t="shared" si="106"/>
        <v/>
      </c>
      <c r="DV675" s="1271" t="str">
        <f t="shared" si="107"/>
        <v/>
      </c>
      <c r="DW675" s="1271" t="str">
        <f t="shared" si="108"/>
        <v/>
      </c>
      <c r="DX675" s="1271" t="str">
        <f t="shared" si="109"/>
        <v/>
      </c>
      <c r="DY675" s="1271" t="str">
        <f t="shared" si="110"/>
        <v/>
      </c>
      <c r="DZ675" s="1271" t="str">
        <f t="shared" si="111"/>
        <v/>
      </c>
      <c r="EA675" s="1271" t="str">
        <f t="shared" si="112"/>
        <v/>
      </c>
      <c r="EB675" s="1271" t="str">
        <f t="shared" si="113"/>
        <v/>
      </c>
      <c r="EC675" s="1271" t="str">
        <f t="shared" si="114"/>
        <v/>
      </c>
      <c r="ED675" s="1271" t="str">
        <f t="shared" si="115"/>
        <v/>
      </c>
      <c r="EE675" s="1271" t="str">
        <f t="shared" si="116"/>
        <v/>
      </c>
      <c r="EF675" s="1271" t="str">
        <f t="shared" si="117"/>
        <v/>
      </c>
      <c r="EG675" s="1271" t="str">
        <f t="shared" si="118"/>
        <v/>
      </c>
      <c r="EH675" s="1271" t="str">
        <f t="shared" si="119"/>
        <v/>
      </c>
      <c r="EI675" s="1271" t="str">
        <f t="shared" si="120"/>
        <v/>
      </c>
      <c r="EJ675" s="1271" t="str">
        <f t="shared" si="121"/>
        <v/>
      </c>
      <c r="EK675" s="1271" t="str">
        <f t="shared" si="122"/>
        <v/>
      </c>
      <c r="EL675" s="1271" t="str">
        <f t="shared" si="123"/>
        <v/>
      </c>
      <c r="EM675" s="1271" t="str">
        <f t="shared" si="124"/>
        <v/>
      </c>
      <c r="EN675" s="1271" t="str">
        <f t="shared" si="125"/>
        <v/>
      </c>
      <c r="EO675" s="1271" t="str">
        <f t="shared" si="126"/>
        <v/>
      </c>
      <c r="EP675" s="1271" t="str">
        <f t="shared" si="127"/>
        <v/>
      </c>
      <c r="EQ675" s="1271" t="str">
        <f t="shared" si="128"/>
        <v/>
      </c>
      <c r="ER675" s="1271" t="str">
        <f t="shared" si="129"/>
        <v/>
      </c>
      <c r="ES675" s="1271" t="str">
        <f t="shared" si="130"/>
        <v/>
      </c>
      <c r="ET675" s="1271" t="str">
        <f t="shared" si="131"/>
        <v/>
      </c>
      <c r="EU675" s="1271" t="str">
        <f t="shared" si="132"/>
        <v/>
      </c>
      <c r="EV675" s="1271" t="str">
        <f t="shared" si="133"/>
        <v/>
      </c>
      <c r="EW675" s="1519" t="str">
        <f t="shared" si="134"/>
        <v/>
      </c>
      <c r="EX675" s="1519" t="str">
        <f t="shared" si="135"/>
        <v/>
      </c>
      <c r="EY675" s="1519">
        <f t="shared" si="136"/>
        <v>5</v>
      </c>
      <c r="EZ675" s="1519" t="str">
        <f t="shared" si="137"/>
        <v/>
      </c>
      <c r="FA675" s="1519" t="str">
        <f t="shared" si="138"/>
        <v/>
      </c>
      <c r="FB675" s="1519" t="str">
        <f t="shared" si="139"/>
        <v/>
      </c>
      <c r="FC675" s="1519" t="str">
        <f t="shared" si="140"/>
        <v/>
      </c>
      <c r="FD675" s="1519" t="str">
        <f t="shared" si="141"/>
        <v/>
      </c>
      <c r="FE675" s="1519" t="str">
        <f t="shared" si="142"/>
        <v/>
      </c>
      <c r="FF675" s="1519" t="str">
        <f t="shared" si="143"/>
        <v/>
      </c>
      <c r="FG675" s="1519" t="str">
        <f t="shared" si="144"/>
        <v/>
      </c>
      <c r="FH675" s="1519" t="str">
        <f t="shared" si="145"/>
        <v/>
      </c>
      <c r="FI675" s="1519" t="str">
        <f t="shared" si="146"/>
        <v/>
      </c>
      <c r="FJ675" s="1519" t="str">
        <f t="shared" si="147"/>
        <v/>
      </c>
      <c r="FK675" s="1519" t="str">
        <f t="shared" si="148"/>
        <v/>
      </c>
      <c r="FL675" s="1519" t="str">
        <f t="shared" si="149"/>
        <v/>
      </c>
      <c r="FM675" s="1519" t="str">
        <f t="shared" si="150"/>
        <v/>
      </c>
      <c r="FN675" s="1519" t="str">
        <f t="shared" si="151"/>
        <v/>
      </c>
      <c r="FO675" s="1519" t="str">
        <f t="shared" si="152"/>
        <v/>
      </c>
      <c r="FP675" s="1519" t="str">
        <f t="shared" si="153"/>
        <v/>
      </c>
      <c r="FQ675" s="1519" t="str">
        <f t="shared" si="154"/>
        <v/>
      </c>
      <c r="FR675" s="1519" t="str">
        <f t="shared" si="155"/>
        <v/>
      </c>
      <c r="FS675" s="1519" t="str">
        <f t="shared" si="156"/>
        <v/>
      </c>
      <c r="FT675" s="1519" t="str">
        <f t="shared" si="157"/>
        <v/>
      </c>
      <c r="FU675" s="1519" t="str">
        <f t="shared" si="158"/>
        <v/>
      </c>
      <c r="FV675" s="1519" t="str">
        <f t="shared" si="159"/>
        <v/>
      </c>
      <c r="FW675" s="1519" t="str">
        <f t="shared" si="160"/>
        <v/>
      </c>
      <c r="FX675" s="1519" t="str">
        <f t="shared" si="161"/>
        <v/>
      </c>
      <c r="FY675" s="1519" t="str">
        <f t="shared" si="162"/>
        <v/>
      </c>
      <c r="FZ675" s="1519" t="str">
        <f t="shared" si="163"/>
        <v/>
      </c>
      <c r="GA675" s="1519" t="str">
        <f t="shared" si="164"/>
        <v/>
      </c>
      <c r="GB675" s="1519" t="str">
        <f t="shared" si="165"/>
        <v/>
      </c>
      <c r="GC675" s="1519" t="str">
        <f t="shared" si="166"/>
        <v/>
      </c>
      <c r="GD675" s="1519" t="str">
        <f t="shared" si="167"/>
        <v/>
      </c>
      <c r="GE675" s="1519" t="str">
        <f t="shared" si="168"/>
        <v/>
      </c>
      <c r="GF675" s="1519" t="str">
        <f t="shared" si="169"/>
        <v/>
      </c>
      <c r="GG675" s="1519" t="str">
        <f t="shared" si="170"/>
        <v/>
      </c>
      <c r="GH675" s="1519" t="str">
        <f t="shared" si="171"/>
        <v/>
      </c>
      <c r="GI675" s="1519" t="str">
        <f t="shared" si="172"/>
        <v/>
      </c>
      <c r="GJ675" s="1519" t="str">
        <f t="shared" si="173"/>
        <v/>
      </c>
      <c r="GK675" s="1519" t="str">
        <f t="shared" si="174"/>
        <v/>
      </c>
      <c r="GL675" s="1519" t="str">
        <f t="shared" si="175"/>
        <v/>
      </c>
      <c r="GM675" s="1519" t="str">
        <f t="shared" si="176"/>
        <v/>
      </c>
      <c r="GN675" s="1519" t="str">
        <f t="shared" si="177"/>
        <v/>
      </c>
      <c r="GO675" s="1519" t="str">
        <f t="shared" si="178"/>
        <v/>
      </c>
      <c r="GP675" s="1519" t="str">
        <f t="shared" si="179"/>
        <v/>
      </c>
      <c r="GQ675" s="1519" t="str">
        <f t="shared" si="180"/>
        <v/>
      </c>
      <c r="GR675" s="1519" t="str">
        <f t="shared" si="181"/>
        <v/>
      </c>
      <c r="GS675" s="1519" t="str">
        <f t="shared" si="182"/>
        <v/>
      </c>
      <c r="GT675" s="1519" t="str">
        <f t="shared" si="183"/>
        <v/>
      </c>
      <c r="GU675" s="1519" t="str">
        <f t="shared" si="184"/>
        <v/>
      </c>
      <c r="GV675" s="1519" t="str">
        <f t="shared" si="185"/>
        <v/>
      </c>
      <c r="GW675" s="1519" t="str">
        <f t="shared" si="186"/>
        <v/>
      </c>
      <c r="GX675" s="1519" t="str">
        <f t="shared" si="187"/>
        <v/>
      </c>
      <c r="GY675" s="1519" t="str">
        <f t="shared" si="188"/>
        <v/>
      </c>
      <c r="GZ675" s="1519" t="str">
        <f t="shared" si="189"/>
        <v/>
      </c>
      <c r="HA675" s="1519" t="str">
        <f t="shared" si="190"/>
        <v/>
      </c>
      <c r="HB675" s="1519" t="str">
        <f t="shared" si="191"/>
        <v/>
      </c>
      <c r="HC675" s="1519" t="str">
        <f t="shared" si="192"/>
        <v/>
      </c>
      <c r="HD675" s="1519" t="str">
        <f t="shared" si="193"/>
        <v/>
      </c>
      <c r="HE675" s="1519" t="str">
        <f t="shared" si="194"/>
        <v/>
      </c>
      <c r="HF675" s="1519" t="str">
        <f t="shared" si="195"/>
        <v/>
      </c>
      <c r="HG675" s="1519" t="str">
        <f t="shared" si="196"/>
        <v/>
      </c>
      <c r="HH675" s="1519" t="str">
        <f t="shared" si="197"/>
        <v/>
      </c>
      <c r="HI675" s="1519" t="str">
        <f t="shared" si="198"/>
        <v/>
      </c>
      <c r="HJ675" s="1519" t="str">
        <f t="shared" si="199"/>
        <v/>
      </c>
      <c r="HK675" s="1519" t="str">
        <f t="shared" si="200"/>
        <v/>
      </c>
      <c r="HL675" s="1519" t="str">
        <f t="shared" si="201"/>
        <v/>
      </c>
      <c r="HM675" s="1519" t="str">
        <f t="shared" si="202"/>
        <v/>
      </c>
      <c r="HN675" s="1519" t="str">
        <f t="shared" si="203"/>
        <v/>
      </c>
      <c r="HO675" s="1519" t="str">
        <f t="shared" si="204"/>
        <v/>
      </c>
      <c r="HP675" s="1519" t="str">
        <f t="shared" si="205"/>
        <v/>
      </c>
      <c r="HQ675" s="1519" t="str">
        <f t="shared" si="206"/>
        <v/>
      </c>
      <c r="HR675" s="1519" t="str">
        <f t="shared" si="207"/>
        <v/>
      </c>
      <c r="HS675" s="1519" t="str">
        <f t="shared" si="208"/>
        <v/>
      </c>
      <c r="HT675" s="1519" t="str">
        <f t="shared" si="209"/>
        <v/>
      </c>
      <c r="HU675" s="1519" t="str">
        <f t="shared" si="210"/>
        <v/>
      </c>
      <c r="HV675" s="1519">
        <f t="shared" si="211"/>
        <v>5</v>
      </c>
      <c r="HW675" s="1519" t="str">
        <f t="shared" si="212"/>
        <v/>
      </c>
      <c r="HX675" s="1519" t="str">
        <f t="shared" si="213"/>
        <v/>
      </c>
      <c r="HY675" s="1519" t="str">
        <f t="shared" si="214"/>
        <v/>
      </c>
      <c r="HZ675" s="1519" t="str">
        <f t="shared" si="215"/>
        <v/>
      </c>
      <c r="IA675" s="1519" t="str">
        <f t="shared" si="216"/>
        <v/>
      </c>
      <c r="IB675" s="1519" t="str">
        <f t="shared" si="217"/>
        <v/>
      </c>
      <c r="IC675" s="1519" t="str">
        <f t="shared" si="218"/>
        <v/>
      </c>
      <c r="ID675" s="1520" t="str">
        <f t="shared" si="219"/>
        <v/>
      </c>
      <c r="IE675" s="1520" t="str">
        <f t="shared" si="220"/>
        <v/>
      </c>
      <c r="IF675" s="1520" t="str">
        <f t="shared" si="221"/>
        <v/>
      </c>
      <c r="IG675" s="1520" t="str">
        <f t="shared" si="222"/>
        <v/>
      </c>
      <c r="IH675" s="1520" t="str">
        <f t="shared" si="223"/>
        <v/>
      </c>
      <c r="II675" s="1271" t="str">
        <f t="shared" si="224"/>
        <v/>
      </c>
      <c r="IJ675" s="1271" t="str">
        <f t="shared" si="225"/>
        <v/>
      </c>
      <c r="IK675" s="1271" t="str">
        <f t="shared" si="226"/>
        <v/>
      </c>
      <c r="IL675" s="1271" t="str">
        <f t="shared" si="227"/>
        <v/>
      </c>
      <c r="IM675" s="1271" t="str">
        <f t="shared" si="228"/>
        <v/>
      </c>
      <c r="IN675" s="1271" t="str">
        <f t="shared" si="229"/>
        <v/>
      </c>
      <c r="IO675" s="1271" t="str">
        <f t="shared" si="230"/>
        <v/>
      </c>
      <c r="IP675" s="1271" t="str">
        <f t="shared" si="231"/>
        <v/>
      </c>
      <c r="IQ675" s="1271" t="str">
        <f t="shared" si="232"/>
        <v/>
      </c>
      <c r="IR675" s="1271" t="str">
        <f t="shared" si="233"/>
        <v/>
      </c>
      <c r="IS675" s="1271" t="str">
        <f t="shared" si="234"/>
        <v/>
      </c>
      <c r="IT675" s="1271" t="str">
        <f t="shared" si="235"/>
        <v/>
      </c>
      <c r="IU675" s="1271" t="str">
        <f t="shared" si="236"/>
        <v/>
      </c>
      <c r="IV675" s="1271" t="str">
        <f t="shared" si="237"/>
        <v/>
      </c>
      <c r="IW675" s="1271" t="str">
        <f t="shared" si="238"/>
        <v/>
      </c>
      <c r="IX675" s="1271" t="str">
        <f t="shared" si="239"/>
        <v/>
      </c>
      <c r="IY675" s="1271" t="str">
        <f t="shared" si="240"/>
        <v/>
      </c>
      <c r="IZ675" s="1271" t="str">
        <f t="shared" si="241"/>
        <v/>
      </c>
      <c r="JA675" s="1271" t="str">
        <f t="shared" si="242"/>
        <v/>
      </c>
      <c r="JB675" s="1271" t="str">
        <f t="shared" si="243"/>
        <v/>
      </c>
      <c r="JC675" s="1518">
        <f t="shared" si="244"/>
        <v>0</v>
      </c>
      <c r="JD675" s="1518">
        <f t="shared" si="245"/>
        <v>0</v>
      </c>
      <c r="JE675" s="1518">
        <f t="shared" si="246"/>
        <v>0</v>
      </c>
      <c r="JF675" s="1518">
        <f t="shared" si="247"/>
        <v>0</v>
      </c>
      <c r="JG675" s="1518">
        <f t="shared" si="248"/>
        <v>0</v>
      </c>
      <c r="JH675" s="1518">
        <f t="shared" si="249"/>
        <v>0</v>
      </c>
      <c r="JI675" s="1518">
        <f t="shared" si="250"/>
        <v>0</v>
      </c>
      <c r="JJ675" s="1518">
        <f t="shared" si="251"/>
        <v>5</v>
      </c>
      <c r="JK675" s="1518">
        <f t="shared" si="252"/>
        <v>0</v>
      </c>
      <c r="JL675" s="1518">
        <f t="shared" si="253"/>
        <v>0</v>
      </c>
      <c r="JM675" s="1518">
        <f t="shared" si="254"/>
        <v>0</v>
      </c>
      <c r="JN675" s="1518">
        <f t="shared" si="255"/>
        <v>0</v>
      </c>
      <c r="JO675" s="1518">
        <f t="shared" si="256"/>
        <v>0</v>
      </c>
      <c r="JP675" s="1518">
        <f t="shared" si="257"/>
        <v>0</v>
      </c>
      <c r="JQ675" s="1518">
        <f t="shared" si="258"/>
        <v>0</v>
      </c>
    </row>
    <row r="676" spans="1:277" ht="12" customHeight="1">
      <c r="A676" s="1687" t="str">
        <f t="shared" si="1"/>
        <v/>
      </c>
      <c r="B676" s="1702" t="str">
        <f>'Part VI-Revenues &amp; Expenses'!B15</f>
        <v>50% AMI</v>
      </c>
      <c r="C676" s="1703">
        <f>'Part VI-Revenues &amp; Expenses'!C15</f>
        <v>1</v>
      </c>
      <c r="D676" s="1704">
        <f>'Part VI-Revenues &amp; Expenses'!D15</f>
        <v>1</v>
      </c>
      <c r="E676" s="1705">
        <f>'Part VI-Revenues &amp; Expenses'!E15</f>
        <v>28</v>
      </c>
      <c r="F676" s="1705">
        <f>'Part VI-Revenues &amp; Expenses'!F15</f>
        <v>826</v>
      </c>
      <c r="G676" s="1705">
        <f>'Part VI-Revenues &amp; Expenses'!G15</f>
        <v>633</v>
      </c>
      <c r="H676" s="1705">
        <f>'Part VI-Revenues &amp; Expenses'!H15</f>
        <v>768</v>
      </c>
      <c r="I676" s="1705">
        <f>'Part VI-Revenues &amp; Expenses'!I15</f>
        <v>56</v>
      </c>
      <c r="J676" s="1706" t="str">
        <f>'Part VI-Revenues &amp; Expenses'!J15</f>
        <v>PHA PBRA</v>
      </c>
      <c r="K676" s="1707">
        <f t="shared" si="2"/>
        <v>712</v>
      </c>
      <c r="L676" s="1707">
        <f t="shared" si="3"/>
        <v>19936</v>
      </c>
      <c r="M676" s="1708" t="str">
        <f>'Part VI-Revenues &amp; Expenses'!M15</f>
        <v>No</v>
      </c>
      <c r="N676" s="1708" t="str">
        <f>'Part VI-Revenues &amp; Expenses'!N15</f>
        <v>3+ Story</v>
      </c>
      <c r="O676" s="1708" t="str">
        <f>'Part VI-Revenues &amp; Expenses'!O15</f>
        <v>New Construction</v>
      </c>
      <c r="P676" s="1515" t="str">
        <f>'Part VI-Revenues &amp; Expenses'!P15</f>
        <v>No</v>
      </c>
      <c r="Q676" s="1709">
        <f>'Part VI-Revenues &amp; Expenses'!Q15</f>
        <v>30720</v>
      </c>
      <c r="R676" s="1710">
        <f>'Part VI-Revenues &amp; Expenses'!R15</f>
        <v>0.59970717423133235</v>
      </c>
      <c r="S676" s="1709">
        <f>'Part VI-Revenues &amp; Expenses'!S15</f>
        <v>0</v>
      </c>
      <c r="T676" s="1710">
        <f>'Part VI-Revenues &amp; Expenses'!T15</f>
        <v>0</v>
      </c>
      <c r="U676" s="1629"/>
      <c r="V676" s="1629"/>
      <c r="W676" s="1271" t="str">
        <f t="shared" si="4"/>
        <v/>
      </c>
      <c r="X676" s="1271" t="str">
        <f t="shared" si="5"/>
        <v/>
      </c>
      <c r="Y676" s="1271" t="str">
        <f t="shared" si="6"/>
        <v/>
      </c>
      <c r="Z676" s="1271" t="str">
        <f t="shared" si="7"/>
        <v/>
      </c>
      <c r="AA676" s="1271" t="str">
        <f t="shared" si="8"/>
        <v/>
      </c>
      <c r="AB676" s="1271" t="str">
        <f t="shared" si="9"/>
        <v/>
      </c>
      <c r="AC676" s="1271">
        <f t="shared" si="10"/>
        <v>28</v>
      </c>
      <c r="AD676" s="1271" t="str">
        <f t="shared" si="11"/>
        <v/>
      </c>
      <c r="AE676" s="1271" t="str">
        <f t="shared" si="12"/>
        <v/>
      </c>
      <c r="AF676" s="1271" t="str">
        <f t="shared" si="13"/>
        <v/>
      </c>
      <c r="AG676" s="1271" t="str">
        <f t="shared" si="14"/>
        <v/>
      </c>
      <c r="AH676" s="1271" t="str">
        <f t="shared" si="15"/>
        <v/>
      </c>
      <c r="AI676" s="1271" t="str">
        <f t="shared" si="16"/>
        <v/>
      </c>
      <c r="AJ676" s="1271" t="str">
        <f t="shared" si="17"/>
        <v/>
      </c>
      <c r="AK676" s="1271" t="str">
        <f t="shared" si="18"/>
        <v/>
      </c>
      <c r="AL676" s="1271" t="str">
        <f t="shared" si="19"/>
        <v/>
      </c>
      <c r="AM676" s="1271" t="str">
        <f t="shared" si="20"/>
        <v/>
      </c>
      <c r="AN676" s="1271" t="str">
        <f t="shared" si="21"/>
        <v/>
      </c>
      <c r="AO676" s="1271" t="str">
        <f t="shared" si="22"/>
        <v/>
      </c>
      <c r="AP676" s="1271" t="str">
        <f t="shared" si="23"/>
        <v/>
      </c>
      <c r="AQ676" s="1271" t="str">
        <f t="shared" si="24"/>
        <v/>
      </c>
      <c r="AR676" s="1271" t="str">
        <f t="shared" si="25"/>
        <v/>
      </c>
      <c r="AS676" s="1271" t="str">
        <f t="shared" si="26"/>
        <v/>
      </c>
      <c r="AT676" s="1271" t="str">
        <f t="shared" si="27"/>
        <v/>
      </c>
      <c r="AU676" s="1271" t="str">
        <f t="shared" si="28"/>
        <v/>
      </c>
      <c r="AV676" s="1271" t="str">
        <f t="shared" si="29"/>
        <v/>
      </c>
      <c r="AW676" s="1271">
        <f t="shared" si="30"/>
        <v>28</v>
      </c>
      <c r="AX676" s="1271" t="str">
        <f t="shared" si="31"/>
        <v/>
      </c>
      <c r="AY676" s="1271" t="str">
        <f t="shared" si="32"/>
        <v/>
      </c>
      <c r="AZ676" s="1271" t="str">
        <f t="shared" si="33"/>
        <v/>
      </c>
      <c r="BA676" s="1271" t="str">
        <f t="shared" si="34"/>
        <v/>
      </c>
      <c r="BB676" s="1271" t="str">
        <f t="shared" si="35"/>
        <v/>
      </c>
      <c r="BC676" s="1271" t="str">
        <f t="shared" si="36"/>
        <v/>
      </c>
      <c r="BD676" s="1271" t="str">
        <f t="shared" si="37"/>
        <v/>
      </c>
      <c r="BE676" s="1271" t="str">
        <f t="shared" si="38"/>
        <v/>
      </c>
      <c r="BF676" s="1271" t="str">
        <f t="shared" si="39"/>
        <v/>
      </c>
      <c r="BG676" s="1271" t="str">
        <f t="shared" si="40"/>
        <v/>
      </c>
      <c r="BH676" s="1271" t="str">
        <f t="shared" si="41"/>
        <v/>
      </c>
      <c r="BI676" s="1271" t="str">
        <f t="shared" si="42"/>
        <v/>
      </c>
      <c r="BJ676" s="1271" t="str">
        <f t="shared" si="43"/>
        <v/>
      </c>
      <c r="BK676" s="1271" t="str">
        <f t="shared" si="44"/>
        <v/>
      </c>
      <c r="BL676" s="1271" t="str">
        <f t="shared" si="45"/>
        <v/>
      </c>
      <c r="BM676" s="1271" t="str">
        <f t="shared" si="46"/>
        <v/>
      </c>
      <c r="BN676" s="1271" t="str">
        <f t="shared" si="47"/>
        <v/>
      </c>
      <c r="BO676" s="1271" t="str">
        <f t="shared" si="48"/>
        <v/>
      </c>
      <c r="BP676" s="1271" t="str">
        <f t="shared" si="49"/>
        <v/>
      </c>
      <c r="BQ676" s="1271" t="str">
        <f t="shared" si="50"/>
        <v/>
      </c>
      <c r="BR676" s="1271" t="str">
        <f t="shared" si="51"/>
        <v/>
      </c>
      <c r="BS676" s="1271" t="str">
        <f t="shared" si="52"/>
        <v/>
      </c>
      <c r="BT676" s="1271" t="str">
        <f t="shared" si="53"/>
        <v/>
      </c>
      <c r="BU676" s="1271" t="str">
        <f t="shared" si="54"/>
        <v/>
      </c>
      <c r="BV676" s="1271" t="str">
        <f t="shared" si="55"/>
        <v/>
      </c>
      <c r="BW676" s="1271" t="str">
        <f t="shared" si="56"/>
        <v/>
      </c>
      <c r="BX676" s="1271" t="str">
        <f t="shared" si="57"/>
        <v/>
      </c>
      <c r="BY676" s="1271" t="str">
        <f t="shared" si="58"/>
        <v/>
      </c>
      <c r="BZ676" s="1271" t="str">
        <f t="shared" si="59"/>
        <v/>
      </c>
      <c r="CA676" s="1271" t="str">
        <f t="shared" si="60"/>
        <v/>
      </c>
      <c r="CB676" s="1271" t="str">
        <f t="shared" si="61"/>
        <v/>
      </c>
      <c r="CC676" s="1271" t="str">
        <f t="shared" si="62"/>
        <v/>
      </c>
      <c r="CD676" s="1271" t="str">
        <f t="shared" si="63"/>
        <v/>
      </c>
      <c r="CE676" s="1271" t="str">
        <f t="shared" si="64"/>
        <v/>
      </c>
      <c r="CF676" s="1271">
        <f t="shared" si="65"/>
        <v>23128</v>
      </c>
      <c r="CG676" s="1271" t="str">
        <f t="shared" si="66"/>
        <v/>
      </c>
      <c r="CH676" s="1271" t="str">
        <f t="shared" si="67"/>
        <v/>
      </c>
      <c r="CI676" s="1271" t="str">
        <f t="shared" si="68"/>
        <v/>
      </c>
      <c r="CJ676" s="1271" t="str">
        <f t="shared" si="69"/>
        <v/>
      </c>
      <c r="CK676" s="1271" t="str">
        <f t="shared" si="70"/>
        <v/>
      </c>
      <c r="CL676" s="1271" t="str">
        <f t="shared" si="71"/>
        <v/>
      </c>
      <c r="CM676" s="1271" t="str">
        <f t="shared" si="72"/>
        <v/>
      </c>
      <c r="CN676" s="1271" t="str">
        <f t="shared" si="73"/>
        <v/>
      </c>
      <c r="CO676" s="1271" t="str">
        <f t="shared" si="74"/>
        <v/>
      </c>
      <c r="CP676" s="1271" t="str">
        <f t="shared" si="75"/>
        <v/>
      </c>
      <c r="CQ676" s="1271" t="str">
        <f t="shared" si="76"/>
        <v/>
      </c>
      <c r="CR676" s="1271" t="str">
        <f t="shared" si="77"/>
        <v/>
      </c>
      <c r="CS676" s="1271" t="str">
        <f t="shared" si="78"/>
        <v/>
      </c>
      <c r="CT676" s="1271" t="str">
        <f t="shared" si="79"/>
        <v/>
      </c>
      <c r="CU676" s="1271">
        <f t="shared" si="80"/>
        <v>23128</v>
      </c>
      <c r="CV676" s="1271" t="str">
        <f t="shared" si="81"/>
        <v/>
      </c>
      <c r="CW676" s="1271" t="str">
        <f t="shared" si="82"/>
        <v/>
      </c>
      <c r="CX676" s="1271" t="str">
        <f t="shared" si="83"/>
        <v/>
      </c>
      <c r="CY676" s="1271" t="str">
        <f t="shared" si="84"/>
        <v/>
      </c>
      <c r="CZ676" s="1271" t="str">
        <f t="shared" si="85"/>
        <v/>
      </c>
      <c r="DA676" s="1271" t="str">
        <f t="shared" si="86"/>
        <v/>
      </c>
      <c r="DB676" s="1271" t="str">
        <f t="shared" si="87"/>
        <v/>
      </c>
      <c r="DC676" s="1271" t="str">
        <f t="shared" si="88"/>
        <v/>
      </c>
      <c r="DD676" s="1271" t="str">
        <f t="shared" si="89"/>
        <v/>
      </c>
      <c r="DE676" s="1271">
        <f t="shared" si="90"/>
        <v>28</v>
      </c>
      <c r="DF676" s="1271" t="str">
        <f t="shared" si="91"/>
        <v/>
      </c>
      <c r="DG676" s="1271" t="str">
        <f t="shared" si="92"/>
        <v/>
      </c>
      <c r="DH676" s="1271" t="str">
        <f t="shared" si="93"/>
        <v/>
      </c>
      <c r="DI676" s="1271" t="str">
        <f t="shared" si="94"/>
        <v/>
      </c>
      <c r="DJ676" s="1271" t="str">
        <f t="shared" si="95"/>
        <v/>
      </c>
      <c r="DK676" s="1271" t="str">
        <f t="shared" si="96"/>
        <v/>
      </c>
      <c r="DL676" s="1271" t="str">
        <f t="shared" si="97"/>
        <v/>
      </c>
      <c r="DM676" s="1271" t="str">
        <f t="shared" si="98"/>
        <v/>
      </c>
      <c r="DN676" s="1271" t="str">
        <f t="shared" si="99"/>
        <v/>
      </c>
      <c r="DO676" s="1271" t="str">
        <f t="shared" si="100"/>
        <v/>
      </c>
      <c r="DP676" s="1271" t="str">
        <f t="shared" si="101"/>
        <v/>
      </c>
      <c r="DQ676" s="1271" t="str">
        <f t="shared" si="102"/>
        <v/>
      </c>
      <c r="DR676" s="1271" t="str">
        <f t="shared" si="103"/>
        <v/>
      </c>
      <c r="DS676" s="1271" t="str">
        <f t="shared" si="104"/>
        <v/>
      </c>
      <c r="DT676" s="1271" t="str">
        <f t="shared" si="105"/>
        <v/>
      </c>
      <c r="DU676" s="1271" t="str">
        <f t="shared" si="106"/>
        <v/>
      </c>
      <c r="DV676" s="1271" t="str">
        <f t="shared" si="107"/>
        <v/>
      </c>
      <c r="DW676" s="1271" t="str">
        <f t="shared" si="108"/>
        <v/>
      </c>
      <c r="DX676" s="1271" t="str">
        <f t="shared" si="109"/>
        <v/>
      </c>
      <c r="DY676" s="1271" t="str">
        <f t="shared" si="110"/>
        <v/>
      </c>
      <c r="DZ676" s="1271" t="str">
        <f t="shared" si="111"/>
        <v/>
      </c>
      <c r="EA676" s="1271" t="str">
        <f t="shared" si="112"/>
        <v/>
      </c>
      <c r="EB676" s="1271" t="str">
        <f t="shared" si="113"/>
        <v/>
      </c>
      <c r="EC676" s="1271" t="str">
        <f t="shared" si="114"/>
        <v/>
      </c>
      <c r="ED676" s="1271" t="str">
        <f t="shared" si="115"/>
        <v/>
      </c>
      <c r="EE676" s="1271" t="str">
        <f t="shared" si="116"/>
        <v/>
      </c>
      <c r="EF676" s="1271" t="str">
        <f t="shared" si="117"/>
        <v/>
      </c>
      <c r="EG676" s="1271" t="str">
        <f t="shared" si="118"/>
        <v/>
      </c>
      <c r="EH676" s="1271" t="str">
        <f t="shared" si="119"/>
        <v/>
      </c>
      <c r="EI676" s="1271" t="str">
        <f t="shared" si="120"/>
        <v/>
      </c>
      <c r="EJ676" s="1271" t="str">
        <f t="shared" si="121"/>
        <v/>
      </c>
      <c r="EK676" s="1271" t="str">
        <f t="shared" si="122"/>
        <v/>
      </c>
      <c r="EL676" s="1271" t="str">
        <f t="shared" si="123"/>
        <v/>
      </c>
      <c r="EM676" s="1271" t="str">
        <f t="shared" si="124"/>
        <v/>
      </c>
      <c r="EN676" s="1271" t="str">
        <f t="shared" si="125"/>
        <v/>
      </c>
      <c r="EO676" s="1271" t="str">
        <f t="shared" si="126"/>
        <v/>
      </c>
      <c r="EP676" s="1271" t="str">
        <f t="shared" si="127"/>
        <v/>
      </c>
      <c r="EQ676" s="1271" t="str">
        <f t="shared" si="128"/>
        <v/>
      </c>
      <c r="ER676" s="1271" t="str">
        <f t="shared" si="129"/>
        <v/>
      </c>
      <c r="ES676" s="1271" t="str">
        <f t="shared" si="130"/>
        <v/>
      </c>
      <c r="ET676" s="1271" t="str">
        <f t="shared" si="131"/>
        <v/>
      </c>
      <c r="EU676" s="1271" t="str">
        <f t="shared" si="132"/>
        <v/>
      </c>
      <c r="EV676" s="1271" t="str">
        <f t="shared" si="133"/>
        <v/>
      </c>
      <c r="EW676" s="1519" t="str">
        <f t="shared" si="134"/>
        <v/>
      </c>
      <c r="EX676" s="1519">
        <f t="shared" si="135"/>
        <v>28</v>
      </c>
      <c r="EY676" s="1519" t="str">
        <f t="shared" si="136"/>
        <v/>
      </c>
      <c r="EZ676" s="1519" t="str">
        <f t="shared" si="137"/>
        <v/>
      </c>
      <c r="FA676" s="1519" t="str">
        <f t="shared" si="138"/>
        <v/>
      </c>
      <c r="FB676" s="1519" t="str">
        <f t="shared" si="139"/>
        <v/>
      </c>
      <c r="FC676" s="1519" t="str">
        <f t="shared" si="140"/>
        <v/>
      </c>
      <c r="FD676" s="1519" t="str">
        <f t="shared" si="141"/>
        <v/>
      </c>
      <c r="FE676" s="1519" t="str">
        <f t="shared" si="142"/>
        <v/>
      </c>
      <c r="FF676" s="1519" t="str">
        <f t="shared" si="143"/>
        <v/>
      </c>
      <c r="FG676" s="1519" t="str">
        <f t="shared" si="144"/>
        <v/>
      </c>
      <c r="FH676" s="1519" t="str">
        <f t="shared" si="145"/>
        <v/>
      </c>
      <c r="FI676" s="1519" t="str">
        <f t="shared" si="146"/>
        <v/>
      </c>
      <c r="FJ676" s="1519" t="str">
        <f t="shared" si="147"/>
        <v/>
      </c>
      <c r="FK676" s="1519" t="str">
        <f t="shared" si="148"/>
        <v/>
      </c>
      <c r="FL676" s="1519" t="str">
        <f t="shared" si="149"/>
        <v/>
      </c>
      <c r="FM676" s="1519" t="str">
        <f t="shared" si="150"/>
        <v/>
      </c>
      <c r="FN676" s="1519" t="str">
        <f t="shared" si="151"/>
        <v/>
      </c>
      <c r="FO676" s="1519" t="str">
        <f t="shared" si="152"/>
        <v/>
      </c>
      <c r="FP676" s="1519" t="str">
        <f t="shared" si="153"/>
        <v/>
      </c>
      <c r="FQ676" s="1519" t="str">
        <f t="shared" si="154"/>
        <v/>
      </c>
      <c r="FR676" s="1519" t="str">
        <f t="shared" si="155"/>
        <v/>
      </c>
      <c r="FS676" s="1519" t="str">
        <f t="shared" si="156"/>
        <v/>
      </c>
      <c r="FT676" s="1519" t="str">
        <f t="shared" si="157"/>
        <v/>
      </c>
      <c r="FU676" s="1519" t="str">
        <f t="shared" si="158"/>
        <v/>
      </c>
      <c r="FV676" s="1519" t="str">
        <f t="shared" si="159"/>
        <v/>
      </c>
      <c r="FW676" s="1519" t="str">
        <f t="shared" si="160"/>
        <v/>
      </c>
      <c r="FX676" s="1519" t="str">
        <f t="shared" si="161"/>
        <v/>
      </c>
      <c r="FY676" s="1519" t="str">
        <f t="shared" si="162"/>
        <v/>
      </c>
      <c r="FZ676" s="1519" t="str">
        <f t="shared" si="163"/>
        <v/>
      </c>
      <c r="GA676" s="1519" t="str">
        <f t="shared" si="164"/>
        <v/>
      </c>
      <c r="GB676" s="1519" t="str">
        <f t="shared" si="165"/>
        <v/>
      </c>
      <c r="GC676" s="1519" t="str">
        <f t="shared" si="166"/>
        <v/>
      </c>
      <c r="GD676" s="1519" t="str">
        <f t="shared" si="167"/>
        <v/>
      </c>
      <c r="GE676" s="1519" t="str">
        <f t="shared" si="168"/>
        <v/>
      </c>
      <c r="GF676" s="1519" t="str">
        <f t="shared" si="169"/>
        <v/>
      </c>
      <c r="GG676" s="1519" t="str">
        <f t="shared" si="170"/>
        <v/>
      </c>
      <c r="GH676" s="1519" t="str">
        <f t="shared" si="171"/>
        <v/>
      </c>
      <c r="GI676" s="1519" t="str">
        <f t="shared" si="172"/>
        <v/>
      </c>
      <c r="GJ676" s="1519" t="str">
        <f t="shared" si="173"/>
        <v/>
      </c>
      <c r="GK676" s="1519" t="str">
        <f t="shared" si="174"/>
        <v/>
      </c>
      <c r="GL676" s="1519" t="str">
        <f t="shared" si="175"/>
        <v/>
      </c>
      <c r="GM676" s="1519" t="str">
        <f t="shared" si="176"/>
        <v/>
      </c>
      <c r="GN676" s="1519" t="str">
        <f t="shared" si="177"/>
        <v/>
      </c>
      <c r="GO676" s="1519" t="str">
        <f t="shared" si="178"/>
        <v/>
      </c>
      <c r="GP676" s="1519" t="str">
        <f t="shared" si="179"/>
        <v/>
      </c>
      <c r="GQ676" s="1519" t="str">
        <f t="shared" si="180"/>
        <v/>
      </c>
      <c r="GR676" s="1519" t="str">
        <f t="shared" si="181"/>
        <v/>
      </c>
      <c r="GS676" s="1519" t="str">
        <f t="shared" si="182"/>
        <v/>
      </c>
      <c r="GT676" s="1519" t="str">
        <f t="shared" si="183"/>
        <v/>
      </c>
      <c r="GU676" s="1519" t="str">
        <f t="shared" si="184"/>
        <v/>
      </c>
      <c r="GV676" s="1519" t="str">
        <f t="shared" si="185"/>
        <v/>
      </c>
      <c r="GW676" s="1519" t="str">
        <f t="shared" si="186"/>
        <v/>
      </c>
      <c r="GX676" s="1519" t="str">
        <f t="shared" si="187"/>
        <v/>
      </c>
      <c r="GY676" s="1519" t="str">
        <f t="shared" si="188"/>
        <v/>
      </c>
      <c r="GZ676" s="1519" t="str">
        <f t="shared" si="189"/>
        <v/>
      </c>
      <c r="HA676" s="1519" t="str">
        <f t="shared" si="190"/>
        <v/>
      </c>
      <c r="HB676" s="1519" t="str">
        <f t="shared" si="191"/>
        <v/>
      </c>
      <c r="HC676" s="1519" t="str">
        <f t="shared" si="192"/>
        <v/>
      </c>
      <c r="HD676" s="1519" t="str">
        <f t="shared" si="193"/>
        <v/>
      </c>
      <c r="HE676" s="1519" t="str">
        <f t="shared" si="194"/>
        <v/>
      </c>
      <c r="HF676" s="1519" t="str">
        <f t="shared" si="195"/>
        <v/>
      </c>
      <c r="HG676" s="1519" t="str">
        <f t="shared" si="196"/>
        <v/>
      </c>
      <c r="HH676" s="1519" t="str">
        <f t="shared" si="197"/>
        <v/>
      </c>
      <c r="HI676" s="1519" t="str">
        <f t="shared" si="198"/>
        <v/>
      </c>
      <c r="HJ676" s="1519" t="str">
        <f t="shared" si="199"/>
        <v/>
      </c>
      <c r="HK676" s="1519" t="str">
        <f t="shared" si="200"/>
        <v/>
      </c>
      <c r="HL676" s="1519" t="str">
        <f t="shared" si="201"/>
        <v/>
      </c>
      <c r="HM676" s="1519" t="str">
        <f t="shared" si="202"/>
        <v/>
      </c>
      <c r="HN676" s="1519" t="str">
        <f t="shared" si="203"/>
        <v/>
      </c>
      <c r="HO676" s="1519" t="str">
        <f t="shared" si="204"/>
        <v/>
      </c>
      <c r="HP676" s="1519" t="str">
        <f t="shared" si="205"/>
        <v/>
      </c>
      <c r="HQ676" s="1519" t="str">
        <f t="shared" si="206"/>
        <v/>
      </c>
      <c r="HR676" s="1519" t="str">
        <f t="shared" si="207"/>
        <v/>
      </c>
      <c r="HS676" s="1519" t="str">
        <f t="shared" si="208"/>
        <v/>
      </c>
      <c r="HT676" s="1519" t="str">
        <f t="shared" si="209"/>
        <v/>
      </c>
      <c r="HU676" s="1519">
        <f t="shared" si="210"/>
        <v>28</v>
      </c>
      <c r="HV676" s="1519" t="str">
        <f t="shared" si="211"/>
        <v/>
      </c>
      <c r="HW676" s="1519" t="str">
        <f t="shared" si="212"/>
        <v/>
      </c>
      <c r="HX676" s="1519" t="str">
        <f t="shared" si="213"/>
        <v/>
      </c>
      <c r="HY676" s="1519" t="str">
        <f t="shared" si="214"/>
        <v/>
      </c>
      <c r="HZ676" s="1519" t="str">
        <f t="shared" si="215"/>
        <v/>
      </c>
      <c r="IA676" s="1519" t="str">
        <f t="shared" si="216"/>
        <v/>
      </c>
      <c r="IB676" s="1519" t="str">
        <f t="shared" si="217"/>
        <v/>
      </c>
      <c r="IC676" s="1519" t="str">
        <f t="shared" si="218"/>
        <v/>
      </c>
      <c r="ID676" s="1520" t="str">
        <f t="shared" si="219"/>
        <v/>
      </c>
      <c r="IE676" s="1520" t="str">
        <f t="shared" si="220"/>
        <v/>
      </c>
      <c r="IF676" s="1520" t="str">
        <f t="shared" si="221"/>
        <v/>
      </c>
      <c r="IG676" s="1520" t="str">
        <f t="shared" si="222"/>
        <v/>
      </c>
      <c r="IH676" s="1520" t="str">
        <f t="shared" si="223"/>
        <v/>
      </c>
      <c r="II676" s="1271" t="str">
        <f t="shared" si="224"/>
        <v/>
      </c>
      <c r="IJ676" s="1271" t="str">
        <f t="shared" si="225"/>
        <v/>
      </c>
      <c r="IK676" s="1271" t="str">
        <f t="shared" si="226"/>
        <v/>
      </c>
      <c r="IL676" s="1271" t="str">
        <f t="shared" si="227"/>
        <v/>
      </c>
      <c r="IM676" s="1271" t="str">
        <f t="shared" si="228"/>
        <v/>
      </c>
      <c r="IN676" s="1271" t="str">
        <f t="shared" si="229"/>
        <v/>
      </c>
      <c r="IO676" s="1271" t="str">
        <f t="shared" si="230"/>
        <v/>
      </c>
      <c r="IP676" s="1271" t="str">
        <f t="shared" si="231"/>
        <v/>
      </c>
      <c r="IQ676" s="1271" t="str">
        <f t="shared" si="232"/>
        <v/>
      </c>
      <c r="IR676" s="1271" t="str">
        <f t="shared" si="233"/>
        <v/>
      </c>
      <c r="IS676" s="1271" t="str">
        <f t="shared" si="234"/>
        <v/>
      </c>
      <c r="IT676" s="1271" t="str">
        <f t="shared" si="235"/>
        <v/>
      </c>
      <c r="IU676" s="1271" t="str">
        <f t="shared" si="236"/>
        <v/>
      </c>
      <c r="IV676" s="1271" t="str">
        <f t="shared" si="237"/>
        <v/>
      </c>
      <c r="IW676" s="1271" t="str">
        <f t="shared" si="238"/>
        <v/>
      </c>
      <c r="IX676" s="1271" t="str">
        <f t="shared" si="239"/>
        <v/>
      </c>
      <c r="IY676" s="1271" t="str">
        <f t="shared" si="240"/>
        <v/>
      </c>
      <c r="IZ676" s="1271" t="str">
        <f t="shared" si="241"/>
        <v/>
      </c>
      <c r="JA676" s="1271" t="str">
        <f t="shared" si="242"/>
        <v/>
      </c>
      <c r="JB676" s="1271" t="str">
        <f t="shared" si="243"/>
        <v/>
      </c>
      <c r="JC676" s="1518">
        <f t="shared" si="244"/>
        <v>0</v>
      </c>
      <c r="JD676" s="1518">
        <f t="shared" si="245"/>
        <v>0</v>
      </c>
      <c r="JE676" s="1518">
        <f t="shared" si="246"/>
        <v>0</v>
      </c>
      <c r="JF676" s="1518">
        <f t="shared" si="247"/>
        <v>0</v>
      </c>
      <c r="JG676" s="1518">
        <f t="shared" si="248"/>
        <v>0</v>
      </c>
      <c r="JH676" s="1518">
        <f t="shared" si="249"/>
        <v>0</v>
      </c>
      <c r="JI676" s="1518">
        <f t="shared" si="250"/>
        <v>28</v>
      </c>
      <c r="JJ676" s="1518">
        <f t="shared" si="251"/>
        <v>0</v>
      </c>
      <c r="JK676" s="1518">
        <f t="shared" si="252"/>
        <v>0</v>
      </c>
      <c r="JL676" s="1518">
        <f t="shared" si="253"/>
        <v>0</v>
      </c>
      <c r="JM676" s="1518">
        <f t="shared" si="254"/>
        <v>0</v>
      </c>
      <c r="JN676" s="1518">
        <f t="shared" si="255"/>
        <v>0</v>
      </c>
      <c r="JO676" s="1518">
        <f t="shared" si="256"/>
        <v>0</v>
      </c>
      <c r="JP676" s="1518">
        <f t="shared" si="257"/>
        <v>0</v>
      </c>
      <c r="JQ676" s="1518">
        <f t="shared" si="258"/>
        <v>0</v>
      </c>
    </row>
    <row r="677" spans="1:277" ht="12" customHeight="1">
      <c r="A677" s="1687" t="str">
        <f t="shared" si="1"/>
        <v/>
      </c>
      <c r="B677" s="1702" t="str">
        <f>'Part VI-Revenues &amp; Expenses'!B16</f>
        <v>50% AMI</v>
      </c>
      <c r="C677" s="1703">
        <f>'Part VI-Revenues &amp; Expenses'!C16</f>
        <v>2</v>
      </c>
      <c r="D677" s="1704">
        <f>'Part VI-Revenues &amp; Expenses'!D16</f>
        <v>2</v>
      </c>
      <c r="E677" s="1705">
        <f>'Part VI-Revenues &amp; Expenses'!E16</f>
        <v>3</v>
      </c>
      <c r="F677" s="1705">
        <f>'Part VI-Revenues &amp; Expenses'!F16</f>
        <v>1039</v>
      </c>
      <c r="G677" s="1705">
        <f>'Part VI-Revenues &amp; Expenses'!G16</f>
        <v>760</v>
      </c>
      <c r="H677" s="1705">
        <f>'Part VI-Revenues &amp; Expenses'!H16</f>
        <v>921</v>
      </c>
      <c r="I677" s="1705">
        <f>'Part VI-Revenues &amp; Expenses'!I16</f>
        <v>74</v>
      </c>
      <c r="J677" s="1706" t="str">
        <f>'Part VI-Revenues &amp; Expenses'!J16</f>
        <v>PHA PBRA</v>
      </c>
      <c r="K677" s="1707">
        <f t="shared" si="2"/>
        <v>847</v>
      </c>
      <c r="L677" s="1707">
        <f t="shared" si="3"/>
        <v>2541</v>
      </c>
      <c r="M677" s="1708" t="str">
        <f>'Part VI-Revenues &amp; Expenses'!M16</f>
        <v>No</v>
      </c>
      <c r="N677" s="1708" t="str">
        <f>'Part VI-Revenues &amp; Expenses'!N16</f>
        <v>3+ Story</v>
      </c>
      <c r="O677" s="1708" t="str">
        <f>'Part VI-Revenues &amp; Expenses'!O16</f>
        <v>New Construction</v>
      </c>
      <c r="P677" s="1515" t="str">
        <f>'Part VI-Revenues &amp; Expenses'!P16</f>
        <v>No</v>
      </c>
      <c r="Q677" s="1709">
        <f>'Part VI-Revenues &amp; Expenses'!Q16</f>
        <v>36840</v>
      </c>
      <c r="R677" s="1710">
        <f>'Part VI-Revenues &amp; Expenses'!R16</f>
        <v>0.59931673987310885</v>
      </c>
      <c r="S677" s="1709">
        <f>'Part VI-Revenues &amp; Expenses'!S16</f>
        <v>0</v>
      </c>
      <c r="T677" s="1710">
        <f>'Part VI-Revenues &amp; Expenses'!T16</f>
        <v>0</v>
      </c>
      <c r="U677" s="1629"/>
      <c r="V677" s="1629"/>
      <c r="W677" s="1271" t="str">
        <f t="shared" si="4"/>
        <v/>
      </c>
      <c r="X677" s="1271" t="str">
        <f t="shared" si="5"/>
        <v/>
      </c>
      <c r="Y677" s="1271" t="str">
        <f t="shared" si="6"/>
        <v/>
      </c>
      <c r="Z677" s="1271" t="str">
        <f t="shared" si="7"/>
        <v/>
      </c>
      <c r="AA677" s="1271" t="str">
        <f t="shared" si="8"/>
        <v/>
      </c>
      <c r="AB677" s="1271" t="str">
        <f t="shared" si="9"/>
        <v/>
      </c>
      <c r="AC677" s="1271" t="str">
        <f t="shared" si="10"/>
        <v/>
      </c>
      <c r="AD677" s="1271">
        <f t="shared" si="11"/>
        <v>3</v>
      </c>
      <c r="AE677" s="1271" t="str">
        <f t="shared" si="12"/>
        <v/>
      </c>
      <c r="AF677" s="1271" t="str">
        <f t="shared" si="13"/>
        <v/>
      </c>
      <c r="AG677" s="1271" t="str">
        <f t="shared" si="14"/>
        <v/>
      </c>
      <c r="AH677" s="1271" t="str">
        <f t="shared" si="15"/>
        <v/>
      </c>
      <c r="AI677" s="1271" t="str">
        <f t="shared" si="16"/>
        <v/>
      </c>
      <c r="AJ677" s="1271" t="str">
        <f t="shared" si="17"/>
        <v/>
      </c>
      <c r="AK677" s="1271" t="str">
        <f t="shared" si="18"/>
        <v/>
      </c>
      <c r="AL677" s="1271" t="str">
        <f t="shared" si="19"/>
        <v/>
      </c>
      <c r="AM677" s="1271" t="str">
        <f t="shared" si="20"/>
        <v/>
      </c>
      <c r="AN677" s="1271" t="str">
        <f t="shared" si="21"/>
        <v/>
      </c>
      <c r="AO677" s="1271" t="str">
        <f t="shared" si="22"/>
        <v/>
      </c>
      <c r="AP677" s="1271" t="str">
        <f t="shared" si="23"/>
        <v/>
      </c>
      <c r="AQ677" s="1271" t="str">
        <f t="shared" si="24"/>
        <v/>
      </c>
      <c r="AR677" s="1271" t="str">
        <f t="shared" si="25"/>
        <v/>
      </c>
      <c r="AS677" s="1271" t="str">
        <f t="shared" si="26"/>
        <v/>
      </c>
      <c r="AT677" s="1271" t="str">
        <f t="shared" si="27"/>
        <v/>
      </c>
      <c r="AU677" s="1271" t="str">
        <f t="shared" si="28"/>
        <v/>
      </c>
      <c r="AV677" s="1271" t="str">
        <f t="shared" si="29"/>
        <v/>
      </c>
      <c r="AW677" s="1271" t="str">
        <f t="shared" si="30"/>
        <v/>
      </c>
      <c r="AX677" s="1271">
        <f t="shared" si="31"/>
        <v>3</v>
      </c>
      <c r="AY677" s="1271" t="str">
        <f t="shared" si="32"/>
        <v/>
      </c>
      <c r="AZ677" s="1271" t="str">
        <f t="shared" si="33"/>
        <v/>
      </c>
      <c r="BA677" s="1271" t="str">
        <f t="shared" si="34"/>
        <v/>
      </c>
      <c r="BB677" s="1271" t="str">
        <f t="shared" si="35"/>
        <v/>
      </c>
      <c r="BC677" s="1271" t="str">
        <f t="shared" si="36"/>
        <v/>
      </c>
      <c r="BD677" s="1271" t="str">
        <f t="shared" si="37"/>
        <v/>
      </c>
      <c r="BE677" s="1271" t="str">
        <f t="shared" si="38"/>
        <v/>
      </c>
      <c r="BF677" s="1271" t="str">
        <f t="shared" si="39"/>
        <v/>
      </c>
      <c r="BG677" s="1271" t="str">
        <f t="shared" si="40"/>
        <v/>
      </c>
      <c r="BH677" s="1271" t="str">
        <f t="shared" si="41"/>
        <v/>
      </c>
      <c r="BI677" s="1271" t="str">
        <f t="shared" si="42"/>
        <v/>
      </c>
      <c r="BJ677" s="1271" t="str">
        <f t="shared" si="43"/>
        <v/>
      </c>
      <c r="BK677" s="1271" t="str">
        <f t="shared" si="44"/>
        <v/>
      </c>
      <c r="BL677" s="1271" t="str">
        <f t="shared" si="45"/>
        <v/>
      </c>
      <c r="BM677" s="1271" t="str">
        <f t="shared" si="46"/>
        <v/>
      </c>
      <c r="BN677" s="1271" t="str">
        <f t="shared" si="47"/>
        <v/>
      </c>
      <c r="BO677" s="1271" t="str">
        <f t="shared" si="48"/>
        <v/>
      </c>
      <c r="BP677" s="1271" t="str">
        <f t="shared" si="49"/>
        <v/>
      </c>
      <c r="BQ677" s="1271" t="str">
        <f t="shared" si="50"/>
        <v/>
      </c>
      <c r="BR677" s="1271" t="str">
        <f t="shared" si="51"/>
        <v/>
      </c>
      <c r="BS677" s="1271" t="str">
        <f t="shared" si="52"/>
        <v/>
      </c>
      <c r="BT677" s="1271" t="str">
        <f t="shared" si="53"/>
        <v/>
      </c>
      <c r="BU677" s="1271" t="str">
        <f t="shared" si="54"/>
        <v/>
      </c>
      <c r="BV677" s="1271" t="str">
        <f t="shared" si="55"/>
        <v/>
      </c>
      <c r="BW677" s="1271" t="str">
        <f t="shared" si="56"/>
        <v/>
      </c>
      <c r="BX677" s="1271" t="str">
        <f t="shared" si="57"/>
        <v/>
      </c>
      <c r="BY677" s="1271" t="str">
        <f t="shared" si="58"/>
        <v/>
      </c>
      <c r="BZ677" s="1271" t="str">
        <f t="shared" si="59"/>
        <v/>
      </c>
      <c r="CA677" s="1271" t="str">
        <f t="shared" si="60"/>
        <v/>
      </c>
      <c r="CB677" s="1271" t="str">
        <f t="shared" si="61"/>
        <v/>
      </c>
      <c r="CC677" s="1271" t="str">
        <f t="shared" si="62"/>
        <v/>
      </c>
      <c r="CD677" s="1271" t="str">
        <f t="shared" si="63"/>
        <v/>
      </c>
      <c r="CE677" s="1271" t="str">
        <f t="shared" si="64"/>
        <v/>
      </c>
      <c r="CF677" s="1271" t="str">
        <f t="shared" si="65"/>
        <v/>
      </c>
      <c r="CG677" s="1271">
        <f t="shared" si="66"/>
        <v>3117</v>
      </c>
      <c r="CH677" s="1271" t="str">
        <f t="shared" si="67"/>
        <v/>
      </c>
      <c r="CI677" s="1271" t="str">
        <f t="shared" si="68"/>
        <v/>
      </c>
      <c r="CJ677" s="1271" t="str">
        <f t="shared" si="69"/>
        <v/>
      </c>
      <c r="CK677" s="1271" t="str">
        <f t="shared" si="70"/>
        <v/>
      </c>
      <c r="CL677" s="1271" t="str">
        <f t="shared" si="71"/>
        <v/>
      </c>
      <c r="CM677" s="1271" t="str">
        <f t="shared" si="72"/>
        <v/>
      </c>
      <c r="CN677" s="1271" t="str">
        <f t="shared" si="73"/>
        <v/>
      </c>
      <c r="CO677" s="1271" t="str">
        <f t="shared" si="74"/>
        <v/>
      </c>
      <c r="CP677" s="1271" t="str">
        <f t="shared" si="75"/>
        <v/>
      </c>
      <c r="CQ677" s="1271" t="str">
        <f t="shared" si="76"/>
        <v/>
      </c>
      <c r="CR677" s="1271" t="str">
        <f t="shared" si="77"/>
        <v/>
      </c>
      <c r="CS677" s="1271" t="str">
        <f t="shared" si="78"/>
        <v/>
      </c>
      <c r="CT677" s="1271" t="str">
        <f t="shared" si="79"/>
        <v/>
      </c>
      <c r="CU677" s="1271" t="str">
        <f t="shared" si="80"/>
        <v/>
      </c>
      <c r="CV677" s="1271">
        <f t="shared" si="81"/>
        <v>3117</v>
      </c>
      <c r="CW677" s="1271" t="str">
        <f t="shared" si="82"/>
        <v/>
      </c>
      <c r="CX677" s="1271" t="str">
        <f t="shared" si="83"/>
        <v/>
      </c>
      <c r="CY677" s="1271" t="str">
        <f t="shared" si="84"/>
        <v/>
      </c>
      <c r="CZ677" s="1271" t="str">
        <f t="shared" si="85"/>
        <v/>
      </c>
      <c r="DA677" s="1271" t="str">
        <f t="shared" si="86"/>
        <v/>
      </c>
      <c r="DB677" s="1271" t="str">
        <f t="shared" si="87"/>
        <v/>
      </c>
      <c r="DC677" s="1271" t="str">
        <f t="shared" si="88"/>
        <v/>
      </c>
      <c r="DD677" s="1271" t="str">
        <f t="shared" si="89"/>
        <v/>
      </c>
      <c r="DE677" s="1271" t="str">
        <f t="shared" si="90"/>
        <v/>
      </c>
      <c r="DF677" s="1271">
        <f t="shared" si="91"/>
        <v>3</v>
      </c>
      <c r="DG677" s="1271" t="str">
        <f t="shared" si="92"/>
        <v/>
      </c>
      <c r="DH677" s="1271" t="str">
        <f t="shared" si="93"/>
        <v/>
      </c>
      <c r="DI677" s="1271" t="str">
        <f t="shared" si="94"/>
        <v/>
      </c>
      <c r="DJ677" s="1271" t="str">
        <f t="shared" si="95"/>
        <v/>
      </c>
      <c r="DK677" s="1271" t="str">
        <f t="shared" si="96"/>
        <v/>
      </c>
      <c r="DL677" s="1271" t="str">
        <f t="shared" si="97"/>
        <v/>
      </c>
      <c r="DM677" s="1271" t="str">
        <f t="shared" si="98"/>
        <v/>
      </c>
      <c r="DN677" s="1271" t="str">
        <f t="shared" si="99"/>
        <v/>
      </c>
      <c r="DO677" s="1271" t="str">
        <f t="shared" si="100"/>
        <v/>
      </c>
      <c r="DP677" s="1271" t="str">
        <f t="shared" si="101"/>
        <v/>
      </c>
      <c r="DQ677" s="1271" t="str">
        <f t="shared" si="102"/>
        <v/>
      </c>
      <c r="DR677" s="1271" t="str">
        <f t="shared" si="103"/>
        <v/>
      </c>
      <c r="DS677" s="1271" t="str">
        <f t="shared" si="104"/>
        <v/>
      </c>
      <c r="DT677" s="1271" t="str">
        <f t="shared" si="105"/>
        <v/>
      </c>
      <c r="DU677" s="1271" t="str">
        <f t="shared" si="106"/>
        <v/>
      </c>
      <c r="DV677" s="1271" t="str">
        <f t="shared" si="107"/>
        <v/>
      </c>
      <c r="DW677" s="1271" t="str">
        <f t="shared" si="108"/>
        <v/>
      </c>
      <c r="DX677" s="1271" t="str">
        <f t="shared" si="109"/>
        <v/>
      </c>
      <c r="DY677" s="1271" t="str">
        <f t="shared" si="110"/>
        <v/>
      </c>
      <c r="DZ677" s="1271" t="str">
        <f t="shared" si="111"/>
        <v/>
      </c>
      <c r="EA677" s="1271" t="str">
        <f t="shared" si="112"/>
        <v/>
      </c>
      <c r="EB677" s="1271" t="str">
        <f t="shared" si="113"/>
        <v/>
      </c>
      <c r="EC677" s="1271" t="str">
        <f t="shared" si="114"/>
        <v/>
      </c>
      <c r="ED677" s="1271" t="str">
        <f t="shared" si="115"/>
        <v/>
      </c>
      <c r="EE677" s="1271" t="str">
        <f t="shared" si="116"/>
        <v/>
      </c>
      <c r="EF677" s="1271" t="str">
        <f t="shared" si="117"/>
        <v/>
      </c>
      <c r="EG677" s="1271" t="str">
        <f t="shared" si="118"/>
        <v/>
      </c>
      <c r="EH677" s="1271" t="str">
        <f t="shared" si="119"/>
        <v/>
      </c>
      <c r="EI677" s="1271" t="str">
        <f t="shared" si="120"/>
        <v/>
      </c>
      <c r="EJ677" s="1271" t="str">
        <f t="shared" si="121"/>
        <v/>
      </c>
      <c r="EK677" s="1271" t="str">
        <f t="shared" si="122"/>
        <v/>
      </c>
      <c r="EL677" s="1271" t="str">
        <f t="shared" si="123"/>
        <v/>
      </c>
      <c r="EM677" s="1271" t="str">
        <f t="shared" si="124"/>
        <v/>
      </c>
      <c r="EN677" s="1271" t="str">
        <f t="shared" si="125"/>
        <v/>
      </c>
      <c r="EO677" s="1271" t="str">
        <f t="shared" si="126"/>
        <v/>
      </c>
      <c r="EP677" s="1271" t="str">
        <f t="shared" si="127"/>
        <v/>
      </c>
      <c r="EQ677" s="1271" t="str">
        <f t="shared" si="128"/>
        <v/>
      </c>
      <c r="ER677" s="1271" t="str">
        <f t="shared" si="129"/>
        <v/>
      </c>
      <c r="ES677" s="1271" t="str">
        <f t="shared" si="130"/>
        <v/>
      </c>
      <c r="ET677" s="1271" t="str">
        <f t="shared" si="131"/>
        <v/>
      </c>
      <c r="EU677" s="1271" t="str">
        <f t="shared" si="132"/>
        <v/>
      </c>
      <c r="EV677" s="1271" t="str">
        <f t="shared" si="133"/>
        <v/>
      </c>
      <c r="EW677" s="1519" t="str">
        <f t="shared" si="134"/>
        <v/>
      </c>
      <c r="EX677" s="1519" t="str">
        <f t="shared" si="135"/>
        <v/>
      </c>
      <c r="EY677" s="1519">
        <f t="shared" si="136"/>
        <v>3</v>
      </c>
      <c r="EZ677" s="1519" t="str">
        <f t="shared" si="137"/>
        <v/>
      </c>
      <c r="FA677" s="1519" t="str">
        <f t="shared" si="138"/>
        <v/>
      </c>
      <c r="FB677" s="1519" t="str">
        <f t="shared" si="139"/>
        <v/>
      </c>
      <c r="FC677" s="1519" t="str">
        <f t="shared" si="140"/>
        <v/>
      </c>
      <c r="FD677" s="1519" t="str">
        <f t="shared" si="141"/>
        <v/>
      </c>
      <c r="FE677" s="1519" t="str">
        <f t="shared" si="142"/>
        <v/>
      </c>
      <c r="FF677" s="1519" t="str">
        <f t="shared" si="143"/>
        <v/>
      </c>
      <c r="FG677" s="1519" t="str">
        <f t="shared" si="144"/>
        <v/>
      </c>
      <c r="FH677" s="1519" t="str">
        <f t="shared" si="145"/>
        <v/>
      </c>
      <c r="FI677" s="1519" t="str">
        <f t="shared" si="146"/>
        <v/>
      </c>
      <c r="FJ677" s="1519" t="str">
        <f t="shared" si="147"/>
        <v/>
      </c>
      <c r="FK677" s="1519" t="str">
        <f t="shared" si="148"/>
        <v/>
      </c>
      <c r="FL677" s="1519" t="str">
        <f t="shared" si="149"/>
        <v/>
      </c>
      <c r="FM677" s="1519" t="str">
        <f t="shared" si="150"/>
        <v/>
      </c>
      <c r="FN677" s="1519" t="str">
        <f t="shared" si="151"/>
        <v/>
      </c>
      <c r="FO677" s="1519" t="str">
        <f t="shared" si="152"/>
        <v/>
      </c>
      <c r="FP677" s="1519" t="str">
        <f t="shared" si="153"/>
        <v/>
      </c>
      <c r="FQ677" s="1519" t="str">
        <f t="shared" si="154"/>
        <v/>
      </c>
      <c r="FR677" s="1519" t="str">
        <f t="shared" si="155"/>
        <v/>
      </c>
      <c r="FS677" s="1519" t="str">
        <f t="shared" si="156"/>
        <v/>
      </c>
      <c r="FT677" s="1519" t="str">
        <f t="shared" si="157"/>
        <v/>
      </c>
      <c r="FU677" s="1519" t="str">
        <f t="shared" si="158"/>
        <v/>
      </c>
      <c r="FV677" s="1519" t="str">
        <f t="shared" si="159"/>
        <v/>
      </c>
      <c r="FW677" s="1519" t="str">
        <f t="shared" si="160"/>
        <v/>
      </c>
      <c r="FX677" s="1519" t="str">
        <f t="shared" si="161"/>
        <v/>
      </c>
      <c r="FY677" s="1519" t="str">
        <f t="shared" si="162"/>
        <v/>
      </c>
      <c r="FZ677" s="1519" t="str">
        <f t="shared" si="163"/>
        <v/>
      </c>
      <c r="GA677" s="1519" t="str">
        <f t="shared" si="164"/>
        <v/>
      </c>
      <c r="GB677" s="1519" t="str">
        <f t="shared" si="165"/>
        <v/>
      </c>
      <c r="GC677" s="1519" t="str">
        <f t="shared" si="166"/>
        <v/>
      </c>
      <c r="GD677" s="1519" t="str">
        <f t="shared" si="167"/>
        <v/>
      </c>
      <c r="GE677" s="1519" t="str">
        <f t="shared" si="168"/>
        <v/>
      </c>
      <c r="GF677" s="1519" t="str">
        <f t="shared" si="169"/>
        <v/>
      </c>
      <c r="GG677" s="1519" t="str">
        <f t="shared" si="170"/>
        <v/>
      </c>
      <c r="GH677" s="1519" t="str">
        <f t="shared" si="171"/>
        <v/>
      </c>
      <c r="GI677" s="1519" t="str">
        <f t="shared" si="172"/>
        <v/>
      </c>
      <c r="GJ677" s="1519" t="str">
        <f t="shared" si="173"/>
        <v/>
      </c>
      <c r="GK677" s="1519" t="str">
        <f t="shared" si="174"/>
        <v/>
      </c>
      <c r="GL677" s="1519" t="str">
        <f t="shared" si="175"/>
        <v/>
      </c>
      <c r="GM677" s="1519" t="str">
        <f t="shared" si="176"/>
        <v/>
      </c>
      <c r="GN677" s="1519" t="str">
        <f t="shared" si="177"/>
        <v/>
      </c>
      <c r="GO677" s="1519" t="str">
        <f t="shared" si="178"/>
        <v/>
      </c>
      <c r="GP677" s="1519" t="str">
        <f t="shared" si="179"/>
        <v/>
      </c>
      <c r="GQ677" s="1519" t="str">
        <f t="shared" si="180"/>
        <v/>
      </c>
      <c r="GR677" s="1519" t="str">
        <f t="shared" si="181"/>
        <v/>
      </c>
      <c r="GS677" s="1519" t="str">
        <f t="shared" si="182"/>
        <v/>
      </c>
      <c r="GT677" s="1519" t="str">
        <f t="shared" si="183"/>
        <v/>
      </c>
      <c r="GU677" s="1519" t="str">
        <f t="shared" si="184"/>
        <v/>
      </c>
      <c r="GV677" s="1519" t="str">
        <f t="shared" si="185"/>
        <v/>
      </c>
      <c r="GW677" s="1519" t="str">
        <f t="shared" si="186"/>
        <v/>
      </c>
      <c r="GX677" s="1519" t="str">
        <f t="shared" si="187"/>
        <v/>
      </c>
      <c r="GY677" s="1519" t="str">
        <f t="shared" si="188"/>
        <v/>
      </c>
      <c r="GZ677" s="1519" t="str">
        <f t="shared" si="189"/>
        <v/>
      </c>
      <c r="HA677" s="1519" t="str">
        <f t="shared" si="190"/>
        <v/>
      </c>
      <c r="HB677" s="1519" t="str">
        <f t="shared" si="191"/>
        <v/>
      </c>
      <c r="HC677" s="1519" t="str">
        <f t="shared" si="192"/>
        <v/>
      </c>
      <c r="HD677" s="1519" t="str">
        <f t="shared" si="193"/>
        <v/>
      </c>
      <c r="HE677" s="1519" t="str">
        <f t="shared" si="194"/>
        <v/>
      </c>
      <c r="HF677" s="1519" t="str">
        <f t="shared" si="195"/>
        <v/>
      </c>
      <c r="HG677" s="1519" t="str">
        <f t="shared" si="196"/>
        <v/>
      </c>
      <c r="HH677" s="1519" t="str">
        <f t="shared" si="197"/>
        <v/>
      </c>
      <c r="HI677" s="1519" t="str">
        <f t="shared" si="198"/>
        <v/>
      </c>
      <c r="HJ677" s="1519" t="str">
        <f t="shared" si="199"/>
        <v/>
      </c>
      <c r="HK677" s="1519" t="str">
        <f t="shared" si="200"/>
        <v/>
      </c>
      <c r="HL677" s="1519" t="str">
        <f t="shared" si="201"/>
        <v/>
      </c>
      <c r="HM677" s="1519" t="str">
        <f t="shared" si="202"/>
        <v/>
      </c>
      <c r="HN677" s="1519" t="str">
        <f t="shared" si="203"/>
        <v/>
      </c>
      <c r="HO677" s="1519" t="str">
        <f t="shared" si="204"/>
        <v/>
      </c>
      <c r="HP677" s="1519" t="str">
        <f t="shared" si="205"/>
        <v/>
      </c>
      <c r="HQ677" s="1519" t="str">
        <f t="shared" si="206"/>
        <v/>
      </c>
      <c r="HR677" s="1519" t="str">
        <f t="shared" si="207"/>
        <v/>
      </c>
      <c r="HS677" s="1519" t="str">
        <f t="shared" si="208"/>
        <v/>
      </c>
      <c r="HT677" s="1519" t="str">
        <f t="shared" si="209"/>
        <v/>
      </c>
      <c r="HU677" s="1519" t="str">
        <f t="shared" si="210"/>
        <v/>
      </c>
      <c r="HV677" s="1519">
        <f t="shared" si="211"/>
        <v>3</v>
      </c>
      <c r="HW677" s="1519" t="str">
        <f t="shared" si="212"/>
        <v/>
      </c>
      <c r="HX677" s="1519" t="str">
        <f t="shared" si="213"/>
        <v/>
      </c>
      <c r="HY677" s="1519" t="str">
        <f t="shared" si="214"/>
        <v/>
      </c>
      <c r="HZ677" s="1519" t="str">
        <f t="shared" si="215"/>
        <v/>
      </c>
      <c r="IA677" s="1519" t="str">
        <f t="shared" si="216"/>
        <v/>
      </c>
      <c r="IB677" s="1519" t="str">
        <f t="shared" si="217"/>
        <v/>
      </c>
      <c r="IC677" s="1519" t="str">
        <f t="shared" si="218"/>
        <v/>
      </c>
      <c r="ID677" s="1520" t="str">
        <f t="shared" si="219"/>
        <v/>
      </c>
      <c r="IE677" s="1520" t="str">
        <f t="shared" si="220"/>
        <v/>
      </c>
      <c r="IF677" s="1520" t="str">
        <f t="shared" si="221"/>
        <v/>
      </c>
      <c r="IG677" s="1520" t="str">
        <f t="shared" si="222"/>
        <v/>
      </c>
      <c r="IH677" s="1520" t="str">
        <f t="shared" si="223"/>
        <v/>
      </c>
      <c r="II677" s="1271" t="str">
        <f t="shared" si="224"/>
        <v/>
      </c>
      <c r="IJ677" s="1271" t="str">
        <f t="shared" si="225"/>
        <v/>
      </c>
      <c r="IK677" s="1271" t="str">
        <f t="shared" si="226"/>
        <v/>
      </c>
      <c r="IL677" s="1271" t="str">
        <f t="shared" si="227"/>
        <v/>
      </c>
      <c r="IM677" s="1271" t="str">
        <f t="shared" si="228"/>
        <v/>
      </c>
      <c r="IN677" s="1271" t="str">
        <f t="shared" si="229"/>
        <v/>
      </c>
      <c r="IO677" s="1271" t="str">
        <f t="shared" si="230"/>
        <v/>
      </c>
      <c r="IP677" s="1271" t="str">
        <f t="shared" si="231"/>
        <v/>
      </c>
      <c r="IQ677" s="1271" t="str">
        <f t="shared" si="232"/>
        <v/>
      </c>
      <c r="IR677" s="1271" t="str">
        <f t="shared" si="233"/>
        <v/>
      </c>
      <c r="IS677" s="1271" t="str">
        <f t="shared" si="234"/>
        <v/>
      </c>
      <c r="IT677" s="1271" t="str">
        <f t="shared" si="235"/>
        <v/>
      </c>
      <c r="IU677" s="1271" t="str">
        <f t="shared" si="236"/>
        <v/>
      </c>
      <c r="IV677" s="1271" t="str">
        <f t="shared" si="237"/>
        <v/>
      </c>
      <c r="IW677" s="1271" t="str">
        <f t="shared" si="238"/>
        <v/>
      </c>
      <c r="IX677" s="1271" t="str">
        <f t="shared" si="239"/>
        <v/>
      </c>
      <c r="IY677" s="1271" t="str">
        <f t="shared" si="240"/>
        <v/>
      </c>
      <c r="IZ677" s="1271" t="str">
        <f t="shared" si="241"/>
        <v/>
      </c>
      <c r="JA677" s="1271" t="str">
        <f t="shared" si="242"/>
        <v/>
      </c>
      <c r="JB677" s="1271" t="str">
        <f t="shared" si="243"/>
        <v/>
      </c>
      <c r="JC677" s="1518">
        <f t="shared" si="244"/>
        <v>0</v>
      </c>
      <c r="JD677" s="1518">
        <f t="shared" si="245"/>
        <v>0</v>
      </c>
      <c r="JE677" s="1518">
        <f t="shared" si="246"/>
        <v>0</v>
      </c>
      <c r="JF677" s="1518">
        <f t="shared" si="247"/>
        <v>0</v>
      </c>
      <c r="JG677" s="1518">
        <f t="shared" si="248"/>
        <v>0</v>
      </c>
      <c r="JH677" s="1518">
        <f t="shared" si="249"/>
        <v>0</v>
      </c>
      <c r="JI677" s="1518">
        <f t="shared" si="250"/>
        <v>0</v>
      </c>
      <c r="JJ677" s="1518">
        <f t="shared" si="251"/>
        <v>3</v>
      </c>
      <c r="JK677" s="1518">
        <f t="shared" si="252"/>
        <v>0</v>
      </c>
      <c r="JL677" s="1518">
        <f t="shared" si="253"/>
        <v>0</v>
      </c>
      <c r="JM677" s="1518">
        <f t="shared" si="254"/>
        <v>0</v>
      </c>
      <c r="JN677" s="1518">
        <f t="shared" si="255"/>
        <v>0</v>
      </c>
      <c r="JO677" s="1518">
        <f t="shared" si="256"/>
        <v>0</v>
      </c>
      <c r="JP677" s="1518">
        <f t="shared" si="257"/>
        <v>0</v>
      </c>
      <c r="JQ677" s="1518">
        <f t="shared" si="258"/>
        <v>0</v>
      </c>
    </row>
    <row r="678" spans="1:277" ht="12" customHeight="1">
      <c r="A678" s="1687" t="str">
        <f t="shared" si="1"/>
        <v/>
      </c>
      <c r="B678" s="1702" t="str">
        <f>'Part VI-Revenues &amp; Expenses'!B17</f>
        <v>50% AMI</v>
      </c>
      <c r="C678" s="1703">
        <f>'Part VI-Revenues &amp; Expenses'!C17</f>
        <v>2</v>
      </c>
      <c r="D678" s="1704">
        <f>'Part VI-Revenues &amp; Expenses'!D17</f>
        <v>2</v>
      </c>
      <c r="E678" s="1705">
        <f>'Part VI-Revenues &amp; Expenses'!E17</f>
        <v>2</v>
      </c>
      <c r="F678" s="1705">
        <f>'Part VI-Revenues &amp; Expenses'!F17</f>
        <v>1088</v>
      </c>
      <c r="G678" s="1705">
        <f>'Part VI-Revenues &amp; Expenses'!G17</f>
        <v>760</v>
      </c>
      <c r="H678" s="1705">
        <f>'Part VI-Revenues &amp; Expenses'!H17</f>
        <v>921</v>
      </c>
      <c r="I678" s="1705">
        <f>'Part VI-Revenues &amp; Expenses'!I17</f>
        <v>74</v>
      </c>
      <c r="J678" s="1706" t="str">
        <f>'Part VI-Revenues &amp; Expenses'!J17</f>
        <v>PHA PBRA</v>
      </c>
      <c r="K678" s="1707">
        <f t="shared" si="2"/>
        <v>847</v>
      </c>
      <c r="L678" s="1707">
        <f t="shared" si="3"/>
        <v>1694</v>
      </c>
      <c r="M678" s="1708" t="str">
        <f>'Part VI-Revenues &amp; Expenses'!M17</f>
        <v>No</v>
      </c>
      <c r="N678" s="1708" t="str">
        <f>'Part VI-Revenues &amp; Expenses'!N17</f>
        <v>3+ Story</v>
      </c>
      <c r="O678" s="1708" t="str">
        <f>'Part VI-Revenues &amp; Expenses'!O17</f>
        <v>New Construction</v>
      </c>
      <c r="P678" s="1515" t="str">
        <f>'Part VI-Revenues &amp; Expenses'!P17</f>
        <v>No</v>
      </c>
      <c r="Q678" s="1709">
        <f>'Part VI-Revenues &amp; Expenses'!Q17</f>
        <v>36840</v>
      </c>
      <c r="R678" s="1710">
        <f>'Part VI-Revenues &amp; Expenses'!R17</f>
        <v>0.59931673987310885</v>
      </c>
      <c r="S678" s="1709">
        <f>'Part VI-Revenues &amp; Expenses'!S17</f>
        <v>0</v>
      </c>
      <c r="T678" s="1710">
        <f>'Part VI-Revenues &amp; Expenses'!T17</f>
        <v>0</v>
      </c>
      <c r="U678" s="1629"/>
      <c r="V678" s="1629"/>
      <c r="W678" s="1271" t="str">
        <f t="shared" si="4"/>
        <v/>
      </c>
      <c r="X678" s="1271" t="str">
        <f t="shared" si="5"/>
        <v/>
      </c>
      <c r="Y678" s="1271" t="str">
        <f t="shared" si="6"/>
        <v/>
      </c>
      <c r="Z678" s="1271" t="str">
        <f t="shared" si="7"/>
        <v/>
      </c>
      <c r="AA678" s="1271" t="str">
        <f t="shared" si="8"/>
        <v/>
      </c>
      <c r="AB678" s="1271" t="str">
        <f t="shared" si="9"/>
        <v/>
      </c>
      <c r="AC678" s="1271" t="str">
        <f t="shared" si="10"/>
        <v/>
      </c>
      <c r="AD678" s="1271">
        <f t="shared" si="11"/>
        <v>2</v>
      </c>
      <c r="AE678" s="1271" t="str">
        <f t="shared" si="12"/>
        <v/>
      </c>
      <c r="AF678" s="1271" t="str">
        <f t="shared" si="13"/>
        <v/>
      </c>
      <c r="AG678" s="1271" t="str">
        <f t="shared" si="14"/>
        <v/>
      </c>
      <c r="AH678" s="1271" t="str">
        <f t="shared" si="15"/>
        <v/>
      </c>
      <c r="AI678" s="1271" t="str">
        <f t="shared" si="16"/>
        <v/>
      </c>
      <c r="AJ678" s="1271" t="str">
        <f t="shared" si="17"/>
        <v/>
      </c>
      <c r="AK678" s="1271" t="str">
        <f t="shared" si="18"/>
        <v/>
      </c>
      <c r="AL678" s="1271" t="str">
        <f t="shared" si="19"/>
        <v/>
      </c>
      <c r="AM678" s="1271" t="str">
        <f t="shared" si="20"/>
        <v/>
      </c>
      <c r="AN678" s="1271" t="str">
        <f t="shared" si="21"/>
        <v/>
      </c>
      <c r="AO678" s="1271" t="str">
        <f t="shared" si="22"/>
        <v/>
      </c>
      <c r="AP678" s="1271" t="str">
        <f t="shared" si="23"/>
        <v/>
      </c>
      <c r="AQ678" s="1271" t="str">
        <f t="shared" si="24"/>
        <v/>
      </c>
      <c r="AR678" s="1271" t="str">
        <f t="shared" si="25"/>
        <v/>
      </c>
      <c r="AS678" s="1271" t="str">
        <f t="shared" si="26"/>
        <v/>
      </c>
      <c r="AT678" s="1271" t="str">
        <f t="shared" si="27"/>
        <v/>
      </c>
      <c r="AU678" s="1271" t="str">
        <f t="shared" si="28"/>
        <v/>
      </c>
      <c r="AV678" s="1271" t="str">
        <f t="shared" si="29"/>
        <v/>
      </c>
      <c r="AW678" s="1271" t="str">
        <f t="shared" si="30"/>
        <v/>
      </c>
      <c r="AX678" s="1271">
        <f t="shared" si="31"/>
        <v>2</v>
      </c>
      <c r="AY678" s="1271" t="str">
        <f t="shared" si="32"/>
        <v/>
      </c>
      <c r="AZ678" s="1271" t="str">
        <f t="shared" si="33"/>
        <v/>
      </c>
      <c r="BA678" s="1271" t="str">
        <f t="shared" si="34"/>
        <v/>
      </c>
      <c r="BB678" s="1271" t="str">
        <f t="shared" si="35"/>
        <v/>
      </c>
      <c r="BC678" s="1271" t="str">
        <f t="shared" si="36"/>
        <v/>
      </c>
      <c r="BD678" s="1271" t="str">
        <f t="shared" si="37"/>
        <v/>
      </c>
      <c r="BE678" s="1271" t="str">
        <f t="shared" si="38"/>
        <v/>
      </c>
      <c r="BF678" s="1271" t="str">
        <f t="shared" si="39"/>
        <v/>
      </c>
      <c r="BG678" s="1271" t="str">
        <f t="shared" si="40"/>
        <v/>
      </c>
      <c r="BH678" s="1271" t="str">
        <f t="shared" si="41"/>
        <v/>
      </c>
      <c r="BI678" s="1271" t="str">
        <f t="shared" si="42"/>
        <v/>
      </c>
      <c r="BJ678" s="1271" t="str">
        <f t="shared" si="43"/>
        <v/>
      </c>
      <c r="BK678" s="1271" t="str">
        <f t="shared" si="44"/>
        <v/>
      </c>
      <c r="BL678" s="1271" t="str">
        <f t="shared" si="45"/>
        <v/>
      </c>
      <c r="BM678" s="1271" t="str">
        <f t="shared" si="46"/>
        <v/>
      </c>
      <c r="BN678" s="1271" t="str">
        <f t="shared" si="47"/>
        <v/>
      </c>
      <c r="BO678" s="1271" t="str">
        <f t="shared" si="48"/>
        <v/>
      </c>
      <c r="BP678" s="1271" t="str">
        <f t="shared" si="49"/>
        <v/>
      </c>
      <c r="BQ678" s="1271" t="str">
        <f t="shared" si="50"/>
        <v/>
      </c>
      <c r="BR678" s="1271" t="str">
        <f t="shared" si="51"/>
        <v/>
      </c>
      <c r="BS678" s="1271" t="str">
        <f t="shared" si="52"/>
        <v/>
      </c>
      <c r="BT678" s="1271" t="str">
        <f t="shared" si="53"/>
        <v/>
      </c>
      <c r="BU678" s="1271" t="str">
        <f t="shared" si="54"/>
        <v/>
      </c>
      <c r="BV678" s="1271" t="str">
        <f t="shared" si="55"/>
        <v/>
      </c>
      <c r="BW678" s="1271" t="str">
        <f t="shared" si="56"/>
        <v/>
      </c>
      <c r="BX678" s="1271" t="str">
        <f t="shared" si="57"/>
        <v/>
      </c>
      <c r="BY678" s="1271" t="str">
        <f t="shared" si="58"/>
        <v/>
      </c>
      <c r="BZ678" s="1271" t="str">
        <f t="shared" si="59"/>
        <v/>
      </c>
      <c r="CA678" s="1271" t="str">
        <f t="shared" si="60"/>
        <v/>
      </c>
      <c r="CB678" s="1271" t="str">
        <f t="shared" si="61"/>
        <v/>
      </c>
      <c r="CC678" s="1271" t="str">
        <f t="shared" si="62"/>
        <v/>
      </c>
      <c r="CD678" s="1271" t="str">
        <f t="shared" si="63"/>
        <v/>
      </c>
      <c r="CE678" s="1271" t="str">
        <f t="shared" si="64"/>
        <v/>
      </c>
      <c r="CF678" s="1271" t="str">
        <f t="shared" si="65"/>
        <v/>
      </c>
      <c r="CG678" s="1271">
        <f t="shared" si="66"/>
        <v>2176</v>
      </c>
      <c r="CH678" s="1271" t="str">
        <f t="shared" si="67"/>
        <v/>
      </c>
      <c r="CI678" s="1271" t="str">
        <f t="shared" si="68"/>
        <v/>
      </c>
      <c r="CJ678" s="1271" t="str">
        <f t="shared" si="69"/>
        <v/>
      </c>
      <c r="CK678" s="1271" t="str">
        <f t="shared" si="70"/>
        <v/>
      </c>
      <c r="CL678" s="1271" t="str">
        <f t="shared" si="71"/>
        <v/>
      </c>
      <c r="CM678" s="1271" t="str">
        <f t="shared" si="72"/>
        <v/>
      </c>
      <c r="CN678" s="1271" t="str">
        <f t="shared" si="73"/>
        <v/>
      </c>
      <c r="CO678" s="1271" t="str">
        <f t="shared" si="74"/>
        <v/>
      </c>
      <c r="CP678" s="1271" t="str">
        <f t="shared" si="75"/>
        <v/>
      </c>
      <c r="CQ678" s="1271" t="str">
        <f t="shared" si="76"/>
        <v/>
      </c>
      <c r="CR678" s="1271" t="str">
        <f t="shared" si="77"/>
        <v/>
      </c>
      <c r="CS678" s="1271" t="str">
        <f t="shared" si="78"/>
        <v/>
      </c>
      <c r="CT678" s="1271" t="str">
        <f t="shared" si="79"/>
        <v/>
      </c>
      <c r="CU678" s="1271" t="str">
        <f t="shared" si="80"/>
        <v/>
      </c>
      <c r="CV678" s="1271">
        <f t="shared" si="81"/>
        <v>2176</v>
      </c>
      <c r="CW678" s="1271" t="str">
        <f t="shared" si="82"/>
        <v/>
      </c>
      <c r="CX678" s="1271" t="str">
        <f t="shared" si="83"/>
        <v/>
      </c>
      <c r="CY678" s="1271" t="str">
        <f t="shared" si="84"/>
        <v/>
      </c>
      <c r="CZ678" s="1271" t="str">
        <f t="shared" si="85"/>
        <v/>
      </c>
      <c r="DA678" s="1271" t="str">
        <f t="shared" si="86"/>
        <v/>
      </c>
      <c r="DB678" s="1271" t="str">
        <f t="shared" si="87"/>
        <v/>
      </c>
      <c r="DC678" s="1271" t="str">
        <f t="shared" si="88"/>
        <v/>
      </c>
      <c r="DD678" s="1271" t="str">
        <f t="shared" si="89"/>
        <v/>
      </c>
      <c r="DE678" s="1271" t="str">
        <f t="shared" si="90"/>
        <v/>
      </c>
      <c r="DF678" s="1271">
        <f t="shared" si="91"/>
        <v>2</v>
      </c>
      <c r="DG678" s="1271" t="str">
        <f t="shared" si="92"/>
        <v/>
      </c>
      <c r="DH678" s="1271" t="str">
        <f t="shared" si="93"/>
        <v/>
      </c>
      <c r="DI678" s="1271" t="str">
        <f t="shared" si="94"/>
        <v/>
      </c>
      <c r="DJ678" s="1271" t="str">
        <f t="shared" si="95"/>
        <v/>
      </c>
      <c r="DK678" s="1271" t="str">
        <f t="shared" si="96"/>
        <v/>
      </c>
      <c r="DL678" s="1271" t="str">
        <f t="shared" si="97"/>
        <v/>
      </c>
      <c r="DM678" s="1271" t="str">
        <f t="shared" si="98"/>
        <v/>
      </c>
      <c r="DN678" s="1271" t="str">
        <f t="shared" si="99"/>
        <v/>
      </c>
      <c r="DO678" s="1271" t="str">
        <f t="shared" si="100"/>
        <v/>
      </c>
      <c r="DP678" s="1271" t="str">
        <f t="shared" si="101"/>
        <v/>
      </c>
      <c r="DQ678" s="1271" t="str">
        <f t="shared" si="102"/>
        <v/>
      </c>
      <c r="DR678" s="1271" t="str">
        <f t="shared" si="103"/>
        <v/>
      </c>
      <c r="DS678" s="1271" t="str">
        <f t="shared" si="104"/>
        <v/>
      </c>
      <c r="DT678" s="1271" t="str">
        <f t="shared" si="105"/>
        <v/>
      </c>
      <c r="DU678" s="1271" t="str">
        <f t="shared" si="106"/>
        <v/>
      </c>
      <c r="DV678" s="1271" t="str">
        <f t="shared" si="107"/>
        <v/>
      </c>
      <c r="DW678" s="1271" t="str">
        <f t="shared" si="108"/>
        <v/>
      </c>
      <c r="DX678" s="1271" t="str">
        <f t="shared" si="109"/>
        <v/>
      </c>
      <c r="DY678" s="1271" t="str">
        <f t="shared" si="110"/>
        <v/>
      </c>
      <c r="DZ678" s="1271" t="str">
        <f t="shared" si="111"/>
        <v/>
      </c>
      <c r="EA678" s="1271" t="str">
        <f t="shared" si="112"/>
        <v/>
      </c>
      <c r="EB678" s="1271" t="str">
        <f t="shared" si="113"/>
        <v/>
      </c>
      <c r="EC678" s="1271" t="str">
        <f t="shared" si="114"/>
        <v/>
      </c>
      <c r="ED678" s="1271" t="str">
        <f t="shared" si="115"/>
        <v/>
      </c>
      <c r="EE678" s="1271" t="str">
        <f t="shared" si="116"/>
        <v/>
      </c>
      <c r="EF678" s="1271" t="str">
        <f t="shared" si="117"/>
        <v/>
      </c>
      <c r="EG678" s="1271" t="str">
        <f t="shared" si="118"/>
        <v/>
      </c>
      <c r="EH678" s="1271" t="str">
        <f t="shared" si="119"/>
        <v/>
      </c>
      <c r="EI678" s="1271" t="str">
        <f t="shared" si="120"/>
        <v/>
      </c>
      <c r="EJ678" s="1271" t="str">
        <f t="shared" si="121"/>
        <v/>
      </c>
      <c r="EK678" s="1271" t="str">
        <f t="shared" si="122"/>
        <v/>
      </c>
      <c r="EL678" s="1271" t="str">
        <f t="shared" si="123"/>
        <v/>
      </c>
      <c r="EM678" s="1271" t="str">
        <f t="shared" si="124"/>
        <v/>
      </c>
      <c r="EN678" s="1271" t="str">
        <f t="shared" si="125"/>
        <v/>
      </c>
      <c r="EO678" s="1271" t="str">
        <f t="shared" si="126"/>
        <v/>
      </c>
      <c r="EP678" s="1271" t="str">
        <f t="shared" si="127"/>
        <v/>
      </c>
      <c r="EQ678" s="1271" t="str">
        <f t="shared" si="128"/>
        <v/>
      </c>
      <c r="ER678" s="1271" t="str">
        <f t="shared" si="129"/>
        <v/>
      </c>
      <c r="ES678" s="1271" t="str">
        <f t="shared" si="130"/>
        <v/>
      </c>
      <c r="ET678" s="1271" t="str">
        <f t="shared" si="131"/>
        <v/>
      </c>
      <c r="EU678" s="1271" t="str">
        <f t="shared" si="132"/>
        <v/>
      </c>
      <c r="EV678" s="1271" t="str">
        <f t="shared" si="133"/>
        <v/>
      </c>
      <c r="EW678" s="1519" t="str">
        <f t="shared" si="134"/>
        <v/>
      </c>
      <c r="EX678" s="1519" t="str">
        <f t="shared" si="135"/>
        <v/>
      </c>
      <c r="EY678" s="1519">
        <f t="shared" si="136"/>
        <v>2</v>
      </c>
      <c r="EZ678" s="1519" t="str">
        <f t="shared" si="137"/>
        <v/>
      </c>
      <c r="FA678" s="1519" t="str">
        <f t="shared" si="138"/>
        <v/>
      </c>
      <c r="FB678" s="1519" t="str">
        <f t="shared" si="139"/>
        <v/>
      </c>
      <c r="FC678" s="1519" t="str">
        <f t="shared" si="140"/>
        <v/>
      </c>
      <c r="FD678" s="1519" t="str">
        <f t="shared" si="141"/>
        <v/>
      </c>
      <c r="FE678" s="1519" t="str">
        <f t="shared" si="142"/>
        <v/>
      </c>
      <c r="FF678" s="1519" t="str">
        <f t="shared" si="143"/>
        <v/>
      </c>
      <c r="FG678" s="1519" t="str">
        <f t="shared" si="144"/>
        <v/>
      </c>
      <c r="FH678" s="1519" t="str">
        <f t="shared" si="145"/>
        <v/>
      </c>
      <c r="FI678" s="1519" t="str">
        <f t="shared" si="146"/>
        <v/>
      </c>
      <c r="FJ678" s="1519" t="str">
        <f t="shared" si="147"/>
        <v/>
      </c>
      <c r="FK678" s="1519" t="str">
        <f t="shared" si="148"/>
        <v/>
      </c>
      <c r="FL678" s="1519" t="str">
        <f t="shared" si="149"/>
        <v/>
      </c>
      <c r="FM678" s="1519" t="str">
        <f t="shared" si="150"/>
        <v/>
      </c>
      <c r="FN678" s="1519" t="str">
        <f t="shared" si="151"/>
        <v/>
      </c>
      <c r="FO678" s="1519" t="str">
        <f t="shared" si="152"/>
        <v/>
      </c>
      <c r="FP678" s="1519" t="str">
        <f t="shared" si="153"/>
        <v/>
      </c>
      <c r="FQ678" s="1519" t="str">
        <f t="shared" si="154"/>
        <v/>
      </c>
      <c r="FR678" s="1519" t="str">
        <f t="shared" si="155"/>
        <v/>
      </c>
      <c r="FS678" s="1519" t="str">
        <f t="shared" si="156"/>
        <v/>
      </c>
      <c r="FT678" s="1519" t="str">
        <f t="shared" si="157"/>
        <v/>
      </c>
      <c r="FU678" s="1519" t="str">
        <f t="shared" si="158"/>
        <v/>
      </c>
      <c r="FV678" s="1519" t="str">
        <f t="shared" si="159"/>
        <v/>
      </c>
      <c r="FW678" s="1519" t="str">
        <f t="shared" si="160"/>
        <v/>
      </c>
      <c r="FX678" s="1519" t="str">
        <f t="shared" si="161"/>
        <v/>
      </c>
      <c r="FY678" s="1519" t="str">
        <f t="shared" si="162"/>
        <v/>
      </c>
      <c r="FZ678" s="1519" t="str">
        <f t="shared" si="163"/>
        <v/>
      </c>
      <c r="GA678" s="1519" t="str">
        <f t="shared" si="164"/>
        <v/>
      </c>
      <c r="GB678" s="1519" t="str">
        <f t="shared" si="165"/>
        <v/>
      </c>
      <c r="GC678" s="1519" t="str">
        <f t="shared" si="166"/>
        <v/>
      </c>
      <c r="GD678" s="1519" t="str">
        <f t="shared" si="167"/>
        <v/>
      </c>
      <c r="GE678" s="1519" t="str">
        <f t="shared" si="168"/>
        <v/>
      </c>
      <c r="GF678" s="1519" t="str">
        <f t="shared" si="169"/>
        <v/>
      </c>
      <c r="GG678" s="1519" t="str">
        <f t="shared" si="170"/>
        <v/>
      </c>
      <c r="GH678" s="1519" t="str">
        <f t="shared" si="171"/>
        <v/>
      </c>
      <c r="GI678" s="1519" t="str">
        <f t="shared" si="172"/>
        <v/>
      </c>
      <c r="GJ678" s="1519" t="str">
        <f t="shared" si="173"/>
        <v/>
      </c>
      <c r="GK678" s="1519" t="str">
        <f t="shared" si="174"/>
        <v/>
      </c>
      <c r="GL678" s="1519" t="str">
        <f t="shared" si="175"/>
        <v/>
      </c>
      <c r="GM678" s="1519" t="str">
        <f t="shared" si="176"/>
        <v/>
      </c>
      <c r="GN678" s="1519" t="str">
        <f t="shared" si="177"/>
        <v/>
      </c>
      <c r="GO678" s="1519" t="str">
        <f t="shared" si="178"/>
        <v/>
      </c>
      <c r="GP678" s="1519" t="str">
        <f t="shared" si="179"/>
        <v/>
      </c>
      <c r="GQ678" s="1519" t="str">
        <f t="shared" si="180"/>
        <v/>
      </c>
      <c r="GR678" s="1519" t="str">
        <f t="shared" si="181"/>
        <v/>
      </c>
      <c r="GS678" s="1519" t="str">
        <f t="shared" si="182"/>
        <v/>
      </c>
      <c r="GT678" s="1519" t="str">
        <f t="shared" si="183"/>
        <v/>
      </c>
      <c r="GU678" s="1519" t="str">
        <f t="shared" si="184"/>
        <v/>
      </c>
      <c r="GV678" s="1519" t="str">
        <f t="shared" si="185"/>
        <v/>
      </c>
      <c r="GW678" s="1519" t="str">
        <f t="shared" si="186"/>
        <v/>
      </c>
      <c r="GX678" s="1519" t="str">
        <f t="shared" si="187"/>
        <v/>
      </c>
      <c r="GY678" s="1519" t="str">
        <f t="shared" si="188"/>
        <v/>
      </c>
      <c r="GZ678" s="1519" t="str">
        <f t="shared" si="189"/>
        <v/>
      </c>
      <c r="HA678" s="1519" t="str">
        <f t="shared" si="190"/>
        <v/>
      </c>
      <c r="HB678" s="1519" t="str">
        <f t="shared" si="191"/>
        <v/>
      </c>
      <c r="HC678" s="1519" t="str">
        <f t="shared" si="192"/>
        <v/>
      </c>
      <c r="HD678" s="1519" t="str">
        <f t="shared" si="193"/>
        <v/>
      </c>
      <c r="HE678" s="1519" t="str">
        <f t="shared" si="194"/>
        <v/>
      </c>
      <c r="HF678" s="1519" t="str">
        <f t="shared" si="195"/>
        <v/>
      </c>
      <c r="HG678" s="1519" t="str">
        <f t="shared" si="196"/>
        <v/>
      </c>
      <c r="HH678" s="1519" t="str">
        <f t="shared" si="197"/>
        <v/>
      </c>
      <c r="HI678" s="1519" t="str">
        <f t="shared" si="198"/>
        <v/>
      </c>
      <c r="HJ678" s="1519" t="str">
        <f t="shared" si="199"/>
        <v/>
      </c>
      <c r="HK678" s="1519" t="str">
        <f t="shared" si="200"/>
        <v/>
      </c>
      <c r="HL678" s="1519" t="str">
        <f t="shared" si="201"/>
        <v/>
      </c>
      <c r="HM678" s="1519" t="str">
        <f t="shared" si="202"/>
        <v/>
      </c>
      <c r="HN678" s="1519" t="str">
        <f t="shared" si="203"/>
        <v/>
      </c>
      <c r="HO678" s="1519" t="str">
        <f t="shared" si="204"/>
        <v/>
      </c>
      <c r="HP678" s="1519" t="str">
        <f t="shared" si="205"/>
        <v/>
      </c>
      <c r="HQ678" s="1519" t="str">
        <f t="shared" si="206"/>
        <v/>
      </c>
      <c r="HR678" s="1519" t="str">
        <f t="shared" si="207"/>
        <v/>
      </c>
      <c r="HS678" s="1519" t="str">
        <f t="shared" si="208"/>
        <v/>
      </c>
      <c r="HT678" s="1519" t="str">
        <f t="shared" si="209"/>
        <v/>
      </c>
      <c r="HU678" s="1519" t="str">
        <f t="shared" si="210"/>
        <v/>
      </c>
      <c r="HV678" s="1519">
        <f t="shared" si="211"/>
        <v>2</v>
      </c>
      <c r="HW678" s="1519" t="str">
        <f t="shared" si="212"/>
        <v/>
      </c>
      <c r="HX678" s="1519" t="str">
        <f t="shared" si="213"/>
        <v/>
      </c>
      <c r="HY678" s="1519" t="str">
        <f t="shared" si="214"/>
        <v/>
      </c>
      <c r="HZ678" s="1519" t="str">
        <f t="shared" si="215"/>
        <v/>
      </c>
      <c r="IA678" s="1519" t="str">
        <f t="shared" si="216"/>
        <v/>
      </c>
      <c r="IB678" s="1519" t="str">
        <f t="shared" si="217"/>
        <v/>
      </c>
      <c r="IC678" s="1519" t="str">
        <f t="shared" si="218"/>
        <v/>
      </c>
      <c r="ID678" s="1520" t="str">
        <f t="shared" si="219"/>
        <v/>
      </c>
      <c r="IE678" s="1520" t="str">
        <f t="shared" si="220"/>
        <v/>
      </c>
      <c r="IF678" s="1520" t="str">
        <f t="shared" si="221"/>
        <v/>
      </c>
      <c r="IG678" s="1520" t="str">
        <f t="shared" si="222"/>
        <v/>
      </c>
      <c r="IH678" s="1520" t="str">
        <f t="shared" si="223"/>
        <v/>
      </c>
      <c r="II678" s="1271" t="str">
        <f t="shared" si="224"/>
        <v/>
      </c>
      <c r="IJ678" s="1271" t="str">
        <f t="shared" si="225"/>
        <v/>
      </c>
      <c r="IK678" s="1271" t="str">
        <f t="shared" si="226"/>
        <v/>
      </c>
      <c r="IL678" s="1271" t="str">
        <f t="shared" si="227"/>
        <v/>
      </c>
      <c r="IM678" s="1271" t="str">
        <f t="shared" si="228"/>
        <v/>
      </c>
      <c r="IN678" s="1271" t="str">
        <f t="shared" si="229"/>
        <v/>
      </c>
      <c r="IO678" s="1271" t="str">
        <f t="shared" si="230"/>
        <v/>
      </c>
      <c r="IP678" s="1271" t="str">
        <f t="shared" si="231"/>
        <v/>
      </c>
      <c r="IQ678" s="1271" t="str">
        <f t="shared" si="232"/>
        <v/>
      </c>
      <c r="IR678" s="1271" t="str">
        <f t="shared" si="233"/>
        <v/>
      </c>
      <c r="IS678" s="1271" t="str">
        <f t="shared" si="234"/>
        <v/>
      </c>
      <c r="IT678" s="1271" t="str">
        <f t="shared" si="235"/>
        <v/>
      </c>
      <c r="IU678" s="1271" t="str">
        <f t="shared" si="236"/>
        <v/>
      </c>
      <c r="IV678" s="1271" t="str">
        <f t="shared" si="237"/>
        <v/>
      </c>
      <c r="IW678" s="1271" t="str">
        <f t="shared" si="238"/>
        <v/>
      </c>
      <c r="IX678" s="1271" t="str">
        <f t="shared" si="239"/>
        <v/>
      </c>
      <c r="IY678" s="1271" t="str">
        <f t="shared" si="240"/>
        <v/>
      </c>
      <c r="IZ678" s="1271" t="str">
        <f t="shared" si="241"/>
        <v/>
      </c>
      <c r="JA678" s="1271" t="str">
        <f t="shared" si="242"/>
        <v/>
      </c>
      <c r="JB678" s="1271" t="str">
        <f t="shared" si="243"/>
        <v/>
      </c>
      <c r="JC678" s="1518">
        <f t="shared" si="244"/>
        <v>0</v>
      </c>
      <c r="JD678" s="1518">
        <f t="shared" si="245"/>
        <v>0</v>
      </c>
      <c r="JE678" s="1518">
        <f t="shared" si="246"/>
        <v>0</v>
      </c>
      <c r="JF678" s="1518">
        <f t="shared" si="247"/>
        <v>0</v>
      </c>
      <c r="JG678" s="1518">
        <f t="shared" si="248"/>
        <v>0</v>
      </c>
      <c r="JH678" s="1518">
        <f t="shared" si="249"/>
        <v>0</v>
      </c>
      <c r="JI678" s="1518">
        <f t="shared" si="250"/>
        <v>0</v>
      </c>
      <c r="JJ678" s="1518">
        <f t="shared" si="251"/>
        <v>2</v>
      </c>
      <c r="JK678" s="1518">
        <f t="shared" si="252"/>
        <v>0</v>
      </c>
      <c r="JL678" s="1518">
        <f t="shared" si="253"/>
        <v>0</v>
      </c>
      <c r="JM678" s="1518">
        <f t="shared" si="254"/>
        <v>0</v>
      </c>
      <c r="JN678" s="1518">
        <f t="shared" si="255"/>
        <v>0</v>
      </c>
      <c r="JO678" s="1518">
        <f t="shared" si="256"/>
        <v>0</v>
      </c>
      <c r="JP678" s="1518">
        <f t="shared" si="257"/>
        <v>0</v>
      </c>
      <c r="JQ678" s="1518">
        <f t="shared" si="258"/>
        <v>0</v>
      </c>
    </row>
    <row r="679" spans="1:277" ht="12" customHeight="1">
      <c r="A679" s="1687" t="str">
        <f t="shared" si="1"/>
        <v/>
      </c>
      <c r="B679" s="1702" t="str">
        <f>'Part VI-Revenues &amp; Expenses'!B18</f>
        <v>&lt;&lt;Select&gt;&gt;</v>
      </c>
      <c r="C679" s="1703">
        <f>'Part VI-Revenues &amp; Expenses'!C18</f>
        <v>0</v>
      </c>
      <c r="D679" s="1704">
        <f>'Part VI-Revenues &amp; Expenses'!D18</f>
        <v>0</v>
      </c>
      <c r="E679" s="1705">
        <f>'Part VI-Revenues &amp; Expenses'!E18</f>
        <v>0</v>
      </c>
      <c r="F679" s="1705">
        <f>'Part VI-Revenues &amp; Expenses'!F18</f>
        <v>0</v>
      </c>
      <c r="G679" s="1705">
        <f>'Part VI-Revenues &amp; Expenses'!G18</f>
        <v>0</v>
      </c>
      <c r="H679" s="1705">
        <f>'Part VI-Revenues &amp; Expenses'!H18</f>
        <v>0</v>
      </c>
      <c r="I679" s="1705">
        <f>'Part VI-Revenues &amp; Expenses'!I18</f>
        <v>0</v>
      </c>
      <c r="J679" s="1706">
        <f>'Part VI-Revenues &amp; Expenses'!J18</f>
        <v>0</v>
      </c>
      <c r="K679" s="1707">
        <f t="shared" si="2"/>
        <v>0</v>
      </c>
      <c r="L679" s="1707">
        <f t="shared" si="3"/>
        <v>0</v>
      </c>
      <c r="M679" s="1708">
        <f>'Part VI-Revenues &amp; Expenses'!M18</f>
        <v>0</v>
      </c>
      <c r="N679" s="1708">
        <f>'Part VI-Revenues &amp; Expenses'!N18</f>
        <v>0</v>
      </c>
      <c r="O679" s="1708">
        <f>'Part VI-Revenues &amp; Expenses'!O18</f>
        <v>0</v>
      </c>
      <c r="P679" s="1515">
        <f>'Part VI-Revenues &amp; Expenses'!P18</f>
        <v>0</v>
      </c>
      <c r="Q679" s="1709" t="str">
        <f>'Part VI-Revenues &amp; Expenses'!Q18</f>
        <v/>
      </c>
      <c r="R679" s="1710" t="str">
        <f>'Part VI-Revenues &amp; Expenses'!R18</f>
        <v/>
      </c>
      <c r="S679" s="1709">
        <f>'Part VI-Revenues &amp; Expenses'!S18</f>
        <v>0</v>
      </c>
      <c r="T679" s="1710">
        <f>'Part VI-Revenues &amp; Expenses'!T18</f>
        <v>0</v>
      </c>
      <c r="U679" s="1629"/>
      <c r="V679" s="1629"/>
      <c r="W679" s="1271" t="str">
        <f t="shared" si="4"/>
        <v/>
      </c>
      <c r="X679" s="1271" t="str">
        <f t="shared" si="5"/>
        <v/>
      </c>
      <c r="Y679" s="1271" t="str">
        <f t="shared" si="6"/>
        <v/>
      </c>
      <c r="Z679" s="1271" t="str">
        <f t="shared" si="7"/>
        <v/>
      </c>
      <c r="AA679" s="1271" t="str">
        <f t="shared" si="8"/>
        <v/>
      </c>
      <c r="AB679" s="1271" t="str">
        <f t="shared" si="9"/>
        <v/>
      </c>
      <c r="AC679" s="1271" t="str">
        <f t="shared" si="10"/>
        <v/>
      </c>
      <c r="AD679" s="1271" t="str">
        <f t="shared" si="11"/>
        <v/>
      </c>
      <c r="AE679" s="1271" t="str">
        <f t="shared" si="12"/>
        <v/>
      </c>
      <c r="AF679" s="1271" t="str">
        <f t="shared" si="13"/>
        <v/>
      </c>
      <c r="AG679" s="1271" t="str">
        <f t="shared" si="14"/>
        <v/>
      </c>
      <c r="AH679" s="1271" t="str">
        <f t="shared" si="15"/>
        <v/>
      </c>
      <c r="AI679" s="1271" t="str">
        <f t="shared" si="16"/>
        <v/>
      </c>
      <c r="AJ679" s="1271" t="str">
        <f t="shared" si="17"/>
        <v/>
      </c>
      <c r="AK679" s="1271" t="str">
        <f t="shared" si="18"/>
        <v/>
      </c>
      <c r="AL679" s="1271" t="str">
        <f t="shared" si="19"/>
        <v/>
      </c>
      <c r="AM679" s="1271" t="str">
        <f t="shared" si="20"/>
        <v/>
      </c>
      <c r="AN679" s="1271" t="str">
        <f t="shared" si="21"/>
        <v/>
      </c>
      <c r="AO679" s="1271" t="str">
        <f t="shared" si="22"/>
        <v/>
      </c>
      <c r="AP679" s="1271" t="str">
        <f t="shared" si="23"/>
        <v/>
      </c>
      <c r="AQ679" s="1271" t="str">
        <f t="shared" si="24"/>
        <v/>
      </c>
      <c r="AR679" s="1271" t="str">
        <f t="shared" si="25"/>
        <v/>
      </c>
      <c r="AS679" s="1271" t="str">
        <f t="shared" si="26"/>
        <v/>
      </c>
      <c r="AT679" s="1271" t="str">
        <f t="shared" si="27"/>
        <v/>
      </c>
      <c r="AU679" s="1271" t="str">
        <f t="shared" si="28"/>
        <v/>
      </c>
      <c r="AV679" s="1271" t="str">
        <f t="shared" si="29"/>
        <v/>
      </c>
      <c r="AW679" s="1271" t="str">
        <f t="shared" si="30"/>
        <v/>
      </c>
      <c r="AX679" s="1271" t="str">
        <f t="shared" si="31"/>
        <v/>
      </c>
      <c r="AY679" s="1271" t="str">
        <f t="shared" si="32"/>
        <v/>
      </c>
      <c r="AZ679" s="1271" t="str">
        <f t="shared" si="33"/>
        <v/>
      </c>
      <c r="BA679" s="1271" t="str">
        <f t="shared" si="34"/>
        <v/>
      </c>
      <c r="BB679" s="1271" t="str">
        <f t="shared" si="35"/>
        <v/>
      </c>
      <c r="BC679" s="1271" t="str">
        <f t="shared" si="36"/>
        <v/>
      </c>
      <c r="BD679" s="1271" t="str">
        <f t="shared" si="37"/>
        <v/>
      </c>
      <c r="BE679" s="1271" t="str">
        <f t="shared" si="38"/>
        <v/>
      </c>
      <c r="BF679" s="1271" t="str">
        <f t="shared" si="39"/>
        <v/>
      </c>
      <c r="BG679" s="1271" t="str">
        <f t="shared" si="40"/>
        <v/>
      </c>
      <c r="BH679" s="1271" t="str">
        <f t="shared" si="41"/>
        <v/>
      </c>
      <c r="BI679" s="1271" t="str">
        <f t="shared" si="42"/>
        <v/>
      </c>
      <c r="BJ679" s="1271" t="str">
        <f t="shared" si="43"/>
        <v/>
      </c>
      <c r="BK679" s="1271" t="str">
        <f t="shared" si="44"/>
        <v/>
      </c>
      <c r="BL679" s="1271" t="str">
        <f t="shared" si="45"/>
        <v/>
      </c>
      <c r="BM679" s="1271" t="str">
        <f t="shared" si="46"/>
        <v/>
      </c>
      <c r="BN679" s="1271" t="str">
        <f t="shared" si="47"/>
        <v/>
      </c>
      <c r="BO679" s="1271" t="str">
        <f t="shared" si="48"/>
        <v/>
      </c>
      <c r="BP679" s="1271" t="str">
        <f t="shared" si="49"/>
        <v/>
      </c>
      <c r="BQ679" s="1271" t="str">
        <f t="shared" si="50"/>
        <v/>
      </c>
      <c r="BR679" s="1271" t="str">
        <f t="shared" si="51"/>
        <v/>
      </c>
      <c r="BS679" s="1271" t="str">
        <f t="shared" si="52"/>
        <v/>
      </c>
      <c r="BT679" s="1271" t="str">
        <f t="shared" si="53"/>
        <v/>
      </c>
      <c r="BU679" s="1271" t="str">
        <f t="shared" si="54"/>
        <v/>
      </c>
      <c r="BV679" s="1271" t="str">
        <f t="shared" si="55"/>
        <v/>
      </c>
      <c r="BW679" s="1271" t="str">
        <f t="shared" si="56"/>
        <v/>
      </c>
      <c r="BX679" s="1271" t="str">
        <f t="shared" si="57"/>
        <v/>
      </c>
      <c r="BY679" s="1271" t="str">
        <f t="shared" si="58"/>
        <v/>
      </c>
      <c r="BZ679" s="1271" t="str">
        <f t="shared" si="59"/>
        <v/>
      </c>
      <c r="CA679" s="1271" t="str">
        <f t="shared" si="60"/>
        <v/>
      </c>
      <c r="CB679" s="1271" t="str">
        <f t="shared" si="61"/>
        <v/>
      </c>
      <c r="CC679" s="1271" t="str">
        <f t="shared" si="62"/>
        <v/>
      </c>
      <c r="CD679" s="1271" t="str">
        <f t="shared" si="63"/>
        <v/>
      </c>
      <c r="CE679" s="1271" t="str">
        <f t="shared" si="64"/>
        <v/>
      </c>
      <c r="CF679" s="1271" t="str">
        <f t="shared" si="65"/>
        <v/>
      </c>
      <c r="CG679" s="1271" t="str">
        <f t="shared" si="66"/>
        <v/>
      </c>
      <c r="CH679" s="1271" t="str">
        <f t="shared" si="67"/>
        <v/>
      </c>
      <c r="CI679" s="1271" t="str">
        <f t="shared" si="68"/>
        <v/>
      </c>
      <c r="CJ679" s="1271" t="str">
        <f t="shared" si="69"/>
        <v/>
      </c>
      <c r="CK679" s="1271" t="str">
        <f t="shared" si="70"/>
        <v/>
      </c>
      <c r="CL679" s="1271" t="str">
        <f t="shared" si="71"/>
        <v/>
      </c>
      <c r="CM679" s="1271" t="str">
        <f t="shared" si="72"/>
        <v/>
      </c>
      <c r="CN679" s="1271" t="str">
        <f t="shared" si="73"/>
        <v/>
      </c>
      <c r="CO679" s="1271" t="str">
        <f t="shared" si="74"/>
        <v/>
      </c>
      <c r="CP679" s="1271" t="str">
        <f t="shared" si="75"/>
        <v/>
      </c>
      <c r="CQ679" s="1271" t="str">
        <f t="shared" si="76"/>
        <v/>
      </c>
      <c r="CR679" s="1271" t="str">
        <f t="shared" si="77"/>
        <v/>
      </c>
      <c r="CS679" s="1271" t="str">
        <f t="shared" si="78"/>
        <v/>
      </c>
      <c r="CT679" s="1271" t="str">
        <f t="shared" si="79"/>
        <v/>
      </c>
      <c r="CU679" s="1271" t="str">
        <f t="shared" si="80"/>
        <v/>
      </c>
      <c r="CV679" s="1271" t="str">
        <f t="shared" si="81"/>
        <v/>
      </c>
      <c r="CW679" s="1271" t="str">
        <f t="shared" si="82"/>
        <v/>
      </c>
      <c r="CX679" s="1271" t="str">
        <f t="shared" si="83"/>
        <v/>
      </c>
      <c r="CY679" s="1271" t="str">
        <f t="shared" si="84"/>
        <v/>
      </c>
      <c r="CZ679" s="1271" t="str">
        <f t="shared" si="85"/>
        <v/>
      </c>
      <c r="DA679" s="1271" t="str">
        <f t="shared" si="86"/>
        <v/>
      </c>
      <c r="DB679" s="1271" t="str">
        <f t="shared" si="87"/>
        <v/>
      </c>
      <c r="DC679" s="1271" t="str">
        <f t="shared" si="88"/>
        <v/>
      </c>
      <c r="DD679" s="1271" t="str">
        <f t="shared" si="89"/>
        <v/>
      </c>
      <c r="DE679" s="1271" t="str">
        <f t="shared" si="90"/>
        <v/>
      </c>
      <c r="DF679" s="1271" t="str">
        <f t="shared" si="91"/>
        <v/>
      </c>
      <c r="DG679" s="1271" t="str">
        <f t="shared" si="92"/>
        <v/>
      </c>
      <c r="DH679" s="1271" t="str">
        <f t="shared" si="93"/>
        <v/>
      </c>
      <c r="DI679" s="1271" t="str">
        <f t="shared" si="94"/>
        <v/>
      </c>
      <c r="DJ679" s="1271" t="str">
        <f t="shared" si="95"/>
        <v/>
      </c>
      <c r="DK679" s="1271" t="str">
        <f t="shared" si="96"/>
        <v/>
      </c>
      <c r="DL679" s="1271" t="str">
        <f t="shared" si="97"/>
        <v/>
      </c>
      <c r="DM679" s="1271" t="str">
        <f t="shared" si="98"/>
        <v/>
      </c>
      <c r="DN679" s="1271" t="str">
        <f t="shared" si="99"/>
        <v/>
      </c>
      <c r="DO679" s="1271" t="str">
        <f t="shared" si="100"/>
        <v/>
      </c>
      <c r="DP679" s="1271" t="str">
        <f t="shared" si="101"/>
        <v/>
      </c>
      <c r="DQ679" s="1271" t="str">
        <f t="shared" si="102"/>
        <v/>
      </c>
      <c r="DR679" s="1271" t="str">
        <f t="shared" si="103"/>
        <v/>
      </c>
      <c r="DS679" s="1271" t="str">
        <f t="shared" si="104"/>
        <v/>
      </c>
      <c r="DT679" s="1271" t="str">
        <f t="shared" si="105"/>
        <v/>
      </c>
      <c r="DU679" s="1271" t="str">
        <f t="shared" si="106"/>
        <v/>
      </c>
      <c r="DV679" s="1271" t="str">
        <f t="shared" si="107"/>
        <v/>
      </c>
      <c r="DW679" s="1271" t="str">
        <f t="shared" si="108"/>
        <v/>
      </c>
      <c r="DX679" s="1271" t="str">
        <f t="shared" si="109"/>
        <v/>
      </c>
      <c r="DY679" s="1271" t="str">
        <f t="shared" si="110"/>
        <v/>
      </c>
      <c r="DZ679" s="1271" t="str">
        <f t="shared" si="111"/>
        <v/>
      </c>
      <c r="EA679" s="1271" t="str">
        <f t="shared" si="112"/>
        <v/>
      </c>
      <c r="EB679" s="1271" t="str">
        <f t="shared" si="113"/>
        <v/>
      </c>
      <c r="EC679" s="1271" t="str">
        <f t="shared" si="114"/>
        <v/>
      </c>
      <c r="ED679" s="1271" t="str">
        <f t="shared" si="115"/>
        <v/>
      </c>
      <c r="EE679" s="1271" t="str">
        <f t="shared" si="116"/>
        <v/>
      </c>
      <c r="EF679" s="1271" t="str">
        <f t="shared" si="117"/>
        <v/>
      </c>
      <c r="EG679" s="1271" t="str">
        <f t="shared" si="118"/>
        <v/>
      </c>
      <c r="EH679" s="1271" t="str">
        <f t="shared" si="119"/>
        <v/>
      </c>
      <c r="EI679" s="1271" t="str">
        <f t="shared" si="120"/>
        <v/>
      </c>
      <c r="EJ679" s="1271" t="str">
        <f t="shared" si="121"/>
        <v/>
      </c>
      <c r="EK679" s="1271" t="str">
        <f t="shared" si="122"/>
        <v/>
      </c>
      <c r="EL679" s="1271" t="str">
        <f t="shared" si="123"/>
        <v/>
      </c>
      <c r="EM679" s="1271" t="str">
        <f t="shared" si="124"/>
        <v/>
      </c>
      <c r="EN679" s="1271" t="str">
        <f t="shared" si="125"/>
        <v/>
      </c>
      <c r="EO679" s="1271" t="str">
        <f t="shared" si="126"/>
        <v/>
      </c>
      <c r="EP679" s="1271" t="str">
        <f t="shared" si="127"/>
        <v/>
      </c>
      <c r="EQ679" s="1271" t="str">
        <f t="shared" si="128"/>
        <v/>
      </c>
      <c r="ER679" s="1271" t="str">
        <f t="shared" si="129"/>
        <v/>
      </c>
      <c r="ES679" s="1271" t="str">
        <f t="shared" si="130"/>
        <v/>
      </c>
      <c r="ET679" s="1271" t="str">
        <f t="shared" si="131"/>
        <v/>
      </c>
      <c r="EU679" s="1271" t="str">
        <f t="shared" si="132"/>
        <v/>
      </c>
      <c r="EV679" s="1271" t="str">
        <f t="shared" si="133"/>
        <v/>
      </c>
      <c r="EW679" s="1519" t="str">
        <f t="shared" si="134"/>
        <v/>
      </c>
      <c r="EX679" s="1519" t="str">
        <f t="shared" si="135"/>
        <v/>
      </c>
      <c r="EY679" s="1519" t="str">
        <f t="shared" si="136"/>
        <v/>
      </c>
      <c r="EZ679" s="1519" t="str">
        <f t="shared" si="137"/>
        <v/>
      </c>
      <c r="FA679" s="1519" t="str">
        <f t="shared" si="138"/>
        <v/>
      </c>
      <c r="FB679" s="1519" t="str">
        <f t="shared" si="139"/>
        <v/>
      </c>
      <c r="FC679" s="1519" t="str">
        <f t="shared" si="140"/>
        <v/>
      </c>
      <c r="FD679" s="1519" t="str">
        <f t="shared" si="141"/>
        <v/>
      </c>
      <c r="FE679" s="1519" t="str">
        <f t="shared" si="142"/>
        <v/>
      </c>
      <c r="FF679" s="1519" t="str">
        <f t="shared" si="143"/>
        <v/>
      </c>
      <c r="FG679" s="1519" t="str">
        <f t="shared" si="144"/>
        <v/>
      </c>
      <c r="FH679" s="1519" t="str">
        <f t="shared" si="145"/>
        <v/>
      </c>
      <c r="FI679" s="1519" t="str">
        <f t="shared" si="146"/>
        <v/>
      </c>
      <c r="FJ679" s="1519" t="str">
        <f t="shared" si="147"/>
        <v/>
      </c>
      <c r="FK679" s="1519" t="str">
        <f t="shared" si="148"/>
        <v/>
      </c>
      <c r="FL679" s="1519" t="str">
        <f t="shared" si="149"/>
        <v/>
      </c>
      <c r="FM679" s="1519" t="str">
        <f t="shared" si="150"/>
        <v/>
      </c>
      <c r="FN679" s="1519" t="str">
        <f t="shared" si="151"/>
        <v/>
      </c>
      <c r="FO679" s="1519" t="str">
        <f t="shared" si="152"/>
        <v/>
      </c>
      <c r="FP679" s="1519" t="str">
        <f t="shared" si="153"/>
        <v/>
      </c>
      <c r="FQ679" s="1519" t="str">
        <f t="shared" si="154"/>
        <v/>
      </c>
      <c r="FR679" s="1519" t="str">
        <f t="shared" si="155"/>
        <v/>
      </c>
      <c r="FS679" s="1519" t="str">
        <f t="shared" si="156"/>
        <v/>
      </c>
      <c r="FT679" s="1519" t="str">
        <f t="shared" si="157"/>
        <v/>
      </c>
      <c r="FU679" s="1519" t="str">
        <f t="shared" si="158"/>
        <v/>
      </c>
      <c r="FV679" s="1519" t="str">
        <f t="shared" si="159"/>
        <v/>
      </c>
      <c r="FW679" s="1519" t="str">
        <f t="shared" si="160"/>
        <v/>
      </c>
      <c r="FX679" s="1519" t="str">
        <f t="shared" si="161"/>
        <v/>
      </c>
      <c r="FY679" s="1519" t="str">
        <f t="shared" si="162"/>
        <v/>
      </c>
      <c r="FZ679" s="1519" t="str">
        <f t="shared" si="163"/>
        <v/>
      </c>
      <c r="GA679" s="1519" t="str">
        <f t="shared" si="164"/>
        <v/>
      </c>
      <c r="GB679" s="1519" t="str">
        <f t="shared" si="165"/>
        <v/>
      </c>
      <c r="GC679" s="1519" t="str">
        <f t="shared" si="166"/>
        <v/>
      </c>
      <c r="GD679" s="1519" t="str">
        <f t="shared" si="167"/>
        <v/>
      </c>
      <c r="GE679" s="1519" t="str">
        <f t="shared" si="168"/>
        <v/>
      </c>
      <c r="GF679" s="1519" t="str">
        <f t="shared" si="169"/>
        <v/>
      </c>
      <c r="GG679" s="1519" t="str">
        <f t="shared" si="170"/>
        <v/>
      </c>
      <c r="GH679" s="1519" t="str">
        <f t="shared" si="171"/>
        <v/>
      </c>
      <c r="GI679" s="1519" t="str">
        <f t="shared" si="172"/>
        <v/>
      </c>
      <c r="GJ679" s="1519" t="str">
        <f t="shared" si="173"/>
        <v/>
      </c>
      <c r="GK679" s="1519" t="str">
        <f t="shared" si="174"/>
        <v/>
      </c>
      <c r="GL679" s="1519" t="str">
        <f t="shared" si="175"/>
        <v/>
      </c>
      <c r="GM679" s="1519" t="str">
        <f t="shared" si="176"/>
        <v/>
      </c>
      <c r="GN679" s="1519" t="str">
        <f t="shared" si="177"/>
        <v/>
      </c>
      <c r="GO679" s="1519" t="str">
        <f t="shared" si="178"/>
        <v/>
      </c>
      <c r="GP679" s="1519" t="str">
        <f t="shared" si="179"/>
        <v/>
      </c>
      <c r="GQ679" s="1519" t="str">
        <f t="shared" si="180"/>
        <v/>
      </c>
      <c r="GR679" s="1519" t="str">
        <f t="shared" si="181"/>
        <v/>
      </c>
      <c r="GS679" s="1519" t="str">
        <f t="shared" si="182"/>
        <v/>
      </c>
      <c r="GT679" s="1519" t="str">
        <f t="shared" si="183"/>
        <v/>
      </c>
      <c r="GU679" s="1519" t="str">
        <f t="shared" si="184"/>
        <v/>
      </c>
      <c r="GV679" s="1519" t="str">
        <f t="shared" si="185"/>
        <v/>
      </c>
      <c r="GW679" s="1519" t="str">
        <f t="shared" si="186"/>
        <v/>
      </c>
      <c r="GX679" s="1519" t="str">
        <f t="shared" si="187"/>
        <v/>
      </c>
      <c r="GY679" s="1519" t="str">
        <f t="shared" si="188"/>
        <v/>
      </c>
      <c r="GZ679" s="1519" t="str">
        <f t="shared" si="189"/>
        <v/>
      </c>
      <c r="HA679" s="1519" t="str">
        <f t="shared" si="190"/>
        <v/>
      </c>
      <c r="HB679" s="1519" t="str">
        <f t="shared" si="191"/>
        <v/>
      </c>
      <c r="HC679" s="1519" t="str">
        <f t="shared" si="192"/>
        <v/>
      </c>
      <c r="HD679" s="1519" t="str">
        <f t="shared" si="193"/>
        <v/>
      </c>
      <c r="HE679" s="1519" t="str">
        <f t="shared" si="194"/>
        <v/>
      </c>
      <c r="HF679" s="1519" t="str">
        <f t="shared" si="195"/>
        <v/>
      </c>
      <c r="HG679" s="1519" t="str">
        <f t="shared" si="196"/>
        <v/>
      </c>
      <c r="HH679" s="1519" t="str">
        <f t="shared" si="197"/>
        <v/>
      </c>
      <c r="HI679" s="1519" t="str">
        <f t="shared" si="198"/>
        <v/>
      </c>
      <c r="HJ679" s="1519" t="str">
        <f t="shared" si="199"/>
        <v/>
      </c>
      <c r="HK679" s="1519" t="str">
        <f t="shared" si="200"/>
        <v/>
      </c>
      <c r="HL679" s="1519" t="str">
        <f t="shared" si="201"/>
        <v/>
      </c>
      <c r="HM679" s="1519" t="str">
        <f t="shared" si="202"/>
        <v/>
      </c>
      <c r="HN679" s="1519" t="str">
        <f t="shared" si="203"/>
        <v/>
      </c>
      <c r="HO679" s="1519" t="str">
        <f t="shared" si="204"/>
        <v/>
      </c>
      <c r="HP679" s="1519" t="str">
        <f t="shared" si="205"/>
        <v/>
      </c>
      <c r="HQ679" s="1519" t="str">
        <f t="shared" si="206"/>
        <v/>
      </c>
      <c r="HR679" s="1519" t="str">
        <f t="shared" si="207"/>
        <v/>
      </c>
      <c r="HS679" s="1519" t="str">
        <f t="shared" si="208"/>
        <v/>
      </c>
      <c r="HT679" s="1519" t="str">
        <f t="shared" si="209"/>
        <v/>
      </c>
      <c r="HU679" s="1519" t="str">
        <f t="shared" si="210"/>
        <v/>
      </c>
      <c r="HV679" s="1519" t="str">
        <f t="shared" si="211"/>
        <v/>
      </c>
      <c r="HW679" s="1519" t="str">
        <f t="shared" si="212"/>
        <v/>
      </c>
      <c r="HX679" s="1519" t="str">
        <f t="shared" si="213"/>
        <v/>
      </c>
      <c r="HY679" s="1519" t="str">
        <f t="shared" si="214"/>
        <v/>
      </c>
      <c r="HZ679" s="1519" t="str">
        <f t="shared" si="215"/>
        <v/>
      </c>
      <c r="IA679" s="1519" t="str">
        <f t="shared" si="216"/>
        <v/>
      </c>
      <c r="IB679" s="1519" t="str">
        <f t="shared" si="217"/>
        <v/>
      </c>
      <c r="IC679" s="1519" t="str">
        <f t="shared" si="218"/>
        <v/>
      </c>
      <c r="ID679" s="1520" t="str">
        <f t="shared" si="219"/>
        <v/>
      </c>
      <c r="IE679" s="1520" t="str">
        <f t="shared" si="220"/>
        <v/>
      </c>
      <c r="IF679" s="1520" t="str">
        <f t="shared" si="221"/>
        <v/>
      </c>
      <c r="IG679" s="1520" t="str">
        <f t="shared" si="222"/>
        <v/>
      </c>
      <c r="IH679" s="1520" t="str">
        <f t="shared" si="223"/>
        <v/>
      </c>
      <c r="II679" s="1271" t="str">
        <f t="shared" si="224"/>
        <v/>
      </c>
      <c r="IJ679" s="1271" t="str">
        <f t="shared" si="225"/>
        <v/>
      </c>
      <c r="IK679" s="1271" t="str">
        <f t="shared" si="226"/>
        <v/>
      </c>
      <c r="IL679" s="1271" t="str">
        <f t="shared" si="227"/>
        <v/>
      </c>
      <c r="IM679" s="1271" t="str">
        <f t="shared" si="228"/>
        <v/>
      </c>
      <c r="IN679" s="1271" t="str">
        <f t="shared" si="229"/>
        <v/>
      </c>
      <c r="IO679" s="1271" t="str">
        <f t="shared" si="230"/>
        <v/>
      </c>
      <c r="IP679" s="1271" t="str">
        <f t="shared" si="231"/>
        <v/>
      </c>
      <c r="IQ679" s="1271" t="str">
        <f t="shared" si="232"/>
        <v/>
      </c>
      <c r="IR679" s="1271" t="str">
        <f t="shared" si="233"/>
        <v/>
      </c>
      <c r="IS679" s="1271" t="str">
        <f t="shared" si="234"/>
        <v/>
      </c>
      <c r="IT679" s="1271" t="str">
        <f t="shared" si="235"/>
        <v/>
      </c>
      <c r="IU679" s="1271" t="str">
        <f t="shared" si="236"/>
        <v/>
      </c>
      <c r="IV679" s="1271" t="str">
        <f t="shared" si="237"/>
        <v/>
      </c>
      <c r="IW679" s="1271" t="str">
        <f t="shared" si="238"/>
        <v/>
      </c>
      <c r="IX679" s="1271" t="str">
        <f t="shared" si="239"/>
        <v/>
      </c>
      <c r="IY679" s="1271" t="str">
        <f t="shared" si="240"/>
        <v/>
      </c>
      <c r="IZ679" s="1271" t="str">
        <f t="shared" si="241"/>
        <v/>
      </c>
      <c r="JA679" s="1271" t="str">
        <f t="shared" si="242"/>
        <v/>
      </c>
      <c r="JB679" s="1271" t="str">
        <f t="shared" si="243"/>
        <v/>
      </c>
      <c r="JC679" s="1518">
        <f t="shared" si="244"/>
        <v>0</v>
      </c>
      <c r="JD679" s="1518">
        <f t="shared" si="245"/>
        <v>0</v>
      </c>
      <c r="JE679" s="1518">
        <f t="shared" si="246"/>
        <v>0</v>
      </c>
      <c r="JF679" s="1518">
        <f t="shared" si="247"/>
        <v>0</v>
      </c>
      <c r="JG679" s="1518">
        <f t="shared" si="248"/>
        <v>0</v>
      </c>
      <c r="JH679" s="1518">
        <f t="shared" si="249"/>
        <v>0</v>
      </c>
      <c r="JI679" s="1518">
        <f t="shared" si="250"/>
        <v>0</v>
      </c>
      <c r="JJ679" s="1518">
        <f t="shared" si="251"/>
        <v>0</v>
      </c>
      <c r="JK679" s="1518">
        <f t="shared" si="252"/>
        <v>0</v>
      </c>
      <c r="JL679" s="1518">
        <f t="shared" si="253"/>
        <v>0</v>
      </c>
      <c r="JM679" s="1518">
        <f t="shared" si="254"/>
        <v>0</v>
      </c>
      <c r="JN679" s="1518">
        <f t="shared" si="255"/>
        <v>0</v>
      </c>
      <c r="JO679" s="1518">
        <f t="shared" si="256"/>
        <v>0</v>
      </c>
      <c r="JP679" s="1518">
        <f t="shared" si="257"/>
        <v>0</v>
      </c>
      <c r="JQ679" s="1518">
        <f t="shared" si="258"/>
        <v>0</v>
      </c>
    </row>
    <row r="680" spans="1:277" ht="12" customHeight="1">
      <c r="A680" s="1687" t="str">
        <f t="shared" si="1"/>
        <v/>
      </c>
      <c r="B680" s="1702" t="str">
        <f>'Part VI-Revenues &amp; Expenses'!B19</f>
        <v>&lt;&lt;Select&gt;&gt;</v>
      </c>
      <c r="C680" s="1703">
        <f>'Part VI-Revenues &amp; Expenses'!C19</f>
        <v>0</v>
      </c>
      <c r="D680" s="1704">
        <f>'Part VI-Revenues &amp; Expenses'!D19</f>
        <v>0</v>
      </c>
      <c r="E680" s="1705">
        <f>'Part VI-Revenues &amp; Expenses'!E19</f>
        <v>0</v>
      </c>
      <c r="F680" s="1705">
        <f>'Part VI-Revenues &amp; Expenses'!F19</f>
        <v>0</v>
      </c>
      <c r="G680" s="1705">
        <f>'Part VI-Revenues &amp; Expenses'!G19</f>
        <v>0</v>
      </c>
      <c r="H680" s="1705">
        <f>'Part VI-Revenues &amp; Expenses'!H19</f>
        <v>0</v>
      </c>
      <c r="I680" s="1705">
        <f>'Part VI-Revenues &amp; Expenses'!I19</f>
        <v>0</v>
      </c>
      <c r="J680" s="1706">
        <f>'Part VI-Revenues &amp; Expenses'!J19</f>
        <v>0</v>
      </c>
      <c r="K680" s="1707">
        <f t="shared" si="2"/>
        <v>0</v>
      </c>
      <c r="L680" s="1707">
        <f t="shared" si="3"/>
        <v>0</v>
      </c>
      <c r="M680" s="1708">
        <f>'Part VI-Revenues &amp; Expenses'!M19</f>
        <v>0</v>
      </c>
      <c r="N680" s="1708">
        <f>'Part VI-Revenues &amp; Expenses'!N19</f>
        <v>0</v>
      </c>
      <c r="O680" s="1708">
        <f>'Part VI-Revenues &amp; Expenses'!O19</f>
        <v>0</v>
      </c>
      <c r="P680" s="1515">
        <f>'Part VI-Revenues &amp; Expenses'!P19</f>
        <v>0</v>
      </c>
      <c r="Q680" s="1709" t="str">
        <f>'Part VI-Revenues &amp; Expenses'!Q19</f>
        <v/>
      </c>
      <c r="R680" s="1710" t="str">
        <f>'Part VI-Revenues &amp; Expenses'!R19</f>
        <v/>
      </c>
      <c r="S680" s="1709">
        <f>'Part VI-Revenues &amp; Expenses'!S19</f>
        <v>0</v>
      </c>
      <c r="T680" s="1710">
        <f>'Part VI-Revenues &amp; Expenses'!T19</f>
        <v>0</v>
      </c>
      <c r="U680" s="1629"/>
      <c r="V680" s="1629"/>
      <c r="W680" s="1271" t="str">
        <f t="shared" si="4"/>
        <v/>
      </c>
      <c r="X680" s="1271" t="str">
        <f t="shared" si="5"/>
        <v/>
      </c>
      <c r="Y680" s="1271" t="str">
        <f t="shared" si="6"/>
        <v/>
      </c>
      <c r="Z680" s="1271" t="str">
        <f t="shared" si="7"/>
        <v/>
      </c>
      <c r="AA680" s="1271" t="str">
        <f t="shared" si="8"/>
        <v/>
      </c>
      <c r="AB680" s="1271" t="str">
        <f t="shared" si="9"/>
        <v/>
      </c>
      <c r="AC680" s="1271" t="str">
        <f t="shared" si="10"/>
        <v/>
      </c>
      <c r="AD680" s="1271" t="str">
        <f t="shared" si="11"/>
        <v/>
      </c>
      <c r="AE680" s="1271" t="str">
        <f t="shared" si="12"/>
        <v/>
      </c>
      <c r="AF680" s="1271" t="str">
        <f t="shared" si="13"/>
        <v/>
      </c>
      <c r="AG680" s="1271" t="str">
        <f t="shared" si="14"/>
        <v/>
      </c>
      <c r="AH680" s="1271" t="str">
        <f t="shared" si="15"/>
        <v/>
      </c>
      <c r="AI680" s="1271" t="str">
        <f t="shared" si="16"/>
        <v/>
      </c>
      <c r="AJ680" s="1271" t="str">
        <f t="shared" si="17"/>
        <v/>
      </c>
      <c r="AK680" s="1271" t="str">
        <f t="shared" si="18"/>
        <v/>
      </c>
      <c r="AL680" s="1271" t="str">
        <f t="shared" si="19"/>
        <v/>
      </c>
      <c r="AM680" s="1271" t="str">
        <f t="shared" si="20"/>
        <v/>
      </c>
      <c r="AN680" s="1271" t="str">
        <f t="shared" si="21"/>
        <v/>
      </c>
      <c r="AO680" s="1271" t="str">
        <f t="shared" si="22"/>
        <v/>
      </c>
      <c r="AP680" s="1271" t="str">
        <f t="shared" si="23"/>
        <v/>
      </c>
      <c r="AQ680" s="1271" t="str">
        <f t="shared" si="24"/>
        <v/>
      </c>
      <c r="AR680" s="1271" t="str">
        <f t="shared" si="25"/>
        <v/>
      </c>
      <c r="AS680" s="1271" t="str">
        <f t="shared" si="26"/>
        <v/>
      </c>
      <c r="AT680" s="1271" t="str">
        <f t="shared" si="27"/>
        <v/>
      </c>
      <c r="AU680" s="1271" t="str">
        <f t="shared" si="28"/>
        <v/>
      </c>
      <c r="AV680" s="1271" t="str">
        <f t="shared" si="29"/>
        <v/>
      </c>
      <c r="AW680" s="1271" t="str">
        <f t="shared" si="30"/>
        <v/>
      </c>
      <c r="AX680" s="1271" t="str">
        <f t="shared" si="31"/>
        <v/>
      </c>
      <c r="AY680" s="1271" t="str">
        <f t="shared" si="32"/>
        <v/>
      </c>
      <c r="AZ680" s="1271" t="str">
        <f t="shared" si="33"/>
        <v/>
      </c>
      <c r="BA680" s="1271" t="str">
        <f t="shared" si="34"/>
        <v/>
      </c>
      <c r="BB680" s="1271" t="str">
        <f t="shared" si="35"/>
        <v/>
      </c>
      <c r="BC680" s="1271" t="str">
        <f t="shared" si="36"/>
        <v/>
      </c>
      <c r="BD680" s="1271" t="str">
        <f t="shared" si="37"/>
        <v/>
      </c>
      <c r="BE680" s="1271" t="str">
        <f t="shared" si="38"/>
        <v/>
      </c>
      <c r="BF680" s="1271" t="str">
        <f t="shared" si="39"/>
        <v/>
      </c>
      <c r="BG680" s="1271" t="str">
        <f t="shared" si="40"/>
        <v/>
      </c>
      <c r="BH680" s="1271" t="str">
        <f t="shared" si="41"/>
        <v/>
      </c>
      <c r="BI680" s="1271" t="str">
        <f t="shared" si="42"/>
        <v/>
      </c>
      <c r="BJ680" s="1271" t="str">
        <f t="shared" si="43"/>
        <v/>
      </c>
      <c r="BK680" s="1271" t="str">
        <f t="shared" si="44"/>
        <v/>
      </c>
      <c r="BL680" s="1271" t="str">
        <f t="shared" si="45"/>
        <v/>
      </c>
      <c r="BM680" s="1271" t="str">
        <f t="shared" si="46"/>
        <v/>
      </c>
      <c r="BN680" s="1271" t="str">
        <f t="shared" si="47"/>
        <v/>
      </c>
      <c r="BO680" s="1271" t="str">
        <f t="shared" si="48"/>
        <v/>
      </c>
      <c r="BP680" s="1271" t="str">
        <f t="shared" si="49"/>
        <v/>
      </c>
      <c r="BQ680" s="1271" t="str">
        <f t="shared" si="50"/>
        <v/>
      </c>
      <c r="BR680" s="1271" t="str">
        <f t="shared" si="51"/>
        <v/>
      </c>
      <c r="BS680" s="1271" t="str">
        <f t="shared" si="52"/>
        <v/>
      </c>
      <c r="BT680" s="1271" t="str">
        <f t="shared" si="53"/>
        <v/>
      </c>
      <c r="BU680" s="1271" t="str">
        <f t="shared" si="54"/>
        <v/>
      </c>
      <c r="BV680" s="1271" t="str">
        <f t="shared" si="55"/>
        <v/>
      </c>
      <c r="BW680" s="1271" t="str">
        <f t="shared" si="56"/>
        <v/>
      </c>
      <c r="BX680" s="1271" t="str">
        <f t="shared" si="57"/>
        <v/>
      </c>
      <c r="BY680" s="1271" t="str">
        <f t="shared" si="58"/>
        <v/>
      </c>
      <c r="BZ680" s="1271" t="str">
        <f t="shared" si="59"/>
        <v/>
      </c>
      <c r="CA680" s="1271" t="str">
        <f t="shared" si="60"/>
        <v/>
      </c>
      <c r="CB680" s="1271" t="str">
        <f t="shared" si="61"/>
        <v/>
      </c>
      <c r="CC680" s="1271" t="str">
        <f t="shared" si="62"/>
        <v/>
      </c>
      <c r="CD680" s="1271" t="str">
        <f t="shared" si="63"/>
        <v/>
      </c>
      <c r="CE680" s="1271" t="str">
        <f t="shared" si="64"/>
        <v/>
      </c>
      <c r="CF680" s="1271" t="str">
        <f t="shared" si="65"/>
        <v/>
      </c>
      <c r="CG680" s="1271" t="str">
        <f t="shared" si="66"/>
        <v/>
      </c>
      <c r="CH680" s="1271" t="str">
        <f t="shared" si="67"/>
        <v/>
      </c>
      <c r="CI680" s="1271" t="str">
        <f t="shared" si="68"/>
        <v/>
      </c>
      <c r="CJ680" s="1271" t="str">
        <f t="shared" si="69"/>
        <v/>
      </c>
      <c r="CK680" s="1271" t="str">
        <f t="shared" si="70"/>
        <v/>
      </c>
      <c r="CL680" s="1271" t="str">
        <f t="shared" si="71"/>
        <v/>
      </c>
      <c r="CM680" s="1271" t="str">
        <f t="shared" si="72"/>
        <v/>
      </c>
      <c r="CN680" s="1271" t="str">
        <f t="shared" si="73"/>
        <v/>
      </c>
      <c r="CO680" s="1271" t="str">
        <f t="shared" si="74"/>
        <v/>
      </c>
      <c r="CP680" s="1271" t="str">
        <f t="shared" si="75"/>
        <v/>
      </c>
      <c r="CQ680" s="1271" t="str">
        <f t="shared" si="76"/>
        <v/>
      </c>
      <c r="CR680" s="1271" t="str">
        <f t="shared" si="77"/>
        <v/>
      </c>
      <c r="CS680" s="1271" t="str">
        <f t="shared" si="78"/>
        <v/>
      </c>
      <c r="CT680" s="1271" t="str">
        <f t="shared" si="79"/>
        <v/>
      </c>
      <c r="CU680" s="1271" t="str">
        <f t="shared" si="80"/>
        <v/>
      </c>
      <c r="CV680" s="1271" t="str">
        <f t="shared" si="81"/>
        <v/>
      </c>
      <c r="CW680" s="1271" t="str">
        <f t="shared" si="82"/>
        <v/>
      </c>
      <c r="CX680" s="1271" t="str">
        <f t="shared" si="83"/>
        <v/>
      </c>
      <c r="CY680" s="1271" t="str">
        <f t="shared" si="84"/>
        <v/>
      </c>
      <c r="CZ680" s="1271" t="str">
        <f t="shared" si="85"/>
        <v/>
      </c>
      <c r="DA680" s="1271" t="str">
        <f t="shared" si="86"/>
        <v/>
      </c>
      <c r="DB680" s="1271" t="str">
        <f t="shared" si="87"/>
        <v/>
      </c>
      <c r="DC680" s="1271" t="str">
        <f t="shared" si="88"/>
        <v/>
      </c>
      <c r="DD680" s="1271" t="str">
        <f t="shared" si="89"/>
        <v/>
      </c>
      <c r="DE680" s="1271" t="str">
        <f t="shared" si="90"/>
        <v/>
      </c>
      <c r="DF680" s="1271" t="str">
        <f t="shared" si="91"/>
        <v/>
      </c>
      <c r="DG680" s="1271" t="str">
        <f t="shared" si="92"/>
        <v/>
      </c>
      <c r="DH680" s="1271" t="str">
        <f t="shared" si="93"/>
        <v/>
      </c>
      <c r="DI680" s="1271" t="str">
        <f t="shared" si="94"/>
        <v/>
      </c>
      <c r="DJ680" s="1271" t="str">
        <f t="shared" si="95"/>
        <v/>
      </c>
      <c r="DK680" s="1271" t="str">
        <f t="shared" si="96"/>
        <v/>
      </c>
      <c r="DL680" s="1271" t="str">
        <f t="shared" si="97"/>
        <v/>
      </c>
      <c r="DM680" s="1271" t="str">
        <f t="shared" si="98"/>
        <v/>
      </c>
      <c r="DN680" s="1271" t="str">
        <f t="shared" si="99"/>
        <v/>
      </c>
      <c r="DO680" s="1271" t="str">
        <f t="shared" si="100"/>
        <v/>
      </c>
      <c r="DP680" s="1271" t="str">
        <f t="shared" si="101"/>
        <v/>
      </c>
      <c r="DQ680" s="1271" t="str">
        <f t="shared" si="102"/>
        <v/>
      </c>
      <c r="DR680" s="1271" t="str">
        <f t="shared" si="103"/>
        <v/>
      </c>
      <c r="DS680" s="1271" t="str">
        <f t="shared" si="104"/>
        <v/>
      </c>
      <c r="DT680" s="1271" t="str">
        <f t="shared" si="105"/>
        <v/>
      </c>
      <c r="DU680" s="1271" t="str">
        <f t="shared" si="106"/>
        <v/>
      </c>
      <c r="DV680" s="1271" t="str">
        <f t="shared" si="107"/>
        <v/>
      </c>
      <c r="DW680" s="1271" t="str">
        <f t="shared" si="108"/>
        <v/>
      </c>
      <c r="DX680" s="1271" t="str">
        <f t="shared" si="109"/>
        <v/>
      </c>
      <c r="DY680" s="1271" t="str">
        <f t="shared" si="110"/>
        <v/>
      </c>
      <c r="DZ680" s="1271" t="str">
        <f t="shared" si="111"/>
        <v/>
      </c>
      <c r="EA680" s="1271" t="str">
        <f t="shared" si="112"/>
        <v/>
      </c>
      <c r="EB680" s="1271" t="str">
        <f t="shared" si="113"/>
        <v/>
      </c>
      <c r="EC680" s="1271" t="str">
        <f t="shared" si="114"/>
        <v/>
      </c>
      <c r="ED680" s="1271" t="str">
        <f t="shared" si="115"/>
        <v/>
      </c>
      <c r="EE680" s="1271" t="str">
        <f t="shared" si="116"/>
        <v/>
      </c>
      <c r="EF680" s="1271" t="str">
        <f t="shared" si="117"/>
        <v/>
      </c>
      <c r="EG680" s="1271" t="str">
        <f t="shared" si="118"/>
        <v/>
      </c>
      <c r="EH680" s="1271" t="str">
        <f t="shared" si="119"/>
        <v/>
      </c>
      <c r="EI680" s="1271" t="str">
        <f t="shared" si="120"/>
        <v/>
      </c>
      <c r="EJ680" s="1271" t="str">
        <f t="shared" si="121"/>
        <v/>
      </c>
      <c r="EK680" s="1271" t="str">
        <f t="shared" si="122"/>
        <v/>
      </c>
      <c r="EL680" s="1271" t="str">
        <f t="shared" si="123"/>
        <v/>
      </c>
      <c r="EM680" s="1271" t="str">
        <f t="shared" si="124"/>
        <v/>
      </c>
      <c r="EN680" s="1271" t="str">
        <f t="shared" si="125"/>
        <v/>
      </c>
      <c r="EO680" s="1271" t="str">
        <f t="shared" si="126"/>
        <v/>
      </c>
      <c r="EP680" s="1271" t="str">
        <f t="shared" si="127"/>
        <v/>
      </c>
      <c r="EQ680" s="1271" t="str">
        <f t="shared" si="128"/>
        <v/>
      </c>
      <c r="ER680" s="1271" t="str">
        <f t="shared" si="129"/>
        <v/>
      </c>
      <c r="ES680" s="1271" t="str">
        <f t="shared" si="130"/>
        <v/>
      </c>
      <c r="ET680" s="1271" t="str">
        <f t="shared" si="131"/>
        <v/>
      </c>
      <c r="EU680" s="1271" t="str">
        <f t="shared" si="132"/>
        <v/>
      </c>
      <c r="EV680" s="1271" t="str">
        <f t="shared" si="133"/>
        <v/>
      </c>
      <c r="EW680" s="1519" t="str">
        <f t="shared" si="134"/>
        <v/>
      </c>
      <c r="EX680" s="1519" t="str">
        <f t="shared" si="135"/>
        <v/>
      </c>
      <c r="EY680" s="1519" t="str">
        <f t="shared" si="136"/>
        <v/>
      </c>
      <c r="EZ680" s="1519" t="str">
        <f t="shared" si="137"/>
        <v/>
      </c>
      <c r="FA680" s="1519" t="str">
        <f t="shared" si="138"/>
        <v/>
      </c>
      <c r="FB680" s="1519" t="str">
        <f t="shared" si="139"/>
        <v/>
      </c>
      <c r="FC680" s="1519" t="str">
        <f t="shared" si="140"/>
        <v/>
      </c>
      <c r="FD680" s="1519" t="str">
        <f t="shared" si="141"/>
        <v/>
      </c>
      <c r="FE680" s="1519" t="str">
        <f t="shared" si="142"/>
        <v/>
      </c>
      <c r="FF680" s="1519" t="str">
        <f t="shared" si="143"/>
        <v/>
      </c>
      <c r="FG680" s="1519" t="str">
        <f t="shared" si="144"/>
        <v/>
      </c>
      <c r="FH680" s="1519" t="str">
        <f t="shared" si="145"/>
        <v/>
      </c>
      <c r="FI680" s="1519" t="str">
        <f t="shared" si="146"/>
        <v/>
      </c>
      <c r="FJ680" s="1519" t="str">
        <f t="shared" si="147"/>
        <v/>
      </c>
      <c r="FK680" s="1519" t="str">
        <f t="shared" si="148"/>
        <v/>
      </c>
      <c r="FL680" s="1519" t="str">
        <f t="shared" si="149"/>
        <v/>
      </c>
      <c r="FM680" s="1519" t="str">
        <f t="shared" si="150"/>
        <v/>
      </c>
      <c r="FN680" s="1519" t="str">
        <f t="shared" si="151"/>
        <v/>
      </c>
      <c r="FO680" s="1519" t="str">
        <f t="shared" si="152"/>
        <v/>
      </c>
      <c r="FP680" s="1519" t="str">
        <f t="shared" si="153"/>
        <v/>
      </c>
      <c r="FQ680" s="1519" t="str">
        <f t="shared" si="154"/>
        <v/>
      </c>
      <c r="FR680" s="1519" t="str">
        <f t="shared" si="155"/>
        <v/>
      </c>
      <c r="FS680" s="1519" t="str">
        <f t="shared" si="156"/>
        <v/>
      </c>
      <c r="FT680" s="1519" t="str">
        <f t="shared" si="157"/>
        <v/>
      </c>
      <c r="FU680" s="1519" t="str">
        <f t="shared" si="158"/>
        <v/>
      </c>
      <c r="FV680" s="1519" t="str">
        <f t="shared" si="159"/>
        <v/>
      </c>
      <c r="FW680" s="1519" t="str">
        <f t="shared" si="160"/>
        <v/>
      </c>
      <c r="FX680" s="1519" t="str">
        <f t="shared" si="161"/>
        <v/>
      </c>
      <c r="FY680" s="1519" t="str">
        <f t="shared" si="162"/>
        <v/>
      </c>
      <c r="FZ680" s="1519" t="str">
        <f t="shared" si="163"/>
        <v/>
      </c>
      <c r="GA680" s="1519" t="str">
        <f t="shared" si="164"/>
        <v/>
      </c>
      <c r="GB680" s="1519" t="str">
        <f t="shared" si="165"/>
        <v/>
      </c>
      <c r="GC680" s="1519" t="str">
        <f t="shared" si="166"/>
        <v/>
      </c>
      <c r="GD680" s="1519" t="str">
        <f t="shared" si="167"/>
        <v/>
      </c>
      <c r="GE680" s="1519" t="str">
        <f t="shared" si="168"/>
        <v/>
      </c>
      <c r="GF680" s="1519" t="str">
        <f t="shared" si="169"/>
        <v/>
      </c>
      <c r="GG680" s="1519" t="str">
        <f t="shared" si="170"/>
        <v/>
      </c>
      <c r="GH680" s="1519" t="str">
        <f t="shared" si="171"/>
        <v/>
      </c>
      <c r="GI680" s="1519" t="str">
        <f t="shared" si="172"/>
        <v/>
      </c>
      <c r="GJ680" s="1519" t="str">
        <f t="shared" si="173"/>
        <v/>
      </c>
      <c r="GK680" s="1519" t="str">
        <f t="shared" si="174"/>
        <v/>
      </c>
      <c r="GL680" s="1519" t="str">
        <f t="shared" si="175"/>
        <v/>
      </c>
      <c r="GM680" s="1519" t="str">
        <f t="shared" si="176"/>
        <v/>
      </c>
      <c r="GN680" s="1519" t="str">
        <f t="shared" si="177"/>
        <v/>
      </c>
      <c r="GO680" s="1519" t="str">
        <f t="shared" si="178"/>
        <v/>
      </c>
      <c r="GP680" s="1519" t="str">
        <f t="shared" si="179"/>
        <v/>
      </c>
      <c r="GQ680" s="1519" t="str">
        <f t="shared" si="180"/>
        <v/>
      </c>
      <c r="GR680" s="1519" t="str">
        <f t="shared" si="181"/>
        <v/>
      </c>
      <c r="GS680" s="1519" t="str">
        <f t="shared" si="182"/>
        <v/>
      </c>
      <c r="GT680" s="1519" t="str">
        <f t="shared" si="183"/>
        <v/>
      </c>
      <c r="GU680" s="1519" t="str">
        <f t="shared" si="184"/>
        <v/>
      </c>
      <c r="GV680" s="1519" t="str">
        <f t="shared" si="185"/>
        <v/>
      </c>
      <c r="GW680" s="1519" t="str">
        <f t="shared" si="186"/>
        <v/>
      </c>
      <c r="GX680" s="1519" t="str">
        <f t="shared" si="187"/>
        <v/>
      </c>
      <c r="GY680" s="1519" t="str">
        <f t="shared" si="188"/>
        <v/>
      </c>
      <c r="GZ680" s="1519" t="str">
        <f t="shared" si="189"/>
        <v/>
      </c>
      <c r="HA680" s="1519" t="str">
        <f t="shared" si="190"/>
        <v/>
      </c>
      <c r="HB680" s="1519" t="str">
        <f t="shared" si="191"/>
        <v/>
      </c>
      <c r="HC680" s="1519" t="str">
        <f t="shared" si="192"/>
        <v/>
      </c>
      <c r="HD680" s="1519" t="str">
        <f t="shared" si="193"/>
        <v/>
      </c>
      <c r="HE680" s="1519" t="str">
        <f t="shared" si="194"/>
        <v/>
      </c>
      <c r="HF680" s="1519" t="str">
        <f t="shared" si="195"/>
        <v/>
      </c>
      <c r="HG680" s="1519" t="str">
        <f t="shared" si="196"/>
        <v/>
      </c>
      <c r="HH680" s="1519" t="str">
        <f t="shared" si="197"/>
        <v/>
      </c>
      <c r="HI680" s="1519" t="str">
        <f t="shared" si="198"/>
        <v/>
      </c>
      <c r="HJ680" s="1519" t="str">
        <f t="shared" si="199"/>
        <v/>
      </c>
      <c r="HK680" s="1519" t="str">
        <f t="shared" si="200"/>
        <v/>
      </c>
      <c r="HL680" s="1519" t="str">
        <f t="shared" si="201"/>
        <v/>
      </c>
      <c r="HM680" s="1519" t="str">
        <f t="shared" si="202"/>
        <v/>
      </c>
      <c r="HN680" s="1519" t="str">
        <f t="shared" si="203"/>
        <v/>
      </c>
      <c r="HO680" s="1519" t="str">
        <f t="shared" si="204"/>
        <v/>
      </c>
      <c r="HP680" s="1519" t="str">
        <f t="shared" si="205"/>
        <v/>
      </c>
      <c r="HQ680" s="1519" t="str">
        <f t="shared" si="206"/>
        <v/>
      </c>
      <c r="HR680" s="1519" t="str">
        <f t="shared" si="207"/>
        <v/>
      </c>
      <c r="HS680" s="1519" t="str">
        <f t="shared" si="208"/>
        <v/>
      </c>
      <c r="HT680" s="1519" t="str">
        <f t="shared" si="209"/>
        <v/>
      </c>
      <c r="HU680" s="1519" t="str">
        <f t="shared" si="210"/>
        <v/>
      </c>
      <c r="HV680" s="1519" t="str">
        <f t="shared" si="211"/>
        <v/>
      </c>
      <c r="HW680" s="1519" t="str">
        <f t="shared" si="212"/>
        <v/>
      </c>
      <c r="HX680" s="1519" t="str">
        <f t="shared" si="213"/>
        <v/>
      </c>
      <c r="HY680" s="1519" t="str">
        <f t="shared" si="214"/>
        <v/>
      </c>
      <c r="HZ680" s="1519" t="str">
        <f t="shared" si="215"/>
        <v/>
      </c>
      <c r="IA680" s="1519" t="str">
        <f t="shared" si="216"/>
        <v/>
      </c>
      <c r="IB680" s="1519" t="str">
        <f t="shared" si="217"/>
        <v/>
      </c>
      <c r="IC680" s="1519" t="str">
        <f t="shared" si="218"/>
        <v/>
      </c>
      <c r="ID680" s="1520" t="str">
        <f t="shared" si="219"/>
        <v/>
      </c>
      <c r="IE680" s="1520" t="str">
        <f t="shared" si="220"/>
        <v/>
      </c>
      <c r="IF680" s="1520" t="str">
        <f t="shared" si="221"/>
        <v/>
      </c>
      <c r="IG680" s="1520" t="str">
        <f t="shared" si="222"/>
        <v/>
      </c>
      <c r="IH680" s="1520" t="str">
        <f t="shared" si="223"/>
        <v/>
      </c>
      <c r="II680" s="1271" t="str">
        <f t="shared" si="224"/>
        <v/>
      </c>
      <c r="IJ680" s="1271" t="str">
        <f t="shared" si="225"/>
        <v/>
      </c>
      <c r="IK680" s="1271" t="str">
        <f t="shared" si="226"/>
        <v/>
      </c>
      <c r="IL680" s="1271" t="str">
        <f t="shared" si="227"/>
        <v/>
      </c>
      <c r="IM680" s="1271" t="str">
        <f t="shared" si="228"/>
        <v/>
      </c>
      <c r="IN680" s="1271" t="str">
        <f t="shared" si="229"/>
        <v/>
      </c>
      <c r="IO680" s="1271" t="str">
        <f t="shared" si="230"/>
        <v/>
      </c>
      <c r="IP680" s="1271" t="str">
        <f t="shared" si="231"/>
        <v/>
      </c>
      <c r="IQ680" s="1271" t="str">
        <f t="shared" si="232"/>
        <v/>
      </c>
      <c r="IR680" s="1271" t="str">
        <f t="shared" si="233"/>
        <v/>
      </c>
      <c r="IS680" s="1271" t="str">
        <f t="shared" si="234"/>
        <v/>
      </c>
      <c r="IT680" s="1271" t="str">
        <f t="shared" si="235"/>
        <v/>
      </c>
      <c r="IU680" s="1271" t="str">
        <f t="shared" si="236"/>
        <v/>
      </c>
      <c r="IV680" s="1271" t="str">
        <f t="shared" si="237"/>
        <v/>
      </c>
      <c r="IW680" s="1271" t="str">
        <f t="shared" si="238"/>
        <v/>
      </c>
      <c r="IX680" s="1271" t="str">
        <f t="shared" si="239"/>
        <v/>
      </c>
      <c r="IY680" s="1271" t="str">
        <f t="shared" si="240"/>
        <v/>
      </c>
      <c r="IZ680" s="1271" t="str">
        <f t="shared" si="241"/>
        <v/>
      </c>
      <c r="JA680" s="1271" t="str">
        <f t="shared" si="242"/>
        <v/>
      </c>
      <c r="JB680" s="1271" t="str">
        <f t="shared" si="243"/>
        <v/>
      </c>
      <c r="JC680" s="1518">
        <f t="shared" si="244"/>
        <v>0</v>
      </c>
      <c r="JD680" s="1518">
        <f t="shared" si="245"/>
        <v>0</v>
      </c>
      <c r="JE680" s="1518">
        <f t="shared" si="246"/>
        <v>0</v>
      </c>
      <c r="JF680" s="1518">
        <f t="shared" si="247"/>
        <v>0</v>
      </c>
      <c r="JG680" s="1518">
        <f t="shared" si="248"/>
        <v>0</v>
      </c>
      <c r="JH680" s="1518">
        <f t="shared" si="249"/>
        <v>0</v>
      </c>
      <c r="JI680" s="1518">
        <f t="shared" si="250"/>
        <v>0</v>
      </c>
      <c r="JJ680" s="1518">
        <f t="shared" si="251"/>
        <v>0</v>
      </c>
      <c r="JK680" s="1518">
        <f t="shared" si="252"/>
        <v>0</v>
      </c>
      <c r="JL680" s="1518">
        <f t="shared" si="253"/>
        <v>0</v>
      </c>
      <c r="JM680" s="1518">
        <f t="shared" si="254"/>
        <v>0</v>
      </c>
      <c r="JN680" s="1518">
        <f t="shared" si="255"/>
        <v>0</v>
      </c>
      <c r="JO680" s="1518">
        <f t="shared" si="256"/>
        <v>0</v>
      </c>
      <c r="JP680" s="1518">
        <f t="shared" si="257"/>
        <v>0</v>
      </c>
      <c r="JQ680" s="1518">
        <f t="shared" si="258"/>
        <v>0</v>
      </c>
    </row>
    <row r="681" spans="1:277" ht="12" customHeight="1">
      <c r="A681" s="1687" t="str">
        <f t="shared" si="1"/>
        <v/>
      </c>
      <c r="B681" s="1702" t="str">
        <f>'Part VI-Revenues &amp; Expenses'!B20</f>
        <v>&lt;&lt;Select&gt;&gt;</v>
      </c>
      <c r="C681" s="1703">
        <f>'Part VI-Revenues &amp; Expenses'!C20</f>
        <v>0</v>
      </c>
      <c r="D681" s="1704">
        <f>'Part VI-Revenues &amp; Expenses'!D20</f>
        <v>0</v>
      </c>
      <c r="E681" s="1705">
        <f>'Part VI-Revenues &amp; Expenses'!E20</f>
        <v>0</v>
      </c>
      <c r="F681" s="1705">
        <f>'Part VI-Revenues &amp; Expenses'!F20</f>
        <v>0</v>
      </c>
      <c r="G681" s="1705">
        <f>'Part VI-Revenues &amp; Expenses'!G20</f>
        <v>0</v>
      </c>
      <c r="H681" s="1705">
        <f>'Part VI-Revenues &amp; Expenses'!H20</f>
        <v>0</v>
      </c>
      <c r="I681" s="1705">
        <f>'Part VI-Revenues &amp; Expenses'!I20</f>
        <v>0</v>
      </c>
      <c r="J681" s="1706">
        <f>'Part VI-Revenues &amp; Expenses'!J20</f>
        <v>0</v>
      </c>
      <c r="K681" s="1707">
        <f t="shared" si="2"/>
        <v>0</v>
      </c>
      <c r="L681" s="1707">
        <f t="shared" si="3"/>
        <v>0</v>
      </c>
      <c r="M681" s="1708">
        <f>'Part VI-Revenues &amp; Expenses'!M20</f>
        <v>0</v>
      </c>
      <c r="N681" s="1708">
        <f>'Part VI-Revenues &amp; Expenses'!N20</f>
        <v>0</v>
      </c>
      <c r="O681" s="1708">
        <f>'Part VI-Revenues &amp; Expenses'!O20</f>
        <v>0</v>
      </c>
      <c r="P681" s="1515">
        <f>'Part VI-Revenues &amp; Expenses'!P20</f>
        <v>0</v>
      </c>
      <c r="Q681" s="1709" t="str">
        <f>'Part VI-Revenues &amp; Expenses'!Q20</f>
        <v/>
      </c>
      <c r="R681" s="1710" t="str">
        <f>'Part VI-Revenues &amp; Expenses'!R20</f>
        <v/>
      </c>
      <c r="S681" s="1709">
        <f>'Part VI-Revenues &amp; Expenses'!S20</f>
        <v>0</v>
      </c>
      <c r="T681" s="1710">
        <f>'Part VI-Revenues &amp; Expenses'!T20</f>
        <v>0</v>
      </c>
      <c r="U681" s="1629"/>
      <c r="V681" s="1629"/>
      <c r="W681" s="1271" t="str">
        <f t="shared" si="4"/>
        <v/>
      </c>
      <c r="X681" s="1271" t="str">
        <f t="shared" si="5"/>
        <v/>
      </c>
      <c r="Y681" s="1271" t="str">
        <f t="shared" si="6"/>
        <v/>
      </c>
      <c r="Z681" s="1271" t="str">
        <f t="shared" si="7"/>
        <v/>
      </c>
      <c r="AA681" s="1271" t="str">
        <f t="shared" si="8"/>
        <v/>
      </c>
      <c r="AB681" s="1271" t="str">
        <f t="shared" si="9"/>
        <v/>
      </c>
      <c r="AC681" s="1271" t="str">
        <f t="shared" si="10"/>
        <v/>
      </c>
      <c r="AD681" s="1271" t="str">
        <f t="shared" si="11"/>
        <v/>
      </c>
      <c r="AE681" s="1271" t="str">
        <f t="shared" si="12"/>
        <v/>
      </c>
      <c r="AF681" s="1271" t="str">
        <f t="shared" si="13"/>
        <v/>
      </c>
      <c r="AG681" s="1271" t="str">
        <f t="shared" si="14"/>
        <v/>
      </c>
      <c r="AH681" s="1271" t="str">
        <f t="shared" si="15"/>
        <v/>
      </c>
      <c r="AI681" s="1271" t="str">
        <f t="shared" si="16"/>
        <v/>
      </c>
      <c r="AJ681" s="1271" t="str">
        <f t="shared" si="17"/>
        <v/>
      </c>
      <c r="AK681" s="1271" t="str">
        <f t="shared" si="18"/>
        <v/>
      </c>
      <c r="AL681" s="1271" t="str">
        <f t="shared" si="19"/>
        <v/>
      </c>
      <c r="AM681" s="1271" t="str">
        <f t="shared" si="20"/>
        <v/>
      </c>
      <c r="AN681" s="1271" t="str">
        <f t="shared" si="21"/>
        <v/>
      </c>
      <c r="AO681" s="1271" t="str">
        <f t="shared" si="22"/>
        <v/>
      </c>
      <c r="AP681" s="1271" t="str">
        <f t="shared" si="23"/>
        <v/>
      </c>
      <c r="AQ681" s="1271" t="str">
        <f t="shared" si="24"/>
        <v/>
      </c>
      <c r="AR681" s="1271" t="str">
        <f t="shared" si="25"/>
        <v/>
      </c>
      <c r="AS681" s="1271" t="str">
        <f t="shared" si="26"/>
        <v/>
      </c>
      <c r="AT681" s="1271" t="str">
        <f t="shared" si="27"/>
        <v/>
      </c>
      <c r="AU681" s="1271" t="str">
        <f t="shared" si="28"/>
        <v/>
      </c>
      <c r="AV681" s="1271" t="str">
        <f t="shared" si="29"/>
        <v/>
      </c>
      <c r="AW681" s="1271" t="str">
        <f t="shared" si="30"/>
        <v/>
      </c>
      <c r="AX681" s="1271" t="str">
        <f t="shared" si="31"/>
        <v/>
      </c>
      <c r="AY681" s="1271" t="str">
        <f t="shared" si="32"/>
        <v/>
      </c>
      <c r="AZ681" s="1271" t="str">
        <f t="shared" si="33"/>
        <v/>
      </c>
      <c r="BA681" s="1271" t="str">
        <f t="shared" si="34"/>
        <v/>
      </c>
      <c r="BB681" s="1271" t="str">
        <f t="shared" si="35"/>
        <v/>
      </c>
      <c r="BC681" s="1271" t="str">
        <f t="shared" si="36"/>
        <v/>
      </c>
      <c r="BD681" s="1271" t="str">
        <f t="shared" si="37"/>
        <v/>
      </c>
      <c r="BE681" s="1271" t="str">
        <f t="shared" si="38"/>
        <v/>
      </c>
      <c r="BF681" s="1271" t="str">
        <f t="shared" si="39"/>
        <v/>
      </c>
      <c r="BG681" s="1271" t="str">
        <f t="shared" si="40"/>
        <v/>
      </c>
      <c r="BH681" s="1271" t="str">
        <f t="shared" si="41"/>
        <v/>
      </c>
      <c r="BI681" s="1271" t="str">
        <f t="shared" si="42"/>
        <v/>
      </c>
      <c r="BJ681" s="1271" t="str">
        <f t="shared" si="43"/>
        <v/>
      </c>
      <c r="BK681" s="1271" t="str">
        <f t="shared" si="44"/>
        <v/>
      </c>
      <c r="BL681" s="1271" t="str">
        <f t="shared" si="45"/>
        <v/>
      </c>
      <c r="BM681" s="1271" t="str">
        <f t="shared" si="46"/>
        <v/>
      </c>
      <c r="BN681" s="1271" t="str">
        <f t="shared" si="47"/>
        <v/>
      </c>
      <c r="BO681" s="1271" t="str">
        <f t="shared" si="48"/>
        <v/>
      </c>
      <c r="BP681" s="1271" t="str">
        <f t="shared" si="49"/>
        <v/>
      </c>
      <c r="BQ681" s="1271" t="str">
        <f t="shared" si="50"/>
        <v/>
      </c>
      <c r="BR681" s="1271" t="str">
        <f t="shared" si="51"/>
        <v/>
      </c>
      <c r="BS681" s="1271" t="str">
        <f t="shared" si="52"/>
        <v/>
      </c>
      <c r="BT681" s="1271" t="str">
        <f t="shared" si="53"/>
        <v/>
      </c>
      <c r="BU681" s="1271" t="str">
        <f t="shared" si="54"/>
        <v/>
      </c>
      <c r="BV681" s="1271" t="str">
        <f t="shared" si="55"/>
        <v/>
      </c>
      <c r="BW681" s="1271" t="str">
        <f t="shared" si="56"/>
        <v/>
      </c>
      <c r="BX681" s="1271" t="str">
        <f t="shared" si="57"/>
        <v/>
      </c>
      <c r="BY681" s="1271" t="str">
        <f t="shared" si="58"/>
        <v/>
      </c>
      <c r="BZ681" s="1271" t="str">
        <f t="shared" si="59"/>
        <v/>
      </c>
      <c r="CA681" s="1271" t="str">
        <f t="shared" si="60"/>
        <v/>
      </c>
      <c r="CB681" s="1271" t="str">
        <f t="shared" si="61"/>
        <v/>
      </c>
      <c r="CC681" s="1271" t="str">
        <f t="shared" si="62"/>
        <v/>
      </c>
      <c r="CD681" s="1271" t="str">
        <f t="shared" si="63"/>
        <v/>
      </c>
      <c r="CE681" s="1271" t="str">
        <f t="shared" si="64"/>
        <v/>
      </c>
      <c r="CF681" s="1271" t="str">
        <f t="shared" si="65"/>
        <v/>
      </c>
      <c r="CG681" s="1271" t="str">
        <f t="shared" si="66"/>
        <v/>
      </c>
      <c r="CH681" s="1271" t="str">
        <f t="shared" si="67"/>
        <v/>
      </c>
      <c r="CI681" s="1271" t="str">
        <f t="shared" si="68"/>
        <v/>
      </c>
      <c r="CJ681" s="1271" t="str">
        <f t="shared" si="69"/>
        <v/>
      </c>
      <c r="CK681" s="1271" t="str">
        <f t="shared" si="70"/>
        <v/>
      </c>
      <c r="CL681" s="1271" t="str">
        <f t="shared" si="71"/>
        <v/>
      </c>
      <c r="CM681" s="1271" t="str">
        <f t="shared" si="72"/>
        <v/>
      </c>
      <c r="CN681" s="1271" t="str">
        <f t="shared" si="73"/>
        <v/>
      </c>
      <c r="CO681" s="1271" t="str">
        <f t="shared" si="74"/>
        <v/>
      </c>
      <c r="CP681" s="1271" t="str">
        <f t="shared" si="75"/>
        <v/>
      </c>
      <c r="CQ681" s="1271" t="str">
        <f t="shared" si="76"/>
        <v/>
      </c>
      <c r="CR681" s="1271" t="str">
        <f t="shared" si="77"/>
        <v/>
      </c>
      <c r="CS681" s="1271" t="str">
        <f t="shared" si="78"/>
        <v/>
      </c>
      <c r="CT681" s="1271" t="str">
        <f t="shared" si="79"/>
        <v/>
      </c>
      <c r="CU681" s="1271" t="str">
        <f t="shared" si="80"/>
        <v/>
      </c>
      <c r="CV681" s="1271" t="str">
        <f t="shared" si="81"/>
        <v/>
      </c>
      <c r="CW681" s="1271" t="str">
        <f t="shared" si="82"/>
        <v/>
      </c>
      <c r="CX681" s="1271" t="str">
        <f t="shared" si="83"/>
        <v/>
      </c>
      <c r="CY681" s="1271" t="str">
        <f t="shared" si="84"/>
        <v/>
      </c>
      <c r="CZ681" s="1271" t="str">
        <f t="shared" si="85"/>
        <v/>
      </c>
      <c r="DA681" s="1271" t="str">
        <f t="shared" si="86"/>
        <v/>
      </c>
      <c r="DB681" s="1271" t="str">
        <f t="shared" si="87"/>
        <v/>
      </c>
      <c r="DC681" s="1271" t="str">
        <f t="shared" si="88"/>
        <v/>
      </c>
      <c r="DD681" s="1271" t="str">
        <f t="shared" si="89"/>
        <v/>
      </c>
      <c r="DE681" s="1271" t="str">
        <f t="shared" si="90"/>
        <v/>
      </c>
      <c r="DF681" s="1271" t="str">
        <f t="shared" si="91"/>
        <v/>
      </c>
      <c r="DG681" s="1271" t="str">
        <f t="shared" si="92"/>
        <v/>
      </c>
      <c r="DH681" s="1271" t="str">
        <f t="shared" si="93"/>
        <v/>
      </c>
      <c r="DI681" s="1271" t="str">
        <f t="shared" si="94"/>
        <v/>
      </c>
      <c r="DJ681" s="1271" t="str">
        <f t="shared" si="95"/>
        <v/>
      </c>
      <c r="DK681" s="1271" t="str">
        <f t="shared" si="96"/>
        <v/>
      </c>
      <c r="DL681" s="1271" t="str">
        <f t="shared" si="97"/>
        <v/>
      </c>
      <c r="DM681" s="1271" t="str">
        <f t="shared" si="98"/>
        <v/>
      </c>
      <c r="DN681" s="1271" t="str">
        <f t="shared" si="99"/>
        <v/>
      </c>
      <c r="DO681" s="1271" t="str">
        <f t="shared" si="100"/>
        <v/>
      </c>
      <c r="DP681" s="1271" t="str">
        <f t="shared" si="101"/>
        <v/>
      </c>
      <c r="DQ681" s="1271" t="str">
        <f t="shared" si="102"/>
        <v/>
      </c>
      <c r="DR681" s="1271" t="str">
        <f t="shared" si="103"/>
        <v/>
      </c>
      <c r="DS681" s="1271" t="str">
        <f t="shared" si="104"/>
        <v/>
      </c>
      <c r="DT681" s="1271" t="str">
        <f t="shared" si="105"/>
        <v/>
      </c>
      <c r="DU681" s="1271" t="str">
        <f t="shared" si="106"/>
        <v/>
      </c>
      <c r="DV681" s="1271" t="str">
        <f t="shared" si="107"/>
        <v/>
      </c>
      <c r="DW681" s="1271" t="str">
        <f t="shared" si="108"/>
        <v/>
      </c>
      <c r="DX681" s="1271" t="str">
        <f t="shared" si="109"/>
        <v/>
      </c>
      <c r="DY681" s="1271" t="str">
        <f t="shared" si="110"/>
        <v/>
      </c>
      <c r="DZ681" s="1271" t="str">
        <f t="shared" si="111"/>
        <v/>
      </c>
      <c r="EA681" s="1271" t="str">
        <f t="shared" si="112"/>
        <v/>
      </c>
      <c r="EB681" s="1271" t="str">
        <f t="shared" si="113"/>
        <v/>
      </c>
      <c r="EC681" s="1271" t="str">
        <f t="shared" si="114"/>
        <v/>
      </c>
      <c r="ED681" s="1271" t="str">
        <f t="shared" si="115"/>
        <v/>
      </c>
      <c r="EE681" s="1271" t="str">
        <f t="shared" si="116"/>
        <v/>
      </c>
      <c r="EF681" s="1271" t="str">
        <f t="shared" si="117"/>
        <v/>
      </c>
      <c r="EG681" s="1271" t="str">
        <f t="shared" si="118"/>
        <v/>
      </c>
      <c r="EH681" s="1271" t="str">
        <f t="shared" si="119"/>
        <v/>
      </c>
      <c r="EI681" s="1271" t="str">
        <f t="shared" si="120"/>
        <v/>
      </c>
      <c r="EJ681" s="1271" t="str">
        <f t="shared" si="121"/>
        <v/>
      </c>
      <c r="EK681" s="1271" t="str">
        <f t="shared" si="122"/>
        <v/>
      </c>
      <c r="EL681" s="1271" t="str">
        <f t="shared" si="123"/>
        <v/>
      </c>
      <c r="EM681" s="1271" t="str">
        <f t="shared" si="124"/>
        <v/>
      </c>
      <c r="EN681" s="1271" t="str">
        <f t="shared" si="125"/>
        <v/>
      </c>
      <c r="EO681" s="1271" t="str">
        <f t="shared" si="126"/>
        <v/>
      </c>
      <c r="EP681" s="1271" t="str">
        <f t="shared" si="127"/>
        <v/>
      </c>
      <c r="EQ681" s="1271" t="str">
        <f t="shared" si="128"/>
        <v/>
      </c>
      <c r="ER681" s="1271" t="str">
        <f t="shared" si="129"/>
        <v/>
      </c>
      <c r="ES681" s="1271" t="str">
        <f t="shared" si="130"/>
        <v/>
      </c>
      <c r="ET681" s="1271" t="str">
        <f t="shared" si="131"/>
        <v/>
      </c>
      <c r="EU681" s="1271" t="str">
        <f t="shared" si="132"/>
        <v/>
      </c>
      <c r="EV681" s="1271" t="str">
        <f t="shared" si="133"/>
        <v/>
      </c>
      <c r="EW681" s="1519" t="str">
        <f t="shared" si="134"/>
        <v/>
      </c>
      <c r="EX681" s="1519" t="str">
        <f t="shared" si="135"/>
        <v/>
      </c>
      <c r="EY681" s="1519" t="str">
        <f t="shared" si="136"/>
        <v/>
      </c>
      <c r="EZ681" s="1519" t="str">
        <f t="shared" si="137"/>
        <v/>
      </c>
      <c r="FA681" s="1519" t="str">
        <f t="shared" si="138"/>
        <v/>
      </c>
      <c r="FB681" s="1519" t="str">
        <f t="shared" si="139"/>
        <v/>
      </c>
      <c r="FC681" s="1519" t="str">
        <f t="shared" si="140"/>
        <v/>
      </c>
      <c r="FD681" s="1519" t="str">
        <f t="shared" si="141"/>
        <v/>
      </c>
      <c r="FE681" s="1519" t="str">
        <f t="shared" si="142"/>
        <v/>
      </c>
      <c r="FF681" s="1519" t="str">
        <f t="shared" si="143"/>
        <v/>
      </c>
      <c r="FG681" s="1519" t="str">
        <f t="shared" si="144"/>
        <v/>
      </c>
      <c r="FH681" s="1519" t="str">
        <f t="shared" si="145"/>
        <v/>
      </c>
      <c r="FI681" s="1519" t="str">
        <f t="shared" si="146"/>
        <v/>
      </c>
      <c r="FJ681" s="1519" t="str">
        <f t="shared" si="147"/>
        <v/>
      </c>
      <c r="FK681" s="1519" t="str">
        <f t="shared" si="148"/>
        <v/>
      </c>
      <c r="FL681" s="1519" t="str">
        <f t="shared" si="149"/>
        <v/>
      </c>
      <c r="FM681" s="1519" t="str">
        <f t="shared" si="150"/>
        <v/>
      </c>
      <c r="FN681" s="1519" t="str">
        <f t="shared" si="151"/>
        <v/>
      </c>
      <c r="FO681" s="1519" t="str">
        <f t="shared" si="152"/>
        <v/>
      </c>
      <c r="FP681" s="1519" t="str">
        <f t="shared" si="153"/>
        <v/>
      </c>
      <c r="FQ681" s="1519" t="str">
        <f t="shared" si="154"/>
        <v/>
      </c>
      <c r="FR681" s="1519" t="str">
        <f t="shared" si="155"/>
        <v/>
      </c>
      <c r="FS681" s="1519" t="str">
        <f t="shared" si="156"/>
        <v/>
      </c>
      <c r="FT681" s="1519" t="str">
        <f t="shared" si="157"/>
        <v/>
      </c>
      <c r="FU681" s="1519" t="str">
        <f t="shared" si="158"/>
        <v/>
      </c>
      <c r="FV681" s="1519" t="str">
        <f t="shared" si="159"/>
        <v/>
      </c>
      <c r="FW681" s="1519" t="str">
        <f t="shared" si="160"/>
        <v/>
      </c>
      <c r="FX681" s="1519" t="str">
        <f t="shared" si="161"/>
        <v/>
      </c>
      <c r="FY681" s="1519" t="str">
        <f t="shared" si="162"/>
        <v/>
      </c>
      <c r="FZ681" s="1519" t="str">
        <f t="shared" si="163"/>
        <v/>
      </c>
      <c r="GA681" s="1519" t="str">
        <f t="shared" si="164"/>
        <v/>
      </c>
      <c r="GB681" s="1519" t="str">
        <f t="shared" si="165"/>
        <v/>
      </c>
      <c r="GC681" s="1519" t="str">
        <f t="shared" si="166"/>
        <v/>
      </c>
      <c r="GD681" s="1519" t="str">
        <f t="shared" si="167"/>
        <v/>
      </c>
      <c r="GE681" s="1519" t="str">
        <f t="shared" si="168"/>
        <v/>
      </c>
      <c r="GF681" s="1519" t="str">
        <f t="shared" si="169"/>
        <v/>
      </c>
      <c r="GG681" s="1519" t="str">
        <f t="shared" si="170"/>
        <v/>
      </c>
      <c r="GH681" s="1519" t="str">
        <f t="shared" si="171"/>
        <v/>
      </c>
      <c r="GI681" s="1519" t="str">
        <f t="shared" si="172"/>
        <v/>
      </c>
      <c r="GJ681" s="1519" t="str">
        <f t="shared" si="173"/>
        <v/>
      </c>
      <c r="GK681" s="1519" t="str">
        <f t="shared" si="174"/>
        <v/>
      </c>
      <c r="GL681" s="1519" t="str">
        <f t="shared" si="175"/>
        <v/>
      </c>
      <c r="GM681" s="1519" t="str">
        <f t="shared" si="176"/>
        <v/>
      </c>
      <c r="GN681" s="1519" t="str">
        <f t="shared" si="177"/>
        <v/>
      </c>
      <c r="GO681" s="1519" t="str">
        <f t="shared" si="178"/>
        <v/>
      </c>
      <c r="GP681" s="1519" t="str">
        <f t="shared" si="179"/>
        <v/>
      </c>
      <c r="GQ681" s="1519" t="str">
        <f t="shared" si="180"/>
        <v/>
      </c>
      <c r="GR681" s="1519" t="str">
        <f t="shared" si="181"/>
        <v/>
      </c>
      <c r="GS681" s="1519" t="str">
        <f t="shared" si="182"/>
        <v/>
      </c>
      <c r="GT681" s="1519" t="str">
        <f t="shared" si="183"/>
        <v/>
      </c>
      <c r="GU681" s="1519" t="str">
        <f t="shared" si="184"/>
        <v/>
      </c>
      <c r="GV681" s="1519" t="str">
        <f t="shared" si="185"/>
        <v/>
      </c>
      <c r="GW681" s="1519" t="str">
        <f t="shared" si="186"/>
        <v/>
      </c>
      <c r="GX681" s="1519" t="str">
        <f t="shared" si="187"/>
        <v/>
      </c>
      <c r="GY681" s="1519" t="str">
        <f t="shared" si="188"/>
        <v/>
      </c>
      <c r="GZ681" s="1519" t="str">
        <f t="shared" si="189"/>
        <v/>
      </c>
      <c r="HA681" s="1519" t="str">
        <f t="shared" si="190"/>
        <v/>
      </c>
      <c r="HB681" s="1519" t="str">
        <f t="shared" si="191"/>
        <v/>
      </c>
      <c r="HC681" s="1519" t="str">
        <f t="shared" si="192"/>
        <v/>
      </c>
      <c r="HD681" s="1519" t="str">
        <f t="shared" si="193"/>
        <v/>
      </c>
      <c r="HE681" s="1519" t="str">
        <f t="shared" si="194"/>
        <v/>
      </c>
      <c r="HF681" s="1519" t="str">
        <f t="shared" si="195"/>
        <v/>
      </c>
      <c r="HG681" s="1519" t="str">
        <f t="shared" si="196"/>
        <v/>
      </c>
      <c r="HH681" s="1519" t="str">
        <f t="shared" si="197"/>
        <v/>
      </c>
      <c r="HI681" s="1519" t="str">
        <f t="shared" si="198"/>
        <v/>
      </c>
      <c r="HJ681" s="1519" t="str">
        <f t="shared" si="199"/>
        <v/>
      </c>
      <c r="HK681" s="1519" t="str">
        <f t="shared" si="200"/>
        <v/>
      </c>
      <c r="HL681" s="1519" t="str">
        <f t="shared" si="201"/>
        <v/>
      </c>
      <c r="HM681" s="1519" t="str">
        <f t="shared" si="202"/>
        <v/>
      </c>
      <c r="HN681" s="1519" t="str">
        <f t="shared" si="203"/>
        <v/>
      </c>
      <c r="HO681" s="1519" t="str">
        <f t="shared" si="204"/>
        <v/>
      </c>
      <c r="HP681" s="1519" t="str">
        <f t="shared" si="205"/>
        <v/>
      </c>
      <c r="HQ681" s="1519" t="str">
        <f t="shared" si="206"/>
        <v/>
      </c>
      <c r="HR681" s="1519" t="str">
        <f t="shared" si="207"/>
        <v/>
      </c>
      <c r="HS681" s="1519" t="str">
        <f t="shared" si="208"/>
        <v/>
      </c>
      <c r="HT681" s="1519" t="str">
        <f t="shared" si="209"/>
        <v/>
      </c>
      <c r="HU681" s="1519" t="str">
        <f t="shared" si="210"/>
        <v/>
      </c>
      <c r="HV681" s="1519" t="str">
        <f t="shared" si="211"/>
        <v/>
      </c>
      <c r="HW681" s="1519" t="str">
        <f t="shared" si="212"/>
        <v/>
      </c>
      <c r="HX681" s="1519" t="str">
        <f t="shared" si="213"/>
        <v/>
      </c>
      <c r="HY681" s="1519" t="str">
        <f t="shared" si="214"/>
        <v/>
      </c>
      <c r="HZ681" s="1519" t="str">
        <f t="shared" si="215"/>
        <v/>
      </c>
      <c r="IA681" s="1519" t="str">
        <f t="shared" si="216"/>
        <v/>
      </c>
      <c r="IB681" s="1519" t="str">
        <f t="shared" si="217"/>
        <v/>
      </c>
      <c r="IC681" s="1519" t="str">
        <f t="shared" si="218"/>
        <v/>
      </c>
      <c r="ID681" s="1520" t="str">
        <f t="shared" si="219"/>
        <v/>
      </c>
      <c r="IE681" s="1520" t="str">
        <f t="shared" si="220"/>
        <v/>
      </c>
      <c r="IF681" s="1520" t="str">
        <f t="shared" si="221"/>
        <v/>
      </c>
      <c r="IG681" s="1520" t="str">
        <f t="shared" si="222"/>
        <v/>
      </c>
      <c r="IH681" s="1520" t="str">
        <f t="shared" si="223"/>
        <v/>
      </c>
      <c r="II681" s="1271" t="str">
        <f t="shared" si="224"/>
        <v/>
      </c>
      <c r="IJ681" s="1271" t="str">
        <f t="shared" si="225"/>
        <v/>
      </c>
      <c r="IK681" s="1271" t="str">
        <f t="shared" si="226"/>
        <v/>
      </c>
      <c r="IL681" s="1271" t="str">
        <f t="shared" si="227"/>
        <v/>
      </c>
      <c r="IM681" s="1271" t="str">
        <f t="shared" si="228"/>
        <v/>
      </c>
      <c r="IN681" s="1271" t="str">
        <f t="shared" si="229"/>
        <v/>
      </c>
      <c r="IO681" s="1271" t="str">
        <f t="shared" si="230"/>
        <v/>
      </c>
      <c r="IP681" s="1271" t="str">
        <f t="shared" si="231"/>
        <v/>
      </c>
      <c r="IQ681" s="1271" t="str">
        <f t="shared" si="232"/>
        <v/>
      </c>
      <c r="IR681" s="1271" t="str">
        <f t="shared" si="233"/>
        <v/>
      </c>
      <c r="IS681" s="1271" t="str">
        <f t="shared" si="234"/>
        <v/>
      </c>
      <c r="IT681" s="1271" t="str">
        <f t="shared" si="235"/>
        <v/>
      </c>
      <c r="IU681" s="1271" t="str">
        <f t="shared" si="236"/>
        <v/>
      </c>
      <c r="IV681" s="1271" t="str">
        <f t="shared" si="237"/>
        <v/>
      </c>
      <c r="IW681" s="1271" t="str">
        <f t="shared" si="238"/>
        <v/>
      </c>
      <c r="IX681" s="1271" t="str">
        <f t="shared" si="239"/>
        <v/>
      </c>
      <c r="IY681" s="1271" t="str">
        <f t="shared" si="240"/>
        <v/>
      </c>
      <c r="IZ681" s="1271" t="str">
        <f t="shared" si="241"/>
        <v/>
      </c>
      <c r="JA681" s="1271" t="str">
        <f t="shared" si="242"/>
        <v/>
      </c>
      <c r="JB681" s="1271" t="str">
        <f t="shared" si="243"/>
        <v/>
      </c>
      <c r="JC681" s="1518">
        <f t="shared" si="244"/>
        <v>0</v>
      </c>
      <c r="JD681" s="1518">
        <f t="shared" si="245"/>
        <v>0</v>
      </c>
      <c r="JE681" s="1518">
        <f t="shared" si="246"/>
        <v>0</v>
      </c>
      <c r="JF681" s="1518">
        <f t="shared" si="247"/>
        <v>0</v>
      </c>
      <c r="JG681" s="1518">
        <f t="shared" si="248"/>
        <v>0</v>
      </c>
      <c r="JH681" s="1518">
        <f t="shared" si="249"/>
        <v>0</v>
      </c>
      <c r="JI681" s="1518">
        <f t="shared" si="250"/>
        <v>0</v>
      </c>
      <c r="JJ681" s="1518">
        <f t="shared" si="251"/>
        <v>0</v>
      </c>
      <c r="JK681" s="1518">
        <f t="shared" si="252"/>
        <v>0</v>
      </c>
      <c r="JL681" s="1518">
        <f t="shared" si="253"/>
        <v>0</v>
      </c>
      <c r="JM681" s="1518">
        <f t="shared" si="254"/>
        <v>0</v>
      </c>
      <c r="JN681" s="1518">
        <f t="shared" si="255"/>
        <v>0</v>
      </c>
      <c r="JO681" s="1518">
        <f t="shared" si="256"/>
        <v>0</v>
      </c>
      <c r="JP681" s="1518">
        <f t="shared" si="257"/>
        <v>0</v>
      </c>
      <c r="JQ681" s="1518">
        <f t="shared" si="258"/>
        <v>0</v>
      </c>
    </row>
    <row r="682" spans="1:277" ht="12" customHeight="1">
      <c r="A682" s="1687" t="str">
        <f t="shared" si="1"/>
        <v/>
      </c>
      <c r="B682" s="1702" t="str">
        <f>'Part VI-Revenues &amp; Expenses'!B21</f>
        <v>&lt;&lt;Select&gt;&gt;</v>
      </c>
      <c r="C682" s="1703">
        <f>'Part VI-Revenues &amp; Expenses'!C21</f>
        <v>0</v>
      </c>
      <c r="D682" s="1704">
        <f>'Part VI-Revenues &amp; Expenses'!D21</f>
        <v>0</v>
      </c>
      <c r="E682" s="1705">
        <f>'Part VI-Revenues &amp; Expenses'!E21</f>
        <v>0</v>
      </c>
      <c r="F682" s="1705">
        <f>'Part VI-Revenues &amp; Expenses'!F21</f>
        <v>0</v>
      </c>
      <c r="G682" s="1705">
        <f>'Part VI-Revenues &amp; Expenses'!G21</f>
        <v>0</v>
      </c>
      <c r="H682" s="1705">
        <f>'Part VI-Revenues &amp; Expenses'!H21</f>
        <v>0</v>
      </c>
      <c r="I682" s="1705">
        <f>'Part VI-Revenues &amp; Expenses'!I21</f>
        <v>0</v>
      </c>
      <c r="J682" s="1706">
        <f>'Part VI-Revenues &amp; Expenses'!J21</f>
        <v>0</v>
      </c>
      <c r="K682" s="1707">
        <f t="shared" si="2"/>
        <v>0</v>
      </c>
      <c r="L682" s="1707">
        <f t="shared" si="3"/>
        <v>0</v>
      </c>
      <c r="M682" s="1708">
        <f>'Part VI-Revenues &amp; Expenses'!M21</f>
        <v>0</v>
      </c>
      <c r="N682" s="1708">
        <f>'Part VI-Revenues &amp; Expenses'!N21</f>
        <v>0</v>
      </c>
      <c r="O682" s="1708">
        <f>'Part VI-Revenues &amp; Expenses'!O21</f>
        <v>0</v>
      </c>
      <c r="P682" s="1515">
        <f>'Part VI-Revenues &amp; Expenses'!P21</f>
        <v>0</v>
      </c>
      <c r="Q682" s="1709" t="str">
        <f>'Part VI-Revenues &amp; Expenses'!Q21</f>
        <v/>
      </c>
      <c r="R682" s="1710" t="str">
        <f>'Part VI-Revenues &amp; Expenses'!R21</f>
        <v/>
      </c>
      <c r="S682" s="1709">
        <f>'Part VI-Revenues &amp; Expenses'!S21</f>
        <v>0</v>
      </c>
      <c r="T682" s="1710">
        <f>'Part VI-Revenues &amp; Expenses'!T21</f>
        <v>0</v>
      </c>
      <c r="U682" s="1629"/>
      <c r="V682" s="1629"/>
      <c r="W682" s="1271" t="str">
        <f t="shared" si="4"/>
        <v/>
      </c>
      <c r="X682" s="1271" t="str">
        <f t="shared" si="5"/>
        <v/>
      </c>
      <c r="Y682" s="1271" t="str">
        <f t="shared" si="6"/>
        <v/>
      </c>
      <c r="Z682" s="1271" t="str">
        <f t="shared" si="7"/>
        <v/>
      </c>
      <c r="AA682" s="1271" t="str">
        <f t="shared" si="8"/>
        <v/>
      </c>
      <c r="AB682" s="1271" t="str">
        <f t="shared" si="9"/>
        <v/>
      </c>
      <c r="AC682" s="1271" t="str">
        <f t="shared" si="10"/>
        <v/>
      </c>
      <c r="AD682" s="1271" t="str">
        <f t="shared" si="11"/>
        <v/>
      </c>
      <c r="AE682" s="1271" t="str">
        <f t="shared" si="12"/>
        <v/>
      </c>
      <c r="AF682" s="1271" t="str">
        <f t="shared" si="13"/>
        <v/>
      </c>
      <c r="AG682" s="1271" t="str">
        <f t="shared" si="14"/>
        <v/>
      </c>
      <c r="AH682" s="1271" t="str">
        <f t="shared" si="15"/>
        <v/>
      </c>
      <c r="AI682" s="1271" t="str">
        <f t="shared" si="16"/>
        <v/>
      </c>
      <c r="AJ682" s="1271" t="str">
        <f t="shared" si="17"/>
        <v/>
      </c>
      <c r="AK682" s="1271" t="str">
        <f t="shared" si="18"/>
        <v/>
      </c>
      <c r="AL682" s="1271" t="str">
        <f t="shared" si="19"/>
        <v/>
      </c>
      <c r="AM682" s="1271" t="str">
        <f t="shared" si="20"/>
        <v/>
      </c>
      <c r="AN682" s="1271" t="str">
        <f t="shared" si="21"/>
        <v/>
      </c>
      <c r="AO682" s="1271" t="str">
        <f t="shared" si="22"/>
        <v/>
      </c>
      <c r="AP682" s="1271" t="str">
        <f t="shared" si="23"/>
        <v/>
      </c>
      <c r="AQ682" s="1271" t="str">
        <f t="shared" si="24"/>
        <v/>
      </c>
      <c r="AR682" s="1271" t="str">
        <f t="shared" si="25"/>
        <v/>
      </c>
      <c r="AS682" s="1271" t="str">
        <f t="shared" si="26"/>
        <v/>
      </c>
      <c r="AT682" s="1271" t="str">
        <f t="shared" si="27"/>
        <v/>
      </c>
      <c r="AU682" s="1271" t="str">
        <f t="shared" si="28"/>
        <v/>
      </c>
      <c r="AV682" s="1271" t="str">
        <f t="shared" si="29"/>
        <v/>
      </c>
      <c r="AW682" s="1271" t="str">
        <f t="shared" si="30"/>
        <v/>
      </c>
      <c r="AX682" s="1271" t="str">
        <f t="shared" si="31"/>
        <v/>
      </c>
      <c r="AY682" s="1271" t="str">
        <f t="shared" si="32"/>
        <v/>
      </c>
      <c r="AZ682" s="1271" t="str">
        <f t="shared" si="33"/>
        <v/>
      </c>
      <c r="BA682" s="1271" t="str">
        <f t="shared" si="34"/>
        <v/>
      </c>
      <c r="BB682" s="1271" t="str">
        <f t="shared" si="35"/>
        <v/>
      </c>
      <c r="BC682" s="1271" t="str">
        <f t="shared" si="36"/>
        <v/>
      </c>
      <c r="BD682" s="1271" t="str">
        <f t="shared" si="37"/>
        <v/>
      </c>
      <c r="BE682" s="1271" t="str">
        <f t="shared" si="38"/>
        <v/>
      </c>
      <c r="BF682" s="1271" t="str">
        <f t="shared" si="39"/>
        <v/>
      </c>
      <c r="BG682" s="1271" t="str">
        <f t="shared" si="40"/>
        <v/>
      </c>
      <c r="BH682" s="1271" t="str">
        <f t="shared" si="41"/>
        <v/>
      </c>
      <c r="BI682" s="1271" t="str">
        <f t="shared" si="42"/>
        <v/>
      </c>
      <c r="BJ682" s="1271" t="str">
        <f t="shared" si="43"/>
        <v/>
      </c>
      <c r="BK682" s="1271" t="str">
        <f t="shared" si="44"/>
        <v/>
      </c>
      <c r="BL682" s="1271" t="str">
        <f t="shared" si="45"/>
        <v/>
      </c>
      <c r="BM682" s="1271" t="str">
        <f t="shared" si="46"/>
        <v/>
      </c>
      <c r="BN682" s="1271" t="str">
        <f t="shared" si="47"/>
        <v/>
      </c>
      <c r="BO682" s="1271" t="str">
        <f t="shared" si="48"/>
        <v/>
      </c>
      <c r="BP682" s="1271" t="str">
        <f t="shared" si="49"/>
        <v/>
      </c>
      <c r="BQ682" s="1271" t="str">
        <f t="shared" si="50"/>
        <v/>
      </c>
      <c r="BR682" s="1271" t="str">
        <f t="shared" si="51"/>
        <v/>
      </c>
      <c r="BS682" s="1271" t="str">
        <f t="shared" si="52"/>
        <v/>
      </c>
      <c r="BT682" s="1271" t="str">
        <f t="shared" si="53"/>
        <v/>
      </c>
      <c r="BU682" s="1271" t="str">
        <f t="shared" si="54"/>
        <v/>
      </c>
      <c r="BV682" s="1271" t="str">
        <f t="shared" si="55"/>
        <v/>
      </c>
      <c r="BW682" s="1271" t="str">
        <f t="shared" si="56"/>
        <v/>
      </c>
      <c r="BX682" s="1271" t="str">
        <f t="shared" si="57"/>
        <v/>
      </c>
      <c r="BY682" s="1271" t="str">
        <f t="shared" si="58"/>
        <v/>
      </c>
      <c r="BZ682" s="1271" t="str">
        <f t="shared" si="59"/>
        <v/>
      </c>
      <c r="CA682" s="1271" t="str">
        <f t="shared" si="60"/>
        <v/>
      </c>
      <c r="CB682" s="1271" t="str">
        <f t="shared" si="61"/>
        <v/>
      </c>
      <c r="CC682" s="1271" t="str">
        <f t="shared" si="62"/>
        <v/>
      </c>
      <c r="CD682" s="1271" t="str">
        <f t="shared" si="63"/>
        <v/>
      </c>
      <c r="CE682" s="1271" t="str">
        <f t="shared" si="64"/>
        <v/>
      </c>
      <c r="CF682" s="1271" t="str">
        <f t="shared" si="65"/>
        <v/>
      </c>
      <c r="CG682" s="1271" t="str">
        <f t="shared" si="66"/>
        <v/>
      </c>
      <c r="CH682" s="1271" t="str">
        <f t="shared" si="67"/>
        <v/>
      </c>
      <c r="CI682" s="1271" t="str">
        <f t="shared" si="68"/>
        <v/>
      </c>
      <c r="CJ682" s="1271" t="str">
        <f t="shared" si="69"/>
        <v/>
      </c>
      <c r="CK682" s="1271" t="str">
        <f t="shared" si="70"/>
        <v/>
      </c>
      <c r="CL682" s="1271" t="str">
        <f t="shared" si="71"/>
        <v/>
      </c>
      <c r="CM682" s="1271" t="str">
        <f t="shared" si="72"/>
        <v/>
      </c>
      <c r="CN682" s="1271" t="str">
        <f t="shared" si="73"/>
        <v/>
      </c>
      <c r="CO682" s="1271" t="str">
        <f t="shared" si="74"/>
        <v/>
      </c>
      <c r="CP682" s="1271" t="str">
        <f t="shared" si="75"/>
        <v/>
      </c>
      <c r="CQ682" s="1271" t="str">
        <f t="shared" si="76"/>
        <v/>
      </c>
      <c r="CR682" s="1271" t="str">
        <f t="shared" si="77"/>
        <v/>
      </c>
      <c r="CS682" s="1271" t="str">
        <f t="shared" si="78"/>
        <v/>
      </c>
      <c r="CT682" s="1271" t="str">
        <f t="shared" si="79"/>
        <v/>
      </c>
      <c r="CU682" s="1271" t="str">
        <f t="shared" si="80"/>
        <v/>
      </c>
      <c r="CV682" s="1271" t="str">
        <f t="shared" si="81"/>
        <v/>
      </c>
      <c r="CW682" s="1271" t="str">
        <f t="shared" si="82"/>
        <v/>
      </c>
      <c r="CX682" s="1271" t="str">
        <f t="shared" si="83"/>
        <v/>
      </c>
      <c r="CY682" s="1271" t="str">
        <f t="shared" si="84"/>
        <v/>
      </c>
      <c r="CZ682" s="1271" t="str">
        <f t="shared" si="85"/>
        <v/>
      </c>
      <c r="DA682" s="1271" t="str">
        <f t="shared" si="86"/>
        <v/>
      </c>
      <c r="DB682" s="1271" t="str">
        <f t="shared" si="87"/>
        <v/>
      </c>
      <c r="DC682" s="1271" t="str">
        <f t="shared" si="88"/>
        <v/>
      </c>
      <c r="DD682" s="1271" t="str">
        <f t="shared" si="89"/>
        <v/>
      </c>
      <c r="DE682" s="1271" t="str">
        <f t="shared" si="90"/>
        <v/>
      </c>
      <c r="DF682" s="1271" t="str">
        <f t="shared" si="91"/>
        <v/>
      </c>
      <c r="DG682" s="1271" t="str">
        <f t="shared" si="92"/>
        <v/>
      </c>
      <c r="DH682" s="1271" t="str">
        <f t="shared" si="93"/>
        <v/>
      </c>
      <c r="DI682" s="1271" t="str">
        <f t="shared" si="94"/>
        <v/>
      </c>
      <c r="DJ682" s="1271" t="str">
        <f t="shared" si="95"/>
        <v/>
      </c>
      <c r="DK682" s="1271" t="str">
        <f t="shared" si="96"/>
        <v/>
      </c>
      <c r="DL682" s="1271" t="str">
        <f t="shared" si="97"/>
        <v/>
      </c>
      <c r="DM682" s="1271" t="str">
        <f t="shared" si="98"/>
        <v/>
      </c>
      <c r="DN682" s="1271" t="str">
        <f t="shared" si="99"/>
        <v/>
      </c>
      <c r="DO682" s="1271" t="str">
        <f t="shared" si="100"/>
        <v/>
      </c>
      <c r="DP682" s="1271" t="str">
        <f t="shared" si="101"/>
        <v/>
      </c>
      <c r="DQ682" s="1271" t="str">
        <f t="shared" si="102"/>
        <v/>
      </c>
      <c r="DR682" s="1271" t="str">
        <f t="shared" si="103"/>
        <v/>
      </c>
      <c r="DS682" s="1271" t="str">
        <f t="shared" si="104"/>
        <v/>
      </c>
      <c r="DT682" s="1271" t="str">
        <f t="shared" si="105"/>
        <v/>
      </c>
      <c r="DU682" s="1271" t="str">
        <f t="shared" si="106"/>
        <v/>
      </c>
      <c r="DV682" s="1271" t="str">
        <f t="shared" si="107"/>
        <v/>
      </c>
      <c r="DW682" s="1271" t="str">
        <f t="shared" si="108"/>
        <v/>
      </c>
      <c r="DX682" s="1271" t="str">
        <f t="shared" si="109"/>
        <v/>
      </c>
      <c r="DY682" s="1271" t="str">
        <f t="shared" si="110"/>
        <v/>
      </c>
      <c r="DZ682" s="1271" t="str">
        <f t="shared" si="111"/>
        <v/>
      </c>
      <c r="EA682" s="1271" t="str">
        <f t="shared" si="112"/>
        <v/>
      </c>
      <c r="EB682" s="1271" t="str">
        <f t="shared" si="113"/>
        <v/>
      </c>
      <c r="EC682" s="1271" t="str">
        <f t="shared" si="114"/>
        <v/>
      </c>
      <c r="ED682" s="1271" t="str">
        <f t="shared" si="115"/>
        <v/>
      </c>
      <c r="EE682" s="1271" t="str">
        <f t="shared" si="116"/>
        <v/>
      </c>
      <c r="EF682" s="1271" t="str">
        <f t="shared" si="117"/>
        <v/>
      </c>
      <c r="EG682" s="1271" t="str">
        <f t="shared" si="118"/>
        <v/>
      </c>
      <c r="EH682" s="1271" t="str">
        <f t="shared" si="119"/>
        <v/>
      </c>
      <c r="EI682" s="1271" t="str">
        <f t="shared" si="120"/>
        <v/>
      </c>
      <c r="EJ682" s="1271" t="str">
        <f t="shared" si="121"/>
        <v/>
      </c>
      <c r="EK682" s="1271" t="str">
        <f t="shared" si="122"/>
        <v/>
      </c>
      <c r="EL682" s="1271" t="str">
        <f t="shared" si="123"/>
        <v/>
      </c>
      <c r="EM682" s="1271" t="str">
        <f t="shared" si="124"/>
        <v/>
      </c>
      <c r="EN682" s="1271" t="str">
        <f t="shared" si="125"/>
        <v/>
      </c>
      <c r="EO682" s="1271" t="str">
        <f t="shared" si="126"/>
        <v/>
      </c>
      <c r="EP682" s="1271" t="str">
        <f t="shared" si="127"/>
        <v/>
      </c>
      <c r="EQ682" s="1271" t="str">
        <f t="shared" si="128"/>
        <v/>
      </c>
      <c r="ER682" s="1271" t="str">
        <f t="shared" si="129"/>
        <v/>
      </c>
      <c r="ES682" s="1271" t="str">
        <f t="shared" si="130"/>
        <v/>
      </c>
      <c r="ET682" s="1271" t="str">
        <f t="shared" si="131"/>
        <v/>
      </c>
      <c r="EU682" s="1271" t="str">
        <f t="shared" si="132"/>
        <v/>
      </c>
      <c r="EV682" s="1271" t="str">
        <f t="shared" si="133"/>
        <v/>
      </c>
      <c r="EW682" s="1519" t="str">
        <f t="shared" si="134"/>
        <v/>
      </c>
      <c r="EX682" s="1519" t="str">
        <f t="shared" si="135"/>
        <v/>
      </c>
      <c r="EY682" s="1519" t="str">
        <f t="shared" si="136"/>
        <v/>
      </c>
      <c r="EZ682" s="1519" t="str">
        <f t="shared" si="137"/>
        <v/>
      </c>
      <c r="FA682" s="1519" t="str">
        <f t="shared" si="138"/>
        <v/>
      </c>
      <c r="FB682" s="1519" t="str">
        <f t="shared" si="139"/>
        <v/>
      </c>
      <c r="FC682" s="1519" t="str">
        <f t="shared" si="140"/>
        <v/>
      </c>
      <c r="FD682" s="1519" t="str">
        <f t="shared" si="141"/>
        <v/>
      </c>
      <c r="FE682" s="1519" t="str">
        <f t="shared" si="142"/>
        <v/>
      </c>
      <c r="FF682" s="1519" t="str">
        <f t="shared" si="143"/>
        <v/>
      </c>
      <c r="FG682" s="1519" t="str">
        <f t="shared" si="144"/>
        <v/>
      </c>
      <c r="FH682" s="1519" t="str">
        <f t="shared" si="145"/>
        <v/>
      </c>
      <c r="FI682" s="1519" t="str">
        <f t="shared" si="146"/>
        <v/>
      </c>
      <c r="FJ682" s="1519" t="str">
        <f t="shared" si="147"/>
        <v/>
      </c>
      <c r="FK682" s="1519" t="str">
        <f t="shared" si="148"/>
        <v/>
      </c>
      <c r="FL682" s="1519" t="str">
        <f t="shared" si="149"/>
        <v/>
      </c>
      <c r="FM682" s="1519" t="str">
        <f t="shared" si="150"/>
        <v/>
      </c>
      <c r="FN682" s="1519" t="str">
        <f t="shared" si="151"/>
        <v/>
      </c>
      <c r="FO682" s="1519" t="str">
        <f t="shared" si="152"/>
        <v/>
      </c>
      <c r="FP682" s="1519" t="str">
        <f t="shared" si="153"/>
        <v/>
      </c>
      <c r="FQ682" s="1519" t="str">
        <f t="shared" si="154"/>
        <v/>
      </c>
      <c r="FR682" s="1519" t="str">
        <f t="shared" si="155"/>
        <v/>
      </c>
      <c r="FS682" s="1519" t="str">
        <f t="shared" si="156"/>
        <v/>
      </c>
      <c r="FT682" s="1519" t="str">
        <f t="shared" si="157"/>
        <v/>
      </c>
      <c r="FU682" s="1519" t="str">
        <f t="shared" si="158"/>
        <v/>
      </c>
      <c r="FV682" s="1519" t="str">
        <f t="shared" si="159"/>
        <v/>
      </c>
      <c r="FW682" s="1519" t="str">
        <f t="shared" si="160"/>
        <v/>
      </c>
      <c r="FX682" s="1519" t="str">
        <f t="shared" si="161"/>
        <v/>
      </c>
      <c r="FY682" s="1519" t="str">
        <f t="shared" si="162"/>
        <v/>
      </c>
      <c r="FZ682" s="1519" t="str">
        <f t="shared" si="163"/>
        <v/>
      </c>
      <c r="GA682" s="1519" t="str">
        <f t="shared" si="164"/>
        <v/>
      </c>
      <c r="GB682" s="1519" t="str">
        <f t="shared" si="165"/>
        <v/>
      </c>
      <c r="GC682" s="1519" t="str">
        <f t="shared" si="166"/>
        <v/>
      </c>
      <c r="GD682" s="1519" t="str">
        <f t="shared" si="167"/>
        <v/>
      </c>
      <c r="GE682" s="1519" t="str">
        <f t="shared" si="168"/>
        <v/>
      </c>
      <c r="GF682" s="1519" t="str">
        <f t="shared" si="169"/>
        <v/>
      </c>
      <c r="GG682" s="1519" t="str">
        <f t="shared" si="170"/>
        <v/>
      </c>
      <c r="GH682" s="1519" t="str">
        <f t="shared" si="171"/>
        <v/>
      </c>
      <c r="GI682" s="1519" t="str">
        <f t="shared" si="172"/>
        <v/>
      </c>
      <c r="GJ682" s="1519" t="str">
        <f t="shared" si="173"/>
        <v/>
      </c>
      <c r="GK682" s="1519" t="str">
        <f t="shared" si="174"/>
        <v/>
      </c>
      <c r="GL682" s="1519" t="str">
        <f t="shared" si="175"/>
        <v/>
      </c>
      <c r="GM682" s="1519" t="str">
        <f t="shared" si="176"/>
        <v/>
      </c>
      <c r="GN682" s="1519" t="str">
        <f t="shared" si="177"/>
        <v/>
      </c>
      <c r="GO682" s="1519" t="str">
        <f t="shared" si="178"/>
        <v/>
      </c>
      <c r="GP682" s="1519" t="str">
        <f t="shared" si="179"/>
        <v/>
      </c>
      <c r="GQ682" s="1519" t="str">
        <f t="shared" si="180"/>
        <v/>
      </c>
      <c r="GR682" s="1519" t="str">
        <f t="shared" si="181"/>
        <v/>
      </c>
      <c r="GS682" s="1519" t="str">
        <f t="shared" si="182"/>
        <v/>
      </c>
      <c r="GT682" s="1519" t="str">
        <f t="shared" si="183"/>
        <v/>
      </c>
      <c r="GU682" s="1519" t="str">
        <f t="shared" si="184"/>
        <v/>
      </c>
      <c r="GV682" s="1519" t="str">
        <f t="shared" si="185"/>
        <v/>
      </c>
      <c r="GW682" s="1519" t="str">
        <f t="shared" si="186"/>
        <v/>
      </c>
      <c r="GX682" s="1519" t="str">
        <f t="shared" si="187"/>
        <v/>
      </c>
      <c r="GY682" s="1519" t="str">
        <f t="shared" si="188"/>
        <v/>
      </c>
      <c r="GZ682" s="1519" t="str">
        <f t="shared" si="189"/>
        <v/>
      </c>
      <c r="HA682" s="1519" t="str">
        <f t="shared" si="190"/>
        <v/>
      </c>
      <c r="HB682" s="1519" t="str">
        <f t="shared" si="191"/>
        <v/>
      </c>
      <c r="HC682" s="1519" t="str">
        <f t="shared" si="192"/>
        <v/>
      </c>
      <c r="HD682" s="1519" t="str">
        <f t="shared" si="193"/>
        <v/>
      </c>
      <c r="HE682" s="1519" t="str">
        <f t="shared" si="194"/>
        <v/>
      </c>
      <c r="HF682" s="1519" t="str">
        <f t="shared" si="195"/>
        <v/>
      </c>
      <c r="HG682" s="1519" t="str">
        <f t="shared" si="196"/>
        <v/>
      </c>
      <c r="HH682" s="1519" t="str">
        <f t="shared" si="197"/>
        <v/>
      </c>
      <c r="HI682" s="1519" t="str">
        <f t="shared" si="198"/>
        <v/>
      </c>
      <c r="HJ682" s="1519" t="str">
        <f t="shared" si="199"/>
        <v/>
      </c>
      <c r="HK682" s="1519" t="str">
        <f t="shared" si="200"/>
        <v/>
      </c>
      <c r="HL682" s="1519" t="str">
        <f t="shared" si="201"/>
        <v/>
      </c>
      <c r="HM682" s="1519" t="str">
        <f t="shared" si="202"/>
        <v/>
      </c>
      <c r="HN682" s="1519" t="str">
        <f t="shared" si="203"/>
        <v/>
      </c>
      <c r="HO682" s="1519" t="str">
        <f t="shared" si="204"/>
        <v/>
      </c>
      <c r="HP682" s="1519" t="str">
        <f t="shared" si="205"/>
        <v/>
      </c>
      <c r="HQ682" s="1519" t="str">
        <f t="shared" si="206"/>
        <v/>
      </c>
      <c r="HR682" s="1519" t="str">
        <f t="shared" si="207"/>
        <v/>
      </c>
      <c r="HS682" s="1519" t="str">
        <f t="shared" si="208"/>
        <v/>
      </c>
      <c r="HT682" s="1519" t="str">
        <f t="shared" si="209"/>
        <v/>
      </c>
      <c r="HU682" s="1519" t="str">
        <f t="shared" si="210"/>
        <v/>
      </c>
      <c r="HV682" s="1519" t="str">
        <f t="shared" si="211"/>
        <v/>
      </c>
      <c r="HW682" s="1519" t="str">
        <f t="shared" si="212"/>
        <v/>
      </c>
      <c r="HX682" s="1519" t="str">
        <f t="shared" si="213"/>
        <v/>
      </c>
      <c r="HY682" s="1519" t="str">
        <f t="shared" si="214"/>
        <v/>
      </c>
      <c r="HZ682" s="1519" t="str">
        <f t="shared" si="215"/>
        <v/>
      </c>
      <c r="IA682" s="1519" t="str">
        <f t="shared" si="216"/>
        <v/>
      </c>
      <c r="IB682" s="1519" t="str">
        <f t="shared" si="217"/>
        <v/>
      </c>
      <c r="IC682" s="1519" t="str">
        <f t="shared" si="218"/>
        <v/>
      </c>
      <c r="ID682" s="1520" t="str">
        <f t="shared" si="219"/>
        <v/>
      </c>
      <c r="IE682" s="1520" t="str">
        <f t="shared" si="220"/>
        <v/>
      </c>
      <c r="IF682" s="1520" t="str">
        <f t="shared" si="221"/>
        <v/>
      </c>
      <c r="IG682" s="1520" t="str">
        <f t="shared" si="222"/>
        <v/>
      </c>
      <c r="IH682" s="1520" t="str">
        <f t="shared" si="223"/>
        <v/>
      </c>
      <c r="II682" s="1271" t="str">
        <f t="shared" si="224"/>
        <v/>
      </c>
      <c r="IJ682" s="1271" t="str">
        <f t="shared" si="225"/>
        <v/>
      </c>
      <c r="IK682" s="1271" t="str">
        <f t="shared" si="226"/>
        <v/>
      </c>
      <c r="IL682" s="1271" t="str">
        <f t="shared" si="227"/>
        <v/>
      </c>
      <c r="IM682" s="1271" t="str">
        <f t="shared" si="228"/>
        <v/>
      </c>
      <c r="IN682" s="1271" t="str">
        <f t="shared" si="229"/>
        <v/>
      </c>
      <c r="IO682" s="1271" t="str">
        <f t="shared" si="230"/>
        <v/>
      </c>
      <c r="IP682" s="1271" t="str">
        <f t="shared" si="231"/>
        <v/>
      </c>
      <c r="IQ682" s="1271" t="str">
        <f t="shared" si="232"/>
        <v/>
      </c>
      <c r="IR682" s="1271" t="str">
        <f t="shared" si="233"/>
        <v/>
      </c>
      <c r="IS682" s="1271" t="str">
        <f t="shared" si="234"/>
        <v/>
      </c>
      <c r="IT682" s="1271" t="str">
        <f t="shared" si="235"/>
        <v/>
      </c>
      <c r="IU682" s="1271" t="str">
        <f t="shared" si="236"/>
        <v/>
      </c>
      <c r="IV682" s="1271" t="str">
        <f t="shared" si="237"/>
        <v/>
      </c>
      <c r="IW682" s="1271" t="str">
        <f t="shared" si="238"/>
        <v/>
      </c>
      <c r="IX682" s="1271" t="str">
        <f t="shared" si="239"/>
        <v/>
      </c>
      <c r="IY682" s="1271" t="str">
        <f t="shared" si="240"/>
        <v/>
      </c>
      <c r="IZ682" s="1271" t="str">
        <f t="shared" si="241"/>
        <v/>
      </c>
      <c r="JA682" s="1271" t="str">
        <f t="shared" si="242"/>
        <v/>
      </c>
      <c r="JB682" s="1271" t="str">
        <f t="shared" si="243"/>
        <v/>
      </c>
      <c r="JC682" s="1518">
        <f t="shared" si="244"/>
        <v>0</v>
      </c>
      <c r="JD682" s="1518">
        <f t="shared" si="245"/>
        <v>0</v>
      </c>
      <c r="JE682" s="1518">
        <f t="shared" si="246"/>
        <v>0</v>
      </c>
      <c r="JF682" s="1518">
        <f t="shared" si="247"/>
        <v>0</v>
      </c>
      <c r="JG682" s="1518">
        <f t="shared" si="248"/>
        <v>0</v>
      </c>
      <c r="JH682" s="1518">
        <f t="shared" si="249"/>
        <v>0</v>
      </c>
      <c r="JI682" s="1518">
        <f t="shared" si="250"/>
        <v>0</v>
      </c>
      <c r="JJ682" s="1518">
        <f t="shared" si="251"/>
        <v>0</v>
      </c>
      <c r="JK682" s="1518">
        <f t="shared" si="252"/>
        <v>0</v>
      </c>
      <c r="JL682" s="1518">
        <f t="shared" si="253"/>
        <v>0</v>
      </c>
      <c r="JM682" s="1518">
        <f t="shared" si="254"/>
        <v>0</v>
      </c>
      <c r="JN682" s="1518">
        <f t="shared" si="255"/>
        <v>0</v>
      </c>
      <c r="JO682" s="1518">
        <f t="shared" si="256"/>
        <v>0</v>
      </c>
      <c r="JP682" s="1518">
        <f t="shared" si="257"/>
        <v>0</v>
      </c>
      <c r="JQ682" s="1518">
        <f t="shared" si="258"/>
        <v>0</v>
      </c>
    </row>
    <row r="683" spans="1:277" ht="12" customHeight="1">
      <c r="A683" s="1687" t="str">
        <f t="shared" si="1"/>
        <v/>
      </c>
      <c r="B683" s="1702" t="str">
        <f>'Part VI-Revenues &amp; Expenses'!B22</f>
        <v>&lt;&lt;Select&gt;&gt;</v>
      </c>
      <c r="C683" s="1703">
        <f>'Part VI-Revenues &amp; Expenses'!C22</f>
        <v>0</v>
      </c>
      <c r="D683" s="1704">
        <f>'Part VI-Revenues &amp; Expenses'!D22</f>
        <v>0</v>
      </c>
      <c r="E683" s="1705">
        <f>'Part VI-Revenues &amp; Expenses'!E22</f>
        <v>0</v>
      </c>
      <c r="F683" s="1705">
        <f>'Part VI-Revenues &amp; Expenses'!F22</f>
        <v>0</v>
      </c>
      <c r="G683" s="1705">
        <f>'Part VI-Revenues &amp; Expenses'!G22</f>
        <v>0</v>
      </c>
      <c r="H683" s="1705">
        <f>'Part VI-Revenues &amp; Expenses'!H22</f>
        <v>0</v>
      </c>
      <c r="I683" s="1705">
        <f>'Part VI-Revenues &amp; Expenses'!I22</f>
        <v>0</v>
      </c>
      <c r="J683" s="1706">
        <f>'Part VI-Revenues &amp; Expenses'!J22</f>
        <v>0</v>
      </c>
      <c r="K683" s="1707">
        <f t="shared" si="2"/>
        <v>0</v>
      </c>
      <c r="L683" s="1707">
        <f t="shared" si="3"/>
        <v>0</v>
      </c>
      <c r="M683" s="1708">
        <f>'Part VI-Revenues &amp; Expenses'!M22</f>
        <v>0</v>
      </c>
      <c r="N683" s="1708">
        <f>'Part VI-Revenues &amp; Expenses'!N22</f>
        <v>0</v>
      </c>
      <c r="O683" s="1708">
        <f>'Part VI-Revenues &amp; Expenses'!O22</f>
        <v>0</v>
      </c>
      <c r="P683" s="1515">
        <f>'Part VI-Revenues &amp; Expenses'!P22</f>
        <v>0</v>
      </c>
      <c r="Q683" s="1709" t="str">
        <f>'Part VI-Revenues &amp; Expenses'!Q22</f>
        <v/>
      </c>
      <c r="R683" s="1710" t="str">
        <f>'Part VI-Revenues &amp; Expenses'!R22</f>
        <v/>
      </c>
      <c r="S683" s="1709">
        <f>'Part VI-Revenues &amp; Expenses'!S22</f>
        <v>0</v>
      </c>
      <c r="T683" s="1710">
        <f>'Part VI-Revenues &amp; Expenses'!T22</f>
        <v>0</v>
      </c>
      <c r="U683" s="1629"/>
      <c r="V683" s="1629"/>
      <c r="W683" s="1271" t="str">
        <f t="shared" si="4"/>
        <v/>
      </c>
      <c r="X683" s="1271" t="str">
        <f t="shared" si="5"/>
        <v/>
      </c>
      <c r="Y683" s="1271" t="str">
        <f t="shared" si="6"/>
        <v/>
      </c>
      <c r="Z683" s="1271" t="str">
        <f t="shared" si="7"/>
        <v/>
      </c>
      <c r="AA683" s="1271" t="str">
        <f t="shared" si="8"/>
        <v/>
      </c>
      <c r="AB683" s="1271" t="str">
        <f t="shared" si="9"/>
        <v/>
      </c>
      <c r="AC683" s="1271" t="str">
        <f t="shared" si="10"/>
        <v/>
      </c>
      <c r="AD683" s="1271" t="str">
        <f t="shared" si="11"/>
        <v/>
      </c>
      <c r="AE683" s="1271" t="str">
        <f t="shared" si="12"/>
        <v/>
      </c>
      <c r="AF683" s="1271" t="str">
        <f t="shared" si="13"/>
        <v/>
      </c>
      <c r="AG683" s="1271" t="str">
        <f t="shared" si="14"/>
        <v/>
      </c>
      <c r="AH683" s="1271" t="str">
        <f t="shared" si="15"/>
        <v/>
      </c>
      <c r="AI683" s="1271" t="str">
        <f t="shared" si="16"/>
        <v/>
      </c>
      <c r="AJ683" s="1271" t="str">
        <f t="shared" si="17"/>
        <v/>
      </c>
      <c r="AK683" s="1271" t="str">
        <f t="shared" si="18"/>
        <v/>
      </c>
      <c r="AL683" s="1271" t="str">
        <f t="shared" si="19"/>
        <v/>
      </c>
      <c r="AM683" s="1271" t="str">
        <f t="shared" si="20"/>
        <v/>
      </c>
      <c r="AN683" s="1271" t="str">
        <f t="shared" si="21"/>
        <v/>
      </c>
      <c r="AO683" s="1271" t="str">
        <f t="shared" si="22"/>
        <v/>
      </c>
      <c r="AP683" s="1271" t="str">
        <f t="shared" si="23"/>
        <v/>
      </c>
      <c r="AQ683" s="1271" t="str">
        <f t="shared" si="24"/>
        <v/>
      </c>
      <c r="AR683" s="1271" t="str">
        <f t="shared" si="25"/>
        <v/>
      </c>
      <c r="AS683" s="1271" t="str">
        <f t="shared" si="26"/>
        <v/>
      </c>
      <c r="AT683" s="1271" t="str">
        <f t="shared" si="27"/>
        <v/>
      </c>
      <c r="AU683" s="1271" t="str">
        <f t="shared" si="28"/>
        <v/>
      </c>
      <c r="AV683" s="1271" t="str">
        <f t="shared" si="29"/>
        <v/>
      </c>
      <c r="AW683" s="1271" t="str">
        <f t="shared" si="30"/>
        <v/>
      </c>
      <c r="AX683" s="1271" t="str">
        <f t="shared" si="31"/>
        <v/>
      </c>
      <c r="AY683" s="1271" t="str">
        <f t="shared" si="32"/>
        <v/>
      </c>
      <c r="AZ683" s="1271" t="str">
        <f t="shared" si="33"/>
        <v/>
      </c>
      <c r="BA683" s="1271" t="str">
        <f t="shared" si="34"/>
        <v/>
      </c>
      <c r="BB683" s="1271" t="str">
        <f t="shared" si="35"/>
        <v/>
      </c>
      <c r="BC683" s="1271" t="str">
        <f t="shared" si="36"/>
        <v/>
      </c>
      <c r="BD683" s="1271" t="str">
        <f t="shared" si="37"/>
        <v/>
      </c>
      <c r="BE683" s="1271" t="str">
        <f t="shared" si="38"/>
        <v/>
      </c>
      <c r="BF683" s="1271" t="str">
        <f t="shared" si="39"/>
        <v/>
      </c>
      <c r="BG683" s="1271" t="str">
        <f t="shared" si="40"/>
        <v/>
      </c>
      <c r="BH683" s="1271" t="str">
        <f t="shared" si="41"/>
        <v/>
      </c>
      <c r="BI683" s="1271" t="str">
        <f t="shared" si="42"/>
        <v/>
      </c>
      <c r="BJ683" s="1271" t="str">
        <f t="shared" si="43"/>
        <v/>
      </c>
      <c r="BK683" s="1271" t="str">
        <f t="shared" si="44"/>
        <v/>
      </c>
      <c r="BL683" s="1271" t="str">
        <f t="shared" si="45"/>
        <v/>
      </c>
      <c r="BM683" s="1271" t="str">
        <f t="shared" si="46"/>
        <v/>
      </c>
      <c r="BN683" s="1271" t="str">
        <f t="shared" si="47"/>
        <v/>
      </c>
      <c r="BO683" s="1271" t="str">
        <f t="shared" si="48"/>
        <v/>
      </c>
      <c r="BP683" s="1271" t="str">
        <f t="shared" si="49"/>
        <v/>
      </c>
      <c r="BQ683" s="1271" t="str">
        <f t="shared" si="50"/>
        <v/>
      </c>
      <c r="BR683" s="1271" t="str">
        <f t="shared" si="51"/>
        <v/>
      </c>
      <c r="BS683" s="1271" t="str">
        <f t="shared" si="52"/>
        <v/>
      </c>
      <c r="BT683" s="1271" t="str">
        <f t="shared" si="53"/>
        <v/>
      </c>
      <c r="BU683" s="1271" t="str">
        <f t="shared" si="54"/>
        <v/>
      </c>
      <c r="BV683" s="1271" t="str">
        <f t="shared" si="55"/>
        <v/>
      </c>
      <c r="BW683" s="1271" t="str">
        <f t="shared" si="56"/>
        <v/>
      </c>
      <c r="BX683" s="1271" t="str">
        <f t="shared" si="57"/>
        <v/>
      </c>
      <c r="BY683" s="1271" t="str">
        <f t="shared" si="58"/>
        <v/>
      </c>
      <c r="BZ683" s="1271" t="str">
        <f t="shared" si="59"/>
        <v/>
      </c>
      <c r="CA683" s="1271" t="str">
        <f t="shared" si="60"/>
        <v/>
      </c>
      <c r="CB683" s="1271" t="str">
        <f t="shared" si="61"/>
        <v/>
      </c>
      <c r="CC683" s="1271" t="str">
        <f t="shared" si="62"/>
        <v/>
      </c>
      <c r="CD683" s="1271" t="str">
        <f t="shared" si="63"/>
        <v/>
      </c>
      <c r="CE683" s="1271" t="str">
        <f t="shared" si="64"/>
        <v/>
      </c>
      <c r="CF683" s="1271" t="str">
        <f t="shared" si="65"/>
        <v/>
      </c>
      <c r="CG683" s="1271" t="str">
        <f t="shared" si="66"/>
        <v/>
      </c>
      <c r="CH683" s="1271" t="str">
        <f t="shared" si="67"/>
        <v/>
      </c>
      <c r="CI683" s="1271" t="str">
        <f t="shared" si="68"/>
        <v/>
      </c>
      <c r="CJ683" s="1271" t="str">
        <f t="shared" si="69"/>
        <v/>
      </c>
      <c r="CK683" s="1271" t="str">
        <f t="shared" si="70"/>
        <v/>
      </c>
      <c r="CL683" s="1271" t="str">
        <f t="shared" si="71"/>
        <v/>
      </c>
      <c r="CM683" s="1271" t="str">
        <f t="shared" si="72"/>
        <v/>
      </c>
      <c r="CN683" s="1271" t="str">
        <f t="shared" si="73"/>
        <v/>
      </c>
      <c r="CO683" s="1271" t="str">
        <f t="shared" si="74"/>
        <v/>
      </c>
      <c r="CP683" s="1271" t="str">
        <f t="shared" si="75"/>
        <v/>
      </c>
      <c r="CQ683" s="1271" t="str">
        <f t="shared" si="76"/>
        <v/>
      </c>
      <c r="CR683" s="1271" t="str">
        <f t="shared" si="77"/>
        <v/>
      </c>
      <c r="CS683" s="1271" t="str">
        <f t="shared" si="78"/>
        <v/>
      </c>
      <c r="CT683" s="1271" t="str">
        <f t="shared" si="79"/>
        <v/>
      </c>
      <c r="CU683" s="1271" t="str">
        <f t="shared" si="80"/>
        <v/>
      </c>
      <c r="CV683" s="1271" t="str">
        <f t="shared" si="81"/>
        <v/>
      </c>
      <c r="CW683" s="1271" t="str">
        <f t="shared" si="82"/>
        <v/>
      </c>
      <c r="CX683" s="1271" t="str">
        <f t="shared" si="83"/>
        <v/>
      </c>
      <c r="CY683" s="1271" t="str">
        <f t="shared" si="84"/>
        <v/>
      </c>
      <c r="CZ683" s="1271" t="str">
        <f t="shared" si="85"/>
        <v/>
      </c>
      <c r="DA683" s="1271" t="str">
        <f t="shared" si="86"/>
        <v/>
      </c>
      <c r="DB683" s="1271" t="str">
        <f t="shared" si="87"/>
        <v/>
      </c>
      <c r="DC683" s="1271" t="str">
        <f t="shared" si="88"/>
        <v/>
      </c>
      <c r="DD683" s="1271" t="str">
        <f t="shared" si="89"/>
        <v/>
      </c>
      <c r="DE683" s="1271" t="str">
        <f t="shared" si="90"/>
        <v/>
      </c>
      <c r="DF683" s="1271" t="str">
        <f t="shared" si="91"/>
        <v/>
      </c>
      <c r="DG683" s="1271" t="str">
        <f t="shared" si="92"/>
        <v/>
      </c>
      <c r="DH683" s="1271" t="str">
        <f t="shared" si="93"/>
        <v/>
      </c>
      <c r="DI683" s="1271" t="str">
        <f t="shared" si="94"/>
        <v/>
      </c>
      <c r="DJ683" s="1271" t="str">
        <f t="shared" si="95"/>
        <v/>
      </c>
      <c r="DK683" s="1271" t="str">
        <f t="shared" si="96"/>
        <v/>
      </c>
      <c r="DL683" s="1271" t="str">
        <f t="shared" si="97"/>
        <v/>
      </c>
      <c r="DM683" s="1271" t="str">
        <f t="shared" si="98"/>
        <v/>
      </c>
      <c r="DN683" s="1271" t="str">
        <f t="shared" si="99"/>
        <v/>
      </c>
      <c r="DO683" s="1271" t="str">
        <f t="shared" si="100"/>
        <v/>
      </c>
      <c r="DP683" s="1271" t="str">
        <f t="shared" si="101"/>
        <v/>
      </c>
      <c r="DQ683" s="1271" t="str">
        <f t="shared" si="102"/>
        <v/>
      </c>
      <c r="DR683" s="1271" t="str">
        <f t="shared" si="103"/>
        <v/>
      </c>
      <c r="DS683" s="1271" t="str">
        <f t="shared" si="104"/>
        <v/>
      </c>
      <c r="DT683" s="1271" t="str">
        <f t="shared" si="105"/>
        <v/>
      </c>
      <c r="DU683" s="1271" t="str">
        <f t="shared" si="106"/>
        <v/>
      </c>
      <c r="DV683" s="1271" t="str">
        <f t="shared" si="107"/>
        <v/>
      </c>
      <c r="DW683" s="1271" t="str">
        <f t="shared" si="108"/>
        <v/>
      </c>
      <c r="DX683" s="1271" t="str">
        <f t="shared" si="109"/>
        <v/>
      </c>
      <c r="DY683" s="1271" t="str">
        <f t="shared" si="110"/>
        <v/>
      </c>
      <c r="DZ683" s="1271" t="str">
        <f t="shared" si="111"/>
        <v/>
      </c>
      <c r="EA683" s="1271" t="str">
        <f t="shared" si="112"/>
        <v/>
      </c>
      <c r="EB683" s="1271" t="str">
        <f t="shared" si="113"/>
        <v/>
      </c>
      <c r="EC683" s="1271" t="str">
        <f t="shared" si="114"/>
        <v/>
      </c>
      <c r="ED683" s="1271" t="str">
        <f t="shared" si="115"/>
        <v/>
      </c>
      <c r="EE683" s="1271" t="str">
        <f t="shared" si="116"/>
        <v/>
      </c>
      <c r="EF683" s="1271" t="str">
        <f t="shared" si="117"/>
        <v/>
      </c>
      <c r="EG683" s="1271" t="str">
        <f t="shared" si="118"/>
        <v/>
      </c>
      <c r="EH683" s="1271" t="str">
        <f t="shared" si="119"/>
        <v/>
      </c>
      <c r="EI683" s="1271" t="str">
        <f t="shared" si="120"/>
        <v/>
      </c>
      <c r="EJ683" s="1271" t="str">
        <f t="shared" si="121"/>
        <v/>
      </c>
      <c r="EK683" s="1271" t="str">
        <f t="shared" si="122"/>
        <v/>
      </c>
      <c r="EL683" s="1271" t="str">
        <f t="shared" si="123"/>
        <v/>
      </c>
      <c r="EM683" s="1271" t="str">
        <f t="shared" si="124"/>
        <v/>
      </c>
      <c r="EN683" s="1271" t="str">
        <f t="shared" si="125"/>
        <v/>
      </c>
      <c r="EO683" s="1271" t="str">
        <f t="shared" si="126"/>
        <v/>
      </c>
      <c r="EP683" s="1271" t="str">
        <f t="shared" si="127"/>
        <v/>
      </c>
      <c r="EQ683" s="1271" t="str">
        <f t="shared" si="128"/>
        <v/>
      </c>
      <c r="ER683" s="1271" t="str">
        <f t="shared" si="129"/>
        <v/>
      </c>
      <c r="ES683" s="1271" t="str">
        <f t="shared" si="130"/>
        <v/>
      </c>
      <c r="ET683" s="1271" t="str">
        <f t="shared" si="131"/>
        <v/>
      </c>
      <c r="EU683" s="1271" t="str">
        <f t="shared" si="132"/>
        <v/>
      </c>
      <c r="EV683" s="1271" t="str">
        <f t="shared" si="133"/>
        <v/>
      </c>
      <c r="EW683" s="1519" t="str">
        <f t="shared" si="134"/>
        <v/>
      </c>
      <c r="EX683" s="1519" t="str">
        <f t="shared" si="135"/>
        <v/>
      </c>
      <c r="EY683" s="1519" t="str">
        <f t="shared" si="136"/>
        <v/>
      </c>
      <c r="EZ683" s="1519" t="str">
        <f t="shared" si="137"/>
        <v/>
      </c>
      <c r="FA683" s="1519" t="str">
        <f t="shared" si="138"/>
        <v/>
      </c>
      <c r="FB683" s="1519" t="str">
        <f t="shared" si="139"/>
        <v/>
      </c>
      <c r="FC683" s="1519" t="str">
        <f t="shared" si="140"/>
        <v/>
      </c>
      <c r="FD683" s="1519" t="str">
        <f t="shared" si="141"/>
        <v/>
      </c>
      <c r="FE683" s="1519" t="str">
        <f t="shared" si="142"/>
        <v/>
      </c>
      <c r="FF683" s="1519" t="str">
        <f t="shared" si="143"/>
        <v/>
      </c>
      <c r="FG683" s="1519" t="str">
        <f t="shared" si="144"/>
        <v/>
      </c>
      <c r="FH683" s="1519" t="str">
        <f t="shared" si="145"/>
        <v/>
      </c>
      <c r="FI683" s="1519" t="str">
        <f t="shared" si="146"/>
        <v/>
      </c>
      <c r="FJ683" s="1519" t="str">
        <f t="shared" si="147"/>
        <v/>
      </c>
      <c r="FK683" s="1519" t="str">
        <f t="shared" si="148"/>
        <v/>
      </c>
      <c r="FL683" s="1519" t="str">
        <f t="shared" si="149"/>
        <v/>
      </c>
      <c r="FM683" s="1519" t="str">
        <f t="shared" si="150"/>
        <v/>
      </c>
      <c r="FN683" s="1519" t="str">
        <f t="shared" si="151"/>
        <v/>
      </c>
      <c r="FO683" s="1519" t="str">
        <f t="shared" si="152"/>
        <v/>
      </c>
      <c r="FP683" s="1519" t="str">
        <f t="shared" si="153"/>
        <v/>
      </c>
      <c r="FQ683" s="1519" t="str">
        <f t="shared" si="154"/>
        <v/>
      </c>
      <c r="FR683" s="1519" t="str">
        <f t="shared" si="155"/>
        <v/>
      </c>
      <c r="FS683" s="1519" t="str">
        <f t="shared" si="156"/>
        <v/>
      </c>
      <c r="FT683" s="1519" t="str">
        <f t="shared" si="157"/>
        <v/>
      </c>
      <c r="FU683" s="1519" t="str">
        <f t="shared" si="158"/>
        <v/>
      </c>
      <c r="FV683" s="1519" t="str">
        <f t="shared" si="159"/>
        <v/>
      </c>
      <c r="FW683" s="1519" t="str">
        <f t="shared" si="160"/>
        <v/>
      </c>
      <c r="FX683" s="1519" t="str">
        <f t="shared" si="161"/>
        <v/>
      </c>
      <c r="FY683" s="1519" t="str">
        <f t="shared" si="162"/>
        <v/>
      </c>
      <c r="FZ683" s="1519" t="str">
        <f t="shared" si="163"/>
        <v/>
      </c>
      <c r="GA683" s="1519" t="str">
        <f t="shared" si="164"/>
        <v/>
      </c>
      <c r="GB683" s="1519" t="str">
        <f t="shared" si="165"/>
        <v/>
      </c>
      <c r="GC683" s="1519" t="str">
        <f t="shared" si="166"/>
        <v/>
      </c>
      <c r="GD683" s="1519" t="str">
        <f t="shared" si="167"/>
        <v/>
      </c>
      <c r="GE683" s="1519" t="str">
        <f t="shared" si="168"/>
        <v/>
      </c>
      <c r="GF683" s="1519" t="str">
        <f t="shared" si="169"/>
        <v/>
      </c>
      <c r="GG683" s="1519" t="str">
        <f t="shared" si="170"/>
        <v/>
      </c>
      <c r="GH683" s="1519" t="str">
        <f t="shared" si="171"/>
        <v/>
      </c>
      <c r="GI683" s="1519" t="str">
        <f t="shared" si="172"/>
        <v/>
      </c>
      <c r="GJ683" s="1519" t="str">
        <f t="shared" si="173"/>
        <v/>
      </c>
      <c r="GK683" s="1519" t="str">
        <f t="shared" si="174"/>
        <v/>
      </c>
      <c r="GL683" s="1519" t="str">
        <f t="shared" si="175"/>
        <v/>
      </c>
      <c r="GM683" s="1519" t="str">
        <f t="shared" si="176"/>
        <v/>
      </c>
      <c r="GN683" s="1519" t="str">
        <f t="shared" si="177"/>
        <v/>
      </c>
      <c r="GO683" s="1519" t="str">
        <f t="shared" si="178"/>
        <v/>
      </c>
      <c r="GP683" s="1519" t="str">
        <f t="shared" si="179"/>
        <v/>
      </c>
      <c r="GQ683" s="1519" t="str">
        <f t="shared" si="180"/>
        <v/>
      </c>
      <c r="GR683" s="1519" t="str">
        <f t="shared" si="181"/>
        <v/>
      </c>
      <c r="GS683" s="1519" t="str">
        <f t="shared" si="182"/>
        <v/>
      </c>
      <c r="GT683" s="1519" t="str">
        <f t="shared" si="183"/>
        <v/>
      </c>
      <c r="GU683" s="1519" t="str">
        <f t="shared" si="184"/>
        <v/>
      </c>
      <c r="GV683" s="1519" t="str">
        <f t="shared" si="185"/>
        <v/>
      </c>
      <c r="GW683" s="1519" t="str">
        <f t="shared" si="186"/>
        <v/>
      </c>
      <c r="GX683" s="1519" t="str">
        <f t="shared" si="187"/>
        <v/>
      </c>
      <c r="GY683" s="1519" t="str">
        <f t="shared" si="188"/>
        <v/>
      </c>
      <c r="GZ683" s="1519" t="str">
        <f t="shared" si="189"/>
        <v/>
      </c>
      <c r="HA683" s="1519" t="str">
        <f t="shared" si="190"/>
        <v/>
      </c>
      <c r="HB683" s="1519" t="str">
        <f t="shared" si="191"/>
        <v/>
      </c>
      <c r="HC683" s="1519" t="str">
        <f t="shared" si="192"/>
        <v/>
      </c>
      <c r="HD683" s="1519" t="str">
        <f t="shared" si="193"/>
        <v/>
      </c>
      <c r="HE683" s="1519" t="str">
        <f t="shared" si="194"/>
        <v/>
      </c>
      <c r="HF683" s="1519" t="str">
        <f t="shared" si="195"/>
        <v/>
      </c>
      <c r="HG683" s="1519" t="str">
        <f t="shared" si="196"/>
        <v/>
      </c>
      <c r="HH683" s="1519" t="str">
        <f t="shared" si="197"/>
        <v/>
      </c>
      <c r="HI683" s="1519" t="str">
        <f t="shared" si="198"/>
        <v/>
      </c>
      <c r="HJ683" s="1519" t="str">
        <f t="shared" si="199"/>
        <v/>
      </c>
      <c r="HK683" s="1519" t="str">
        <f t="shared" si="200"/>
        <v/>
      </c>
      <c r="HL683" s="1519" t="str">
        <f t="shared" si="201"/>
        <v/>
      </c>
      <c r="HM683" s="1519" t="str">
        <f t="shared" si="202"/>
        <v/>
      </c>
      <c r="HN683" s="1519" t="str">
        <f t="shared" si="203"/>
        <v/>
      </c>
      <c r="HO683" s="1519" t="str">
        <f t="shared" si="204"/>
        <v/>
      </c>
      <c r="HP683" s="1519" t="str">
        <f t="shared" si="205"/>
        <v/>
      </c>
      <c r="HQ683" s="1519" t="str">
        <f t="shared" si="206"/>
        <v/>
      </c>
      <c r="HR683" s="1519" t="str">
        <f t="shared" si="207"/>
        <v/>
      </c>
      <c r="HS683" s="1519" t="str">
        <f t="shared" si="208"/>
        <v/>
      </c>
      <c r="HT683" s="1519" t="str">
        <f t="shared" si="209"/>
        <v/>
      </c>
      <c r="HU683" s="1519" t="str">
        <f t="shared" si="210"/>
        <v/>
      </c>
      <c r="HV683" s="1519" t="str">
        <f t="shared" si="211"/>
        <v/>
      </c>
      <c r="HW683" s="1519" t="str">
        <f t="shared" si="212"/>
        <v/>
      </c>
      <c r="HX683" s="1519" t="str">
        <f t="shared" si="213"/>
        <v/>
      </c>
      <c r="HY683" s="1519" t="str">
        <f t="shared" si="214"/>
        <v/>
      </c>
      <c r="HZ683" s="1519" t="str">
        <f t="shared" si="215"/>
        <v/>
      </c>
      <c r="IA683" s="1519" t="str">
        <f t="shared" si="216"/>
        <v/>
      </c>
      <c r="IB683" s="1519" t="str">
        <f t="shared" si="217"/>
        <v/>
      </c>
      <c r="IC683" s="1519" t="str">
        <f t="shared" si="218"/>
        <v/>
      </c>
      <c r="ID683" s="1520" t="str">
        <f t="shared" si="219"/>
        <v/>
      </c>
      <c r="IE683" s="1520" t="str">
        <f t="shared" si="220"/>
        <v/>
      </c>
      <c r="IF683" s="1520" t="str">
        <f t="shared" si="221"/>
        <v/>
      </c>
      <c r="IG683" s="1520" t="str">
        <f t="shared" si="222"/>
        <v/>
      </c>
      <c r="IH683" s="1520" t="str">
        <f t="shared" si="223"/>
        <v/>
      </c>
      <c r="II683" s="1271" t="str">
        <f t="shared" si="224"/>
        <v/>
      </c>
      <c r="IJ683" s="1271" t="str">
        <f t="shared" si="225"/>
        <v/>
      </c>
      <c r="IK683" s="1271" t="str">
        <f t="shared" si="226"/>
        <v/>
      </c>
      <c r="IL683" s="1271" t="str">
        <f t="shared" si="227"/>
        <v/>
      </c>
      <c r="IM683" s="1271" t="str">
        <f t="shared" si="228"/>
        <v/>
      </c>
      <c r="IN683" s="1271" t="str">
        <f t="shared" si="229"/>
        <v/>
      </c>
      <c r="IO683" s="1271" t="str">
        <f t="shared" si="230"/>
        <v/>
      </c>
      <c r="IP683" s="1271" t="str">
        <f t="shared" si="231"/>
        <v/>
      </c>
      <c r="IQ683" s="1271" t="str">
        <f t="shared" si="232"/>
        <v/>
      </c>
      <c r="IR683" s="1271" t="str">
        <f t="shared" si="233"/>
        <v/>
      </c>
      <c r="IS683" s="1271" t="str">
        <f t="shared" si="234"/>
        <v/>
      </c>
      <c r="IT683" s="1271" t="str">
        <f t="shared" si="235"/>
        <v/>
      </c>
      <c r="IU683" s="1271" t="str">
        <f t="shared" si="236"/>
        <v/>
      </c>
      <c r="IV683" s="1271" t="str">
        <f t="shared" si="237"/>
        <v/>
      </c>
      <c r="IW683" s="1271" t="str">
        <f t="shared" si="238"/>
        <v/>
      </c>
      <c r="IX683" s="1271" t="str">
        <f t="shared" si="239"/>
        <v/>
      </c>
      <c r="IY683" s="1271" t="str">
        <f t="shared" si="240"/>
        <v/>
      </c>
      <c r="IZ683" s="1271" t="str">
        <f t="shared" si="241"/>
        <v/>
      </c>
      <c r="JA683" s="1271" t="str">
        <f t="shared" si="242"/>
        <v/>
      </c>
      <c r="JB683" s="1271" t="str">
        <f t="shared" si="243"/>
        <v/>
      </c>
      <c r="JC683" s="1518">
        <f t="shared" si="244"/>
        <v>0</v>
      </c>
      <c r="JD683" s="1518">
        <f t="shared" si="245"/>
        <v>0</v>
      </c>
      <c r="JE683" s="1518">
        <f t="shared" si="246"/>
        <v>0</v>
      </c>
      <c r="JF683" s="1518">
        <f t="shared" si="247"/>
        <v>0</v>
      </c>
      <c r="JG683" s="1518">
        <f t="shared" si="248"/>
        <v>0</v>
      </c>
      <c r="JH683" s="1518">
        <f t="shared" si="249"/>
        <v>0</v>
      </c>
      <c r="JI683" s="1518">
        <f t="shared" si="250"/>
        <v>0</v>
      </c>
      <c r="JJ683" s="1518">
        <f t="shared" si="251"/>
        <v>0</v>
      </c>
      <c r="JK683" s="1518">
        <f t="shared" si="252"/>
        <v>0</v>
      </c>
      <c r="JL683" s="1518">
        <f t="shared" si="253"/>
        <v>0</v>
      </c>
      <c r="JM683" s="1518">
        <f t="shared" si="254"/>
        <v>0</v>
      </c>
      <c r="JN683" s="1518">
        <f t="shared" si="255"/>
        <v>0</v>
      </c>
      <c r="JO683" s="1518">
        <f t="shared" si="256"/>
        <v>0</v>
      </c>
      <c r="JP683" s="1518">
        <f t="shared" si="257"/>
        <v>0</v>
      </c>
      <c r="JQ683" s="1518">
        <f t="shared" si="258"/>
        <v>0</v>
      </c>
    </row>
    <row r="684" spans="1:277" ht="12" customHeight="1">
      <c r="A684" s="1687" t="str">
        <f t="shared" si="1"/>
        <v/>
      </c>
      <c r="B684" s="1702" t="str">
        <f>'Part VI-Revenues &amp; Expenses'!B23</f>
        <v>&lt;&lt;Select&gt;&gt;</v>
      </c>
      <c r="C684" s="1703">
        <f>'Part VI-Revenues &amp; Expenses'!C23</f>
        <v>0</v>
      </c>
      <c r="D684" s="1704">
        <f>'Part VI-Revenues &amp; Expenses'!D23</f>
        <v>0</v>
      </c>
      <c r="E684" s="1705">
        <f>'Part VI-Revenues &amp; Expenses'!E23</f>
        <v>0</v>
      </c>
      <c r="F684" s="1705">
        <f>'Part VI-Revenues &amp; Expenses'!F23</f>
        <v>0</v>
      </c>
      <c r="G684" s="1705">
        <f>'Part VI-Revenues &amp; Expenses'!G23</f>
        <v>0</v>
      </c>
      <c r="H684" s="1705">
        <f>'Part VI-Revenues &amp; Expenses'!H23</f>
        <v>0</v>
      </c>
      <c r="I684" s="1705">
        <f>'Part VI-Revenues &amp; Expenses'!I23</f>
        <v>0</v>
      </c>
      <c r="J684" s="1706">
        <f>'Part VI-Revenues &amp; Expenses'!J23</f>
        <v>0</v>
      </c>
      <c r="K684" s="1707">
        <f t="shared" si="2"/>
        <v>0</v>
      </c>
      <c r="L684" s="1707">
        <f t="shared" si="3"/>
        <v>0</v>
      </c>
      <c r="M684" s="1708">
        <f>'Part VI-Revenues &amp; Expenses'!M23</f>
        <v>0</v>
      </c>
      <c r="N684" s="1708">
        <f>'Part VI-Revenues &amp; Expenses'!N23</f>
        <v>0</v>
      </c>
      <c r="O684" s="1708">
        <f>'Part VI-Revenues &amp; Expenses'!O23</f>
        <v>0</v>
      </c>
      <c r="P684" s="1515">
        <f>'Part VI-Revenues &amp; Expenses'!P23</f>
        <v>0</v>
      </c>
      <c r="Q684" s="1709" t="str">
        <f>'Part VI-Revenues &amp; Expenses'!Q23</f>
        <v/>
      </c>
      <c r="R684" s="1710" t="str">
        <f>'Part VI-Revenues &amp; Expenses'!R23</f>
        <v/>
      </c>
      <c r="S684" s="1709">
        <f>'Part VI-Revenues &amp; Expenses'!S23</f>
        <v>0</v>
      </c>
      <c r="T684" s="1710">
        <f>'Part VI-Revenues &amp; Expenses'!T23</f>
        <v>0</v>
      </c>
      <c r="U684" s="1629"/>
      <c r="V684" s="1629"/>
      <c r="W684" s="1271" t="str">
        <f t="shared" si="4"/>
        <v/>
      </c>
      <c r="X684" s="1271" t="str">
        <f t="shared" si="5"/>
        <v/>
      </c>
      <c r="Y684" s="1271" t="str">
        <f t="shared" si="6"/>
        <v/>
      </c>
      <c r="Z684" s="1271" t="str">
        <f t="shared" si="7"/>
        <v/>
      </c>
      <c r="AA684" s="1271" t="str">
        <f t="shared" si="8"/>
        <v/>
      </c>
      <c r="AB684" s="1271" t="str">
        <f t="shared" si="9"/>
        <v/>
      </c>
      <c r="AC684" s="1271" t="str">
        <f t="shared" si="10"/>
        <v/>
      </c>
      <c r="AD684" s="1271" t="str">
        <f t="shared" si="11"/>
        <v/>
      </c>
      <c r="AE684" s="1271" t="str">
        <f t="shared" si="12"/>
        <v/>
      </c>
      <c r="AF684" s="1271" t="str">
        <f t="shared" si="13"/>
        <v/>
      </c>
      <c r="AG684" s="1271" t="str">
        <f t="shared" si="14"/>
        <v/>
      </c>
      <c r="AH684" s="1271" t="str">
        <f t="shared" si="15"/>
        <v/>
      </c>
      <c r="AI684" s="1271" t="str">
        <f t="shared" si="16"/>
        <v/>
      </c>
      <c r="AJ684" s="1271" t="str">
        <f t="shared" si="17"/>
        <v/>
      </c>
      <c r="AK684" s="1271" t="str">
        <f t="shared" si="18"/>
        <v/>
      </c>
      <c r="AL684" s="1271" t="str">
        <f t="shared" si="19"/>
        <v/>
      </c>
      <c r="AM684" s="1271" t="str">
        <f t="shared" si="20"/>
        <v/>
      </c>
      <c r="AN684" s="1271" t="str">
        <f t="shared" si="21"/>
        <v/>
      </c>
      <c r="AO684" s="1271" t="str">
        <f t="shared" si="22"/>
        <v/>
      </c>
      <c r="AP684" s="1271" t="str">
        <f t="shared" si="23"/>
        <v/>
      </c>
      <c r="AQ684" s="1271" t="str">
        <f t="shared" si="24"/>
        <v/>
      </c>
      <c r="AR684" s="1271" t="str">
        <f t="shared" si="25"/>
        <v/>
      </c>
      <c r="AS684" s="1271" t="str">
        <f t="shared" si="26"/>
        <v/>
      </c>
      <c r="AT684" s="1271" t="str">
        <f t="shared" si="27"/>
        <v/>
      </c>
      <c r="AU684" s="1271" t="str">
        <f t="shared" si="28"/>
        <v/>
      </c>
      <c r="AV684" s="1271" t="str">
        <f t="shared" si="29"/>
        <v/>
      </c>
      <c r="AW684" s="1271" t="str">
        <f t="shared" si="30"/>
        <v/>
      </c>
      <c r="AX684" s="1271" t="str">
        <f t="shared" si="31"/>
        <v/>
      </c>
      <c r="AY684" s="1271" t="str">
        <f t="shared" si="32"/>
        <v/>
      </c>
      <c r="AZ684" s="1271" t="str">
        <f t="shared" si="33"/>
        <v/>
      </c>
      <c r="BA684" s="1271" t="str">
        <f t="shared" si="34"/>
        <v/>
      </c>
      <c r="BB684" s="1271" t="str">
        <f t="shared" si="35"/>
        <v/>
      </c>
      <c r="BC684" s="1271" t="str">
        <f t="shared" si="36"/>
        <v/>
      </c>
      <c r="BD684" s="1271" t="str">
        <f t="shared" si="37"/>
        <v/>
      </c>
      <c r="BE684" s="1271" t="str">
        <f t="shared" si="38"/>
        <v/>
      </c>
      <c r="BF684" s="1271" t="str">
        <f t="shared" si="39"/>
        <v/>
      </c>
      <c r="BG684" s="1271" t="str">
        <f t="shared" si="40"/>
        <v/>
      </c>
      <c r="BH684" s="1271" t="str">
        <f t="shared" si="41"/>
        <v/>
      </c>
      <c r="BI684" s="1271" t="str">
        <f t="shared" si="42"/>
        <v/>
      </c>
      <c r="BJ684" s="1271" t="str">
        <f t="shared" si="43"/>
        <v/>
      </c>
      <c r="BK684" s="1271" t="str">
        <f t="shared" si="44"/>
        <v/>
      </c>
      <c r="BL684" s="1271" t="str">
        <f t="shared" si="45"/>
        <v/>
      </c>
      <c r="BM684" s="1271" t="str">
        <f t="shared" si="46"/>
        <v/>
      </c>
      <c r="BN684" s="1271" t="str">
        <f t="shared" si="47"/>
        <v/>
      </c>
      <c r="BO684" s="1271" t="str">
        <f t="shared" si="48"/>
        <v/>
      </c>
      <c r="BP684" s="1271" t="str">
        <f t="shared" si="49"/>
        <v/>
      </c>
      <c r="BQ684" s="1271" t="str">
        <f t="shared" si="50"/>
        <v/>
      </c>
      <c r="BR684" s="1271" t="str">
        <f t="shared" si="51"/>
        <v/>
      </c>
      <c r="BS684" s="1271" t="str">
        <f t="shared" si="52"/>
        <v/>
      </c>
      <c r="BT684" s="1271" t="str">
        <f t="shared" si="53"/>
        <v/>
      </c>
      <c r="BU684" s="1271" t="str">
        <f t="shared" si="54"/>
        <v/>
      </c>
      <c r="BV684" s="1271" t="str">
        <f t="shared" si="55"/>
        <v/>
      </c>
      <c r="BW684" s="1271" t="str">
        <f t="shared" si="56"/>
        <v/>
      </c>
      <c r="BX684" s="1271" t="str">
        <f t="shared" si="57"/>
        <v/>
      </c>
      <c r="BY684" s="1271" t="str">
        <f t="shared" si="58"/>
        <v/>
      </c>
      <c r="BZ684" s="1271" t="str">
        <f t="shared" si="59"/>
        <v/>
      </c>
      <c r="CA684" s="1271" t="str">
        <f t="shared" si="60"/>
        <v/>
      </c>
      <c r="CB684" s="1271" t="str">
        <f t="shared" si="61"/>
        <v/>
      </c>
      <c r="CC684" s="1271" t="str">
        <f t="shared" si="62"/>
        <v/>
      </c>
      <c r="CD684" s="1271" t="str">
        <f t="shared" si="63"/>
        <v/>
      </c>
      <c r="CE684" s="1271" t="str">
        <f t="shared" si="64"/>
        <v/>
      </c>
      <c r="CF684" s="1271" t="str">
        <f t="shared" si="65"/>
        <v/>
      </c>
      <c r="CG684" s="1271" t="str">
        <f t="shared" si="66"/>
        <v/>
      </c>
      <c r="CH684" s="1271" t="str">
        <f t="shared" si="67"/>
        <v/>
      </c>
      <c r="CI684" s="1271" t="str">
        <f t="shared" si="68"/>
        <v/>
      </c>
      <c r="CJ684" s="1271" t="str">
        <f t="shared" si="69"/>
        <v/>
      </c>
      <c r="CK684" s="1271" t="str">
        <f t="shared" si="70"/>
        <v/>
      </c>
      <c r="CL684" s="1271" t="str">
        <f t="shared" si="71"/>
        <v/>
      </c>
      <c r="CM684" s="1271" t="str">
        <f t="shared" si="72"/>
        <v/>
      </c>
      <c r="CN684" s="1271" t="str">
        <f t="shared" si="73"/>
        <v/>
      </c>
      <c r="CO684" s="1271" t="str">
        <f t="shared" si="74"/>
        <v/>
      </c>
      <c r="CP684" s="1271" t="str">
        <f t="shared" si="75"/>
        <v/>
      </c>
      <c r="CQ684" s="1271" t="str">
        <f t="shared" si="76"/>
        <v/>
      </c>
      <c r="CR684" s="1271" t="str">
        <f t="shared" si="77"/>
        <v/>
      </c>
      <c r="CS684" s="1271" t="str">
        <f t="shared" si="78"/>
        <v/>
      </c>
      <c r="CT684" s="1271" t="str">
        <f t="shared" si="79"/>
        <v/>
      </c>
      <c r="CU684" s="1271" t="str">
        <f t="shared" si="80"/>
        <v/>
      </c>
      <c r="CV684" s="1271" t="str">
        <f t="shared" si="81"/>
        <v/>
      </c>
      <c r="CW684" s="1271" t="str">
        <f t="shared" si="82"/>
        <v/>
      </c>
      <c r="CX684" s="1271" t="str">
        <f t="shared" si="83"/>
        <v/>
      </c>
      <c r="CY684" s="1271" t="str">
        <f t="shared" si="84"/>
        <v/>
      </c>
      <c r="CZ684" s="1271" t="str">
        <f t="shared" si="85"/>
        <v/>
      </c>
      <c r="DA684" s="1271" t="str">
        <f t="shared" si="86"/>
        <v/>
      </c>
      <c r="DB684" s="1271" t="str">
        <f t="shared" si="87"/>
        <v/>
      </c>
      <c r="DC684" s="1271" t="str">
        <f t="shared" si="88"/>
        <v/>
      </c>
      <c r="DD684" s="1271" t="str">
        <f t="shared" si="89"/>
        <v/>
      </c>
      <c r="DE684" s="1271" t="str">
        <f t="shared" si="90"/>
        <v/>
      </c>
      <c r="DF684" s="1271" t="str">
        <f t="shared" si="91"/>
        <v/>
      </c>
      <c r="DG684" s="1271" t="str">
        <f t="shared" si="92"/>
        <v/>
      </c>
      <c r="DH684" s="1271" t="str">
        <f t="shared" si="93"/>
        <v/>
      </c>
      <c r="DI684" s="1271" t="str">
        <f t="shared" si="94"/>
        <v/>
      </c>
      <c r="DJ684" s="1271" t="str">
        <f t="shared" si="95"/>
        <v/>
      </c>
      <c r="DK684" s="1271" t="str">
        <f t="shared" si="96"/>
        <v/>
      </c>
      <c r="DL684" s="1271" t="str">
        <f t="shared" si="97"/>
        <v/>
      </c>
      <c r="DM684" s="1271" t="str">
        <f t="shared" si="98"/>
        <v/>
      </c>
      <c r="DN684" s="1271" t="str">
        <f t="shared" si="99"/>
        <v/>
      </c>
      <c r="DO684" s="1271" t="str">
        <f t="shared" si="100"/>
        <v/>
      </c>
      <c r="DP684" s="1271" t="str">
        <f t="shared" si="101"/>
        <v/>
      </c>
      <c r="DQ684" s="1271" t="str">
        <f t="shared" si="102"/>
        <v/>
      </c>
      <c r="DR684" s="1271" t="str">
        <f t="shared" si="103"/>
        <v/>
      </c>
      <c r="DS684" s="1271" t="str">
        <f t="shared" si="104"/>
        <v/>
      </c>
      <c r="DT684" s="1271" t="str">
        <f t="shared" si="105"/>
        <v/>
      </c>
      <c r="DU684" s="1271" t="str">
        <f t="shared" si="106"/>
        <v/>
      </c>
      <c r="DV684" s="1271" t="str">
        <f t="shared" si="107"/>
        <v/>
      </c>
      <c r="DW684" s="1271" t="str">
        <f t="shared" si="108"/>
        <v/>
      </c>
      <c r="DX684" s="1271" t="str">
        <f t="shared" si="109"/>
        <v/>
      </c>
      <c r="DY684" s="1271" t="str">
        <f t="shared" si="110"/>
        <v/>
      </c>
      <c r="DZ684" s="1271" t="str">
        <f t="shared" si="111"/>
        <v/>
      </c>
      <c r="EA684" s="1271" t="str">
        <f t="shared" si="112"/>
        <v/>
      </c>
      <c r="EB684" s="1271" t="str">
        <f t="shared" si="113"/>
        <v/>
      </c>
      <c r="EC684" s="1271" t="str">
        <f t="shared" si="114"/>
        <v/>
      </c>
      <c r="ED684" s="1271" t="str">
        <f t="shared" si="115"/>
        <v/>
      </c>
      <c r="EE684" s="1271" t="str">
        <f t="shared" si="116"/>
        <v/>
      </c>
      <c r="EF684" s="1271" t="str">
        <f t="shared" si="117"/>
        <v/>
      </c>
      <c r="EG684" s="1271" t="str">
        <f t="shared" si="118"/>
        <v/>
      </c>
      <c r="EH684" s="1271" t="str">
        <f t="shared" si="119"/>
        <v/>
      </c>
      <c r="EI684" s="1271" t="str">
        <f t="shared" si="120"/>
        <v/>
      </c>
      <c r="EJ684" s="1271" t="str">
        <f t="shared" si="121"/>
        <v/>
      </c>
      <c r="EK684" s="1271" t="str">
        <f t="shared" si="122"/>
        <v/>
      </c>
      <c r="EL684" s="1271" t="str">
        <f t="shared" si="123"/>
        <v/>
      </c>
      <c r="EM684" s="1271" t="str">
        <f t="shared" si="124"/>
        <v/>
      </c>
      <c r="EN684" s="1271" t="str">
        <f t="shared" si="125"/>
        <v/>
      </c>
      <c r="EO684" s="1271" t="str">
        <f t="shared" si="126"/>
        <v/>
      </c>
      <c r="EP684" s="1271" t="str">
        <f t="shared" si="127"/>
        <v/>
      </c>
      <c r="EQ684" s="1271" t="str">
        <f t="shared" si="128"/>
        <v/>
      </c>
      <c r="ER684" s="1271" t="str">
        <f t="shared" si="129"/>
        <v/>
      </c>
      <c r="ES684" s="1271" t="str">
        <f t="shared" si="130"/>
        <v/>
      </c>
      <c r="ET684" s="1271" t="str">
        <f t="shared" si="131"/>
        <v/>
      </c>
      <c r="EU684" s="1271" t="str">
        <f t="shared" si="132"/>
        <v/>
      </c>
      <c r="EV684" s="1271" t="str">
        <f t="shared" si="133"/>
        <v/>
      </c>
      <c r="EW684" s="1519" t="str">
        <f t="shared" si="134"/>
        <v/>
      </c>
      <c r="EX684" s="1519" t="str">
        <f t="shared" si="135"/>
        <v/>
      </c>
      <c r="EY684" s="1519" t="str">
        <f t="shared" si="136"/>
        <v/>
      </c>
      <c r="EZ684" s="1519" t="str">
        <f t="shared" si="137"/>
        <v/>
      </c>
      <c r="FA684" s="1519" t="str">
        <f t="shared" si="138"/>
        <v/>
      </c>
      <c r="FB684" s="1519" t="str">
        <f t="shared" si="139"/>
        <v/>
      </c>
      <c r="FC684" s="1519" t="str">
        <f t="shared" si="140"/>
        <v/>
      </c>
      <c r="FD684" s="1519" t="str">
        <f t="shared" si="141"/>
        <v/>
      </c>
      <c r="FE684" s="1519" t="str">
        <f t="shared" si="142"/>
        <v/>
      </c>
      <c r="FF684" s="1519" t="str">
        <f t="shared" si="143"/>
        <v/>
      </c>
      <c r="FG684" s="1519" t="str">
        <f t="shared" si="144"/>
        <v/>
      </c>
      <c r="FH684" s="1519" t="str">
        <f t="shared" si="145"/>
        <v/>
      </c>
      <c r="FI684" s="1519" t="str">
        <f t="shared" si="146"/>
        <v/>
      </c>
      <c r="FJ684" s="1519" t="str">
        <f t="shared" si="147"/>
        <v/>
      </c>
      <c r="FK684" s="1519" t="str">
        <f t="shared" si="148"/>
        <v/>
      </c>
      <c r="FL684" s="1519" t="str">
        <f t="shared" si="149"/>
        <v/>
      </c>
      <c r="FM684" s="1519" t="str">
        <f t="shared" si="150"/>
        <v/>
      </c>
      <c r="FN684" s="1519" t="str">
        <f t="shared" si="151"/>
        <v/>
      </c>
      <c r="FO684" s="1519" t="str">
        <f t="shared" si="152"/>
        <v/>
      </c>
      <c r="FP684" s="1519" t="str">
        <f t="shared" si="153"/>
        <v/>
      </c>
      <c r="FQ684" s="1519" t="str">
        <f t="shared" si="154"/>
        <v/>
      </c>
      <c r="FR684" s="1519" t="str">
        <f t="shared" si="155"/>
        <v/>
      </c>
      <c r="FS684" s="1519" t="str">
        <f t="shared" si="156"/>
        <v/>
      </c>
      <c r="FT684" s="1519" t="str">
        <f t="shared" si="157"/>
        <v/>
      </c>
      <c r="FU684" s="1519" t="str">
        <f t="shared" si="158"/>
        <v/>
      </c>
      <c r="FV684" s="1519" t="str">
        <f t="shared" si="159"/>
        <v/>
      </c>
      <c r="FW684" s="1519" t="str">
        <f t="shared" si="160"/>
        <v/>
      </c>
      <c r="FX684" s="1519" t="str">
        <f t="shared" si="161"/>
        <v/>
      </c>
      <c r="FY684" s="1519" t="str">
        <f t="shared" si="162"/>
        <v/>
      </c>
      <c r="FZ684" s="1519" t="str">
        <f t="shared" si="163"/>
        <v/>
      </c>
      <c r="GA684" s="1519" t="str">
        <f t="shared" si="164"/>
        <v/>
      </c>
      <c r="GB684" s="1519" t="str">
        <f t="shared" si="165"/>
        <v/>
      </c>
      <c r="GC684" s="1519" t="str">
        <f t="shared" si="166"/>
        <v/>
      </c>
      <c r="GD684" s="1519" t="str">
        <f t="shared" si="167"/>
        <v/>
      </c>
      <c r="GE684" s="1519" t="str">
        <f t="shared" si="168"/>
        <v/>
      </c>
      <c r="GF684" s="1519" t="str">
        <f t="shared" si="169"/>
        <v/>
      </c>
      <c r="GG684" s="1519" t="str">
        <f t="shared" si="170"/>
        <v/>
      </c>
      <c r="GH684" s="1519" t="str">
        <f t="shared" si="171"/>
        <v/>
      </c>
      <c r="GI684" s="1519" t="str">
        <f t="shared" si="172"/>
        <v/>
      </c>
      <c r="GJ684" s="1519" t="str">
        <f t="shared" si="173"/>
        <v/>
      </c>
      <c r="GK684" s="1519" t="str">
        <f t="shared" si="174"/>
        <v/>
      </c>
      <c r="GL684" s="1519" t="str">
        <f t="shared" si="175"/>
        <v/>
      </c>
      <c r="GM684" s="1519" t="str">
        <f t="shared" si="176"/>
        <v/>
      </c>
      <c r="GN684" s="1519" t="str">
        <f t="shared" si="177"/>
        <v/>
      </c>
      <c r="GO684" s="1519" t="str">
        <f t="shared" si="178"/>
        <v/>
      </c>
      <c r="GP684" s="1519" t="str">
        <f t="shared" si="179"/>
        <v/>
      </c>
      <c r="GQ684" s="1519" t="str">
        <f t="shared" si="180"/>
        <v/>
      </c>
      <c r="GR684" s="1519" t="str">
        <f t="shared" si="181"/>
        <v/>
      </c>
      <c r="GS684" s="1519" t="str">
        <f t="shared" si="182"/>
        <v/>
      </c>
      <c r="GT684" s="1519" t="str">
        <f t="shared" si="183"/>
        <v/>
      </c>
      <c r="GU684" s="1519" t="str">
        <f t="shared" si="184"/>
        <v/>
      </c>
      <c r="GV684" s="1519" t="str">
        <f t="shared" si="185"/>
        <v/>
      </c>
      <c r="GW684" s="1519" t="str">
        <f t="shared" si="186"/>
        <v/>
      </c>
      <c r="GX684" s="1519" t="str">
        <f t="shared" si="187"/>
        <v/>
      </c>
      <c r="GY684" s="1519" t="str">
        <f t="shared" si="188"/>
        <v/>
      </c>
      <c r="GZ684" s="1519" t="str">
        <f t="shared" si="189"/>
        <v/>
      </c>
      <c r="HA684" s="1519" t="str">
        <f t="shared" si="190"/>
        <v/>
      </c>
      <c r="HB684" s="1519" t="str">
        <f t="shared" si="191"/>
        <v/>
      </c>
      <c r="HC684" s="1519" t="str">
        <f t="shared" si="192"/>
        <v/>
      </c>
      <c r="HD684" s="1519" t="str">
        <f t="shared" si="193"/>
        <v/>
      </c>
      <c r="HE684" s="1519" t="str">
        <f t="shared" si="194"/>
        <v/>
      </c>
      <c r="HF684" s="1519" t="str">
        <f t="shared" si="195"/>
        <v/>
      </c>
      <c r="HG684" s="1519" t="str">
        <f t="shared" si="196"/>
        <v/>
      </c>
      <c r="HH684" s="1519" t="str">
        <f t="shared" si="197"/>
        <v/>
      </c>
      <c r="HI684" s="1519" t="str">
        <f t="shared" si="198"/>
        <v/>
      </c>
      <c r="HJ684" s="1519" t="str">
        <f t="shared" si="199"/>
        <v/>
      </c>
      <c r="HK684" s="1519" t="str">
        <f t="shared" si="200"/>
        <v/>
      </c>
      <c r="HL684" s="1519" t="str">
        <f t="shared" si="201"/>
        <v/>
      </c>
      <c r="HM684" s="1519" t="str">
        <f t="shared" si="202"/>
        <v/>
      </c>
      <c r="HN684" s="1519" t="str">
        <f t="shared" si="203"/>
        <v/>
      </c>
      <c r="HO684" s="1519" t="str">
        <f t="shared" si="204"/>
        <v/>
      </c>
      <c r="HP684" s="1519" t="str">
        <f t="shared" si="205"/>
        <v/>
      </c>
      <c r="HQ684" s="1519" t="str">
        <f t="shared" si="206"/>
        <v/>
      </c>
      <c r="HR684" s="1519" t="str">
        <f t="shared" si="207"/>
        <v/>
      </c>
      <c r="HS684" s="1519" t="str">
        <f t="shared" si="208"/>
        <v/>
      </c>
      <c r="HT684" s="1519" t="str">
        <f t="shared" si="209"/>
        <v/>
      </c>
      <c r="HU684" s="1519" t="str">
        <f t="shared" si="210"/>
        <v/>
      </c>
      <c r="HV684" s="1519" t="str">
        <f t="shared" si="211"/>
        <v/>
      </c>
      <c r="HW684" s="1519" t="str">
        <f t="shared" si="212"/>
        <v/>
      </c>
      <c r="HX684" s="1519" t="str">
        <f t="shared" si="213"/>
        <v/>
      </c>
      <c r="HY684" s="1519" t="str">
        <f t="shared" si="214"/>
        <v/>
      </c>
      <c r="HZ684" s="1519" t="str">
        <f t="shared" si="215"/>
        <v/>
      </c>
      <c r="IA684" s="1519" t="str">
        <f t="shared" si="216"/>
        <v/>
      </c>
      <c r="IB684" s="1519" t="str">
        <f t="shared" si="217"/>
        <v/>
      </c>
      <c r="IC684" s="1519" t="str">
        <f t="shared" si="218"/>
        <v/>
      </c>
      <c r="ID684" s="1520" t="str">
        <f t="shared" si="219"/>
        <v/>
      </c>
      <c r="IE684" s="1520" t="str">
        <f t="shared" si="220"/>
        <v/>
      </c>
      <c r="IF684" s="1520" t="str">
        <f t="shared" si="221"/>
        <v/>
      </c>
      <c r="IG684" s="1520" t="str">
        <f t="shared" si="222"/>
        <v/>
      </c>
      <c r="IH684" s="1520" t="str">
        <f t="shared" si="223"/>
        <v/>
      </c>
      <c r="II684" s="1271" t="str">
        <f t="shared" si="224"/>
        <v/>
      </c>
      <c r="IJ684" s="1271" t="str">
        <f t="shared" si="225"/>
        <v/>
      </c>
      <c r="IK684" s="1271" t="str">
        <f t="shared" si="226"/>
        <v/>
      </c>
      <c r="IL684" s="1271" t="str">
        <f t="shared" si="227"/>
        <v/>
      </c>
      <c r="IM684" s="1271" t="str">
        <f t="shared" si="228"/>
        <v/>
      </c>
      <c r="IN684" s="1271" t="str">
        <f t="shared" si="229"/>
        <v/>
      </c>
      <c r="IO684" s="1271" t="str">
        <f t="shared" si="230"/>
        <v/>
      </c>
      <c r="IP684" s="1271" t="str">
        <f t="shared" si="231"/>
        <v/>
      </c>
      <c r="IQ684" s="1271" t="str">
        <f t="shared" si="232"/>
        <v/>
      </c>
      <c r="IR684" s="1271" t="str">
        <f t="shared" si="233"/>
        <v/>
      </c>
      <c r="IS684" s="1271" t="str">
        <f t="shared" si="234"/>
        <v/>
      </c>
      <c r="IT684" s="1271" t="str">
        <f t="shared" si="235"/>
        <v/>
      </c>
      <c r="IU684" s="1271" t="str">
        <f t="shared" si="236"/>
        <v/>
      </c>
      <c r="IV684" s="1271" t="str">
        <f t="shared" si="237"/>
        <v/>
      </c>
      <c r="IW684" s="1271" t="str">
        <f t="shared" si="238"/>
        <v/>
      </c>
      <c r="IX684" s="1271" t="str">
        <f t="shared" si="239"/>
        <v/>
      </c>
      <c r="IY684" s="1271" t="str">
        <f t="shared" si="240"/>
        <v/>
      </c>
      <c r="IZ684" s="1271" t="str">
        <f t="shared" si="241"/>
        <v/>
      </c>
      <c r="JA684" s="1271" t="str">
        <f t="shared" si="242"/>
        <v/>
      </c>
      <c r="JB684" s="1271" t="str">
        <f t="shared" si="243"/>
        <v/>
      </c>
      <c r="JC684" s="1518">
        <f t="shared" si="244"/>
        <v>0</v>
      </c>
      <c r="JD684" s="1518">
        <f t="shared" si="245"/>
        <v>0</v>
      </c>
      <c r="JE684" s="1518">
        <f t="shared" si="246"/>
        <v>0</v>
      </c>
      <c r="JF684" s="1518">
        <f t="shared" si="247"/>
        <v>0</v>
      </c>
      <c r="JG684" s="1518">
        <f t="shared" si="248"/>
        <v>0</v>
      </c>
      <c r="JH684" s="1518">
        <f t="shared" si="249"/>
        <v>0</v>
      </c>
      <c r="JI684" s="1518">
        <f t="shared" si="250"/>
        <v>0</v>
      </c>
      <c r="JJ684" s="1518">
        <f t="shared" si="251"/>
        <v>0</v>
      </c>
      <c r="JK684" s="1518">
        <f t="shared" si="252"/>
        <v>0</v>
      </c>
      <c r="JL684" s="1518">
        <f t="shared" si="253"/>
        <v>0</v>
      </c>
      <c r="JM684" s="1518">
        <f t="shared" si="254"/>
        <v>0</v>
      </c>
      <c r="JN684" s="1518">
        <f t="shared" si="255"/>
        <v>0</v>
      </c>
      <c r="JO684" s="1518">
        <f t="shared" si="256"/>
        <v>0</v>
      </c>
      <c r="JP684" s="1518">
        <f t="shared" si="257"/>
        <v>0</v>
      </c>
      <c r="JQ684" s="1518">
        <f t="shared" si="258"/>
        <v>0</v>
      </c>
    </row>
    <row r="685" spans="1:277" ht="12" customHeight="1">
      <c r="A685" s="1687" t="str">
        <f t="shared" si="1"/>
        <v/>
      </c>
      <c r="B685" s="1702" t="str">
        <f>'Part VI-Revenues &amp; Expenses'!B24</f>
        <v>&lt;&lt;Select&gt;&gt;</v>
      </c>
      <c r="C685" s="1703">
        <f>'Part VI-Revenues &amp; Expenses'!C24</f>
        <v>0</v>
      </c>
      <c r="D685" s="1704">
        <f>'Part VI-Revenues &amp; Expenses'!D24</f>
        <v>0</v>
      </c>
      <c r="E685" s="1705">
        <f>'Part VI-Revenues &amp; Expenses'!E24</f>
        <v>0</v>
      </c>
      <c r="F685" s="1705">
        <f>'Part VI-Revenues &amp; Expenses'!F24</f>
        <v>0</v>
      </c>
      <c r="G685" s="1705">
        <f>'Part VI-Revenues &amp; Expenses'!G24</f>
        <v>0</v>
      </c>
      <c r="H685" s="1705">
        <f>'Part VI-Revenues &amp; Expenses'!H24</f>
        <v>0</v>
      </c>
      <c r="I685" s="1705">
        <f>'Part VI-Revenues &amp; Expenses'!I24</f>
        <v>0</v>
      </c>
      <c r="J685" s="1706">
        <f>'Part VI-Revenues &amp; Expenses'!J24</f>
        <v>0</v>
      </c>
      <c r="K685" s="1707">
        <f t="shared" si="2"/>
        <v>0</v>
      </c>
      <c r="L685" s="1707">
        <f t="shared" si="3"/>
        <v>0</v>
      </c>
      <c r="M685" s="1708">
        <f>'Part VI-Revenues &amp; Expenses'!M24</f>
        <v>0</v>
      </c>
      <c r="N685" s="1708">
        <f>'Part VI-Revenues &amp; Expenses'!N24</f>
        <v>0</v>
      </c>
      <c r="O685" s="1708">
        <f>'Part VI-Revenues &amp; Expenses'!O24</f>
        <v>0</v>
      </c>
      <c r="P685" s="1515">
        <f>'Part VI-Revenues &amp; Expenses'!P24</f>
        <v>0</v>
      </c>
      <c r="Q685" s="1709" t="str">
        <f>'Part VI-Revenues &amp; Expenses'!Q24</f>
        <v/>
      </c>
      <c r="R685" s="1710" t="str">
        <f>'Part VI-Revenues &amp; Expenses'!R24</f>
        <v/>
      </c>
      <c r="S685" s="1709">
        <f>'Part VI-Revenues &amp; Expenses'!S24</f>
        <v>0</v>
      </c>
      <c r="T685" s="1710">
        <f>'Part VI-Revenues &amp; Expenses'!T24</f>
        <v>0</v>
      </c>
      <c r="U685" s="1629"/>
      <c r="V685" s="1629"/>
      <c r="W685" s="1271" t="str">
        <f t="shared" si="4"/>
        <v/>
      </c>
      <c r="X685" s="1271" t="str">
        <f t="shared" si="5"/>
        <v/>
      </c>
      <c r="Y685" s="1271" t="str">
        <f t="shared" si="6"/>
        <v/>
      </c>
      <c r="Z685" s="1271" t="str">
        <f t="shared" si="7"/>
        <v/>
      </c>
      <c r="AA685" s="1271" t="str">
        <f t="shared" si="8"/>
        <v/>
      </c>
      <c r="AB685" s="1271" t="str">
        <f t="shared" si="9"/>
        <v/>
      </c>
      <c r="AC685" s="1271" t="str">
        <f t="shared" si="10"/>
        <v/>
      </c>
      <c r="AD685" s="1271" t="str">
        <f t="shared" si="11"/>
        <v/>
      </c>
      <c r="AE685" s="1271" t="str">
        <f t="shared" si="12"/>
        <v/>
      </c>
      <c r="AF685" s="1271" t="str">
        <f t="shared" si="13"/>
        <v/>
      </c>
      <c r="AG685" s="1271" t="str">
        <f t="shared" si="14"/>
        <v/>
      </c>
      <c r="AH685" s="1271" t="str">
        <f t="shared" si="15"/>
        <v/>
      </c>
      <c r="AI685" s="1271" t="str">
        <f t="shared" si="16"/>
        <v/>
      </c>
      <c r="AJ685" s="1271" t="str">
        <f t="shared" si="17"/>
        <v/>
      </c>
      <c r="AK685" s="1271" t="str">
        <f t="shared" si="18"/>
        <v/>
      </c>
      <c r="AL685" s="1271" t="str">
        <f t="shared" si="19"/>
        <v/>
      </c>
      <c r="AM685" s="1271" t="str">
        <f t="shared" si="20"/>
        <v/>
      </c>
      <c r="AN685" s="1271" t="str">
        <f t="shared" si="21"/>
        <v/>
      </c>
      <c r="AO685" s="1271" t="str">
        <f t="shared" si="22"/>
        <v/>
      </c>
      <c r="AP685" s="1271" t="str">
        <f t="shared" si="23"/>
        <v/>
      </c>
      <c r="AQ685" s="1271" t="str">
        <f t="shared" si="24"/>
        <v/>
      </c>
      <c r="AR685" s="1271" t="str">
        <f t="shared" si="25"/>
        <v/>
      </c>
      <c r="AS685" s="1271" t="str">
        <f t="shared" si="26"/>
        <v/>
      </c>
      <c r="AT685" s="1271" t="str">
        <f t="shared" si="27"/>
        <v/>
      </c>
      <c r="AU685" s="1271" t="str">
        <f t="shared" si="28"/>
        <v/>
      </c>
      <c r="AV685" s="1271" t="str">
        <f t="shared" si="29"/>
        <v/>
      </c>
      <c r="AW685" s="1271" t="str">
        <f t="shared" si="30"/>
        <v/>
      </c>
      <c r="AX685" s="1271" t="str">
        <f t="shared" si="31"/>
        <v/>
      </c>
      <c r="AY685" s="1271" t="str">
        <f t="shared" si="32"/>
        <v/>
      </c>
      <c r="AZ685" s="1271" t="str">
        <f t="shared" si="33"/>
        <v/>
      </c>
      <c r="BA685" s="1271" t="str">
        <f t="shared" si="34"/>
        <v/>
      </c>
      <c r="BB685" s="1271" t="str">
        <f t="shared" si="35"/>
        <v/>
      </c>
      <c r="BC685" s="1271" t="str">
        <f t="shared" si="36"/>
        <v/>
      </c>
      <c r="BD685" s="1271" t="str">
        <f t="shared" si="37"/>
        <v/>
      </c>
      <c r="BE685" s="1271" t="str">
        <f t="shared" si="38"/>
        <v/>
      </c>
      <c r="BF685" s="1271" t="str">
        <f t="shared" si="39"/>
        <v/>
      </c>
      <c r="BG685" s="1271" t="str">
        <f t="shared" si="40"/>
        <v/>
      </c>
      <c r="BH685" s="1271" t="str">
        <f t="shared" si="41"/>
        <v/>
      </c>
      <c r="BI685" s="1271" t="str">
        <f t="shared" si="42"/>
        <v/>
      </c>
      <c r="BJ685" s="1271" t="str">
        <f t="shared" si="43"/>
        <v/>
      </c>
      <c r="BK685" s="1271" t="str">
        <f t="shared" si="44"/>
        <v/>
      </c>
      <c r="BL685" s="1271" t="str">
        <f t="shared" si="45"/>
        <v/>
      </c>
      <c r="BM685" s="1271" t="str">
        <f t="shared" si="46"/>
        <v/>
      </c>
      <c r="BN685" s="1271" t="str">
        <f t="shared" si="47"/>
        <v/>
      </c>
      <c r="BO685" s="1271" t="str">
        <f t="shared" si="48"/>
        <v/>
      </c>
      <c r="BP685" s="1271" t="str">
        <f t="shared" si="49"/>
        <v/>
      </c>
      <c r="BQ685" s="1271" t="str">
        <f t="shared" si="50"/>
        <v/>
      </c>
      <c r="BR685" s="1271" t="str">
        <f t="shared" si="51"/>
        <v/>
      </c>
      <c r="BS685" s="1271" t="str">
        <f t="shared" si="52"/>
        <v/>
      </c>
      <c r="BT685" s="1271" t="str">
        <f t="shared" si="53"/>
        <v/>
      </c>
      <c r="BU685" s="1271" t="str">
        <f t="shared" si="54"/>
        <v/>
      </c>
      <c r="BV685" s="1271" t="str">
        <f t="shared" si="55"/>
        <v/>
      </c>
      <c r="BW685" s="1271" t="str">
        <f t="shared" si="56"/>
        <v/>
      </c>
      <c r="BX685" s="1271" t="str">
        <f t="shared" si="57"/>
        <v/>
      </c>
      <c r="BY685" s="1271" t="str">
        <f t="shared" si="58"/>
        <v/>
      </c>
      <c r="BZ685" s="1271" t="str">
        <f t="shared" si="59"/>
        <v/>
      </c>
      <c r="CA685" s="1271" t="str">
        <f t="shared" si="60"/>
        <v/>
      </c>
      <c r="CB685" s="1271" t="str">
        <f t="shared" si="61"/>
        <v/>
      </c>
      <c r="CC685" s="1271" t="str">
        <f t="shared" si="62"/>
        <v/>
      </c>
      <c r="CD685" s="1271" t="str">
        <f t="shared" si="63"/>
        <v/>
      </c>
      <c r="CE685" s="1271" t="str">
        <f t="shared" si="64"/>
        <v/>
      </c>
      <c r="CF685" s="1271" t="str">
        <f t="shared" si="65"/>
        <v/>
      </c>
      <c r="CG685" s="1271" t="str">
        <f t="shared" si="66"/>
        <v/>
      </c>
      <c r="CH685" s="1271" t="str">
        <f t="shared" si="67"/>
        <v/>
      </c>
      <c r="CI685" s="1271" t="str">
        <f t="shared" si="68"/>
        <v/>
      </c>
      <c r="CJ685" s="1271" t="str">
        <f t="shared" si="69"/>
        <v/>
      </c>
      <c r="CK685" s="1271" t="str">
        <f t="shared" si="70"/>
        <v/>
      </c>
      <c r="CL685" s="1271" t="str">
        <f t="shared" si="71"/>
        <v/>
      </c>
      <c r="CM685" s="1271" t="str">
        <f t="shared" si="72"/>
        <v/>
      </c>
      <c r="CN685" s="1271" t="str">
        <f t="shared" si="73"/>
        <v/>
      </c>
      <c r="CO685" s="1271" t="str">
        <f t="shared" si="74"/>
        <v/>
      </c>
      <c r="CP685" s="1271" t="str">
        <f t="shared" si="75"/>
        <v/>
      </c>
      <c r="CQ685" s="1271" t="str">
        <f t="shared" si="76"/>
        <v/>
      </c>
      <c r="CR685" s="1271" t="str">
        <f t="shared" si="77"/>
        <v/>
      </c>
      <c r="CS685" s="1271" t="str">
        <f t="shared" si="78"/>
        <v/>
      </c>
      <c r="CT685" s="1271" t="str">
        <f t="shared" si="79"/>
        <v/>
      </c>
      <c r="CU685" s="1271" t="str">
        <f t="shared" si="80"/>
        <v/>
      </c>
      <c r="CV685" s="1271" t="str">
        <f t="shared" si="81"/>
        <v/>
      </c>
      <c r="CW685" s="1271" t="str">
        <f t="shared" si="82"/>
        <v/>
      </c>
      <c r="CX685" s="1271" t="str">
        <f t="shared" si="83"/>
        <v/>
      </c>
      <c r="CY685" s="1271" t="str">
        <f t="shared" si="84"/>
        <v/>
      </c>
      <c r="CZ685" s="1271" t="str">
        <f t="shared" si="85"/>
        <v/>
      </c>
      <c r="DA685" s="1271" t="str">
        <f t="shared" si="86"/>
        <v/>
      </c>
      <c r="DB685" s="1271" t="str">
        <f t="shared" si="87"/>
        <v/>
      </c>
      <c r="DC685" s="1271" t="str">
        <f t="shared" si="88"/>
        <v/>
      </c>
      <c r="DD685" s="1271" t="str">
        <f t="shared" si="89"/>
        <v/>
      </c>
      <c r="DE685" s="1271" t="str">
        <f t="shared" si="90"/>
        <v/>
      </c>
      <c r="DF685" s="1271" t="str">
        <f t="shared" si="91"/>
        <v/>
      </c>
      <c r="DG685" s="1271" t="str">
        <f t="shared" si="92"/>
        <v/>
      </c>
      <c r="DH685" s="1271" t="str">
        <f t="shared" si="93"/>
        <v/>
      </c>
      <c r="DI685" s="1271" t="str">
        <f t="shared" si="94"/>
        <v/>
      </c>
      <c r="DJ685" s="1271" t="str">
        <f t="shared" si="95"/>
        <v/>
      </c>
      <c r="DK685" s="1271" t="str">
        <f t="shared" si="96"/>
        <v/>
      </c>
      <c r="DL685" s="1271" t="str">
        <f t="shared" si="97"/>
        <v/>
      </c>
      <c r="DM685" s="1271" t="str">
        <f t="shared" si="98"/>
        <v/>
      </c>
      <c r="DN685" s="1271" t="str">
        <f t="shared" si="99"/>
        <v/>
      </c>
      <c r="DO685" s="1271" t="str">
        <f t="shared" si="100"/>
        <v/>
      </c>
      <c r="DP685" s="1271" t="str">
        <f t="shared" si="101"/>
        <v/>
      </c>
      <c r="DQ685" s="1271" t="str">
        <f t="shared" si="102"/>
        <v/>
      </c>
      <c r="DR685" s="1271" t="str">
        <f t="shared" si="103"/>
        <v/>
      </c>
      <c r="DS685" s="1271" t="str">
        <f t="shared" si="104"/>
        <v/>
      </c>
      <c r="DT685" s="1271" t="str">
        <f t="shared" si="105"/>
        <v/>
      </c>
      <c r="DU685" s="1271" t="str">
        <f t="shared" si="106"/>
        <v/>
      </c>
      <c r="DV685" s="1271" t="str">
        <f t="shared" si="107"/>
        <v/>
      </c>
      <c r="DW685" s="1271" t="str">
        <f t="shared" si="108"/>
        <v/>
      </c>
      <c r="DX685" s="1271" t="str">
        <f t="shared" si="109"/>
        <v/>
      </c>
      <c r="DY685" s="1271" t="str">
        <f t="shared" si="110"/>
        <v/>
      </c>
      <c r="DZ685" s="1271" t="str">
        <f t="shared" si="111"/>
        <v/>
      </c>
      <c r="EA685" s="1271" t="str">
        <f t="shared" si="112"/>
        <v/>
      </c>
      <c r="EB685" s="1271" t="str">
        <f t="shared" si="113"/>
        <v/>
      </c>
      <c r="EC685" s="1271" t="str">
        <f t="shared" si="114"/>
        <v/>
      </c>
      <c r="ED685" s="1271" t="str">
        <f t="shared" si="115"/>
        <v/>
      </c>
      <c r="EE685" s="1271" t="str">
        <f t="shared" si="116"/>
        <v/>
      </c>
      <c r="EF685" s="1271" t="str">
        <f t="shared" si="117"/>
        <v/>
      </c>
      <c r="EG685" s="1271" t="str">
        <f t="shared" si="118"/>
        <v/>
      </c>
      <c r="EH685" s="1271" t="str">
        <f t="shared" si="119"/>
        <v/>
      </c>
      <c r="EI685" s="1271" t="str">
        <f t="shared" si="120"/>
        <v/>
      </c>
      <c r="EJ685" s="1271" t="str">
        <f t="shared" si="121"/>
        <v/>
      </c>
      <c r="EK685" s="1271" t="str">
        <f t="shared" si="122"/>
        <v/>
      </c>
      <c r="EL685" s="1271" t="str">
        <f t="shared" si="123"/>
        <v/>
      </c>
      <c r="EM685" s="1271" t="str">
        <f t="shared" si="124"/>
        <v/>
      </c>
      <c r="EN685" s="1271" t="str">
        <f t="shared" si="125"/>
        <v/>
      </c>
      <c r="EO685" s="1271" t="str">
        <f t="shared" si="126"/>
        <v/>
      </c>
      <c r="EP685" s="1271" t="str">
        <f t="shared" si="127"/>
        <v/>
      </c>
      <c r="EQ685" s="1271" t="str">
        <f t="shared" si="128"/>
        <v/>
      </c>
      <c r="ER685" s="1271" t="str">
        <f t="shared" si="129"/>
        <v/>
      </c>
      <c r="ES685" s="1271" t="str">
        <f t="shared" si="130"/>
        <v/>
      </c>
      <c r="ET685" s="1271" t="str">
        <f t="shared" si="131"/>
        <v/>
      </c>
      <c r="EU685" s="1271" t="str">
        <f t="shared" si="132"/>
        <v/>
      </c>
      <c r="EV685" s="1271" t="str">
        <f t="shared" si="133"/>
        <v/>
      </c>
      <c r="EW685" s="1519" t="str">
        <f t="shared" si="134"/>
        <v/>
      </c>
      <c r="EX685" s="1519" t="str">
        <f t="shared" si="135"/>
        <v/>
      </c>
      <c r="EY685" s="1519" t="str">
        <f t="shared" si="136"/>
        <v/>
      </c>
      <c r="EZ685" s="1519" t="str">
        <f t="shared" si="137"/>
        <v/>
      </c>
      <c r="FA685" s="1519" t="str">
        <f t="shared" si="138"/>
        <v/>
      </c>
      <c r="FB685" s="1519" t="str">
        <f t="shared" si="139"/>
        <v/>
      </c>
      <c r="FC685" s="1519" t="str">
        <f t="shared" si="140"/>
        <v/>
      </c>
      <c r="FD685" s="1519" t="str">
        <f t="shared" si="141"/>
        <v/>
      </c>
      <c r="FE685" s="1519" t="str">
        <f t="shared" si="142"/>
        <v/>
      </c>
      <c r="FF685" s="1519" t="str">
        <f t="shared" si="143"/>
        <v/>
      </c>
      <c r="FG685" s="1519" t="str">
        <f t="shared" si="144"/>
        <v/>
      </c>
      <c r="FH685" s="1519" t="str">
        <f t="shared" si="145"/>
        <v/>
      </c>
      <c r="FI685" s="1519" t="str">
        <f t="shared" si="146"/>
        <v/>
      </c>
      <c r="FJ685" s="1519" t="str">
        <f t="shared" si="147"/>
        <v/>
      </c>
      <c r="FK685" s="1519" t="str">
        <f t="shared" si="148"/>
        <v/>
      </c>
      <c r="FL685" s="1519" t="str">
        <f t="shared" si="149"/>
        <v/>
      </c>
      <c r="FM685" s="1519" t="str">
        <f t="shared" si="150"/>
        <v/>
      </c>
      <c r="FN685" s="1519" t="str">
        <f t="shared" si="151"/>
        <v/>
      </c>
      <c r="FO685" s="1519" t="str">
        <f t="shared" si="152"/>
        <v/>
      </c>
      <c r="FP685" s="1519" t="str">
        <f t="shared" si="153"/>
        <v/>
      </c>
      <c r="FQ685" s="1519" t="str">
        <f t="shared" si="154"/>
        <v/>
      </c>
      <c r="FR685" s="1519" t="str">
        <f t="shared" si="155"/>
        <v/>
      </c>
      <c r="FS685" s="1519" t="str">
        <f t="shared" si="156"/>
        <v/>
      </c>
      <c r="FT685" s="1519" t="str">
        <f t="shared" si="157"/>
        <v/>
      </c>
      <c r="FU685" s="1519" t="str">
        <f t="shared" si="158"/>
        <v/>
      </c>
      <c r="FV685" s="1519" t="str">
        <f t="shared" si="159"/>
        <v/>
      </c>
      <c r="FW685" s="1519" t="str">
        <f t="shared" si="160"/>
        <v/>
      </c>
      <c r="FX685" s="1519" t="str">
        <f t="shared" si="161"/>
        <v/>
      </c>
      <c r="FY685" s="1519" t="str">
        <f t="shared" si="162"/>
        <v/>
      </c>
      <c r="FZ685" s="1519" t="str">
        <f t="shared" si="163"/>
        <v/>
      </c>
      <c r="GA685" s="1519" t="str">
        <f t="shared" si="164"/>
        <v/>
      </c>
      <c r="GB685" s="1519" t="str">
        <f t="shared" si="165"/>
        <v/>
      </c>
      <c r="GC685" s="1519" t="str">
        <f t="shared" si="166"/>
        <v/>
      </c>
      <c r="GD685" s="1519" t="str">
        <f t="shared" si="167"/>
        <v/>
      </c>
      <c r="GE685" s="1519" t="str">
        <f t="shared" si="168"/>
        <v/>
      </c>
      <c r="GF685" s="1519" t="str">
        <f t="shared" si="169"/>
        <v/>
      </c>
      <c r="GG685" s="1519" t="str">
        <f t="shared" si="170"/>
        <v/>
      </c>
      <c r="GH685" s="1519" t="str">
        <f t="shared" si="171"/>
        <v/>
      </c>
      <c r="GI685" s="1519" t="str">
        <f t="shared" si="172"/>
        <v/>
      </c>
      <c r="GJ685" s="1519" t="str">
        <f t="shared" si="173"/>
        <v/>
      </c>
      <c r="GK685" s="1519" t="str">
        <f t="shared" si="174"/>
        <v/>
      </c>
      <c r="GL685" s="1519" t="str">
        <f t="shared" si="175"/>
        <v/>
      </c>
      <c r="GM685" s="1519" t="str">
        <f t="shared" si="176"/>
        <v/>
      </c>
      <c r="GN685" s="1519" t="str">
        <f t="shared" si="177"/>
        <v/>
      </c>
      <c r="GO685" s="1519" t="str">
        <f t="shared" si="178"/>
        <v/>
      </c>
      <c r="GP685" s="1519" t="str">
        <f t="shared" si="179"/>
        <v/>
      </c>
      <c r="GQ685" s="1519" t="str">
        <f t="shared" si="180"/>
        <v/>
      </c>
      <c r="GR685" s="1519" t="str">
        <f t="shared" si="181"/>
        <v/>
      </c>
      <c r="GS685" s="1519" t="str">
        <f t="shared" si="182"/>
        <v/>
      </c>
      <c r="GT685" s="1519" t="str">
        <f t="shared" si="183"/>
        <v/>
      </c>
      <c r="GU685" s="1519" t="str">
        <f t="shared" si="184"/>
        <v/>
      </c>
      <c r="GV685" s="1519" t="str">
        <f t="shared" si="185"/>
        <v/>
      </c>
      <c r="GW685" s="1519" t="str">
        <f t="shared" si="186"/>
        <v/>
      </c>
      <c r="GX685" s="1519" t="str">
        <f t="shared" si="187"/>
        <v/>
      </c>
      <c r="GY685" s="1519" t="str">
        <f t="shared" si="188"/>
        <v/>
      </c>
      <c r="GZ685" s="1519" t="str">
        <f t="shared" si="189"/>
        <v/>
      </c>
      <c r="HA685" s="1519" t="str">
        <f t="shared" si="190"/>
        <v/>
      </c>
      <c r="HB685" s="1519" t="str">
        <f t="shared" si="191"/>
        <v/>
      </c>
      <c r="HC685" s="1519" t="str">
        <f t="shared" si="192"/>
        <v/>
      </c>
      <c r="HD685" s="1519" t="str">
        <f t="shared" si="193"/>
        <v/>
      </c>
      <c r="HE685" s="1519" t="str">
        <f t="shared" si="194"/>
        <v/>
      </c>
      <c r="HF685" s="1519" t="str">
        <f t="shared" si="195"/>
        <v/>
      </c>
      <c r="HG685" s="1519" t="str">
        <f t="shared" si="196"/>
        <v/>
      </c>
      <c r="HH685" s="1519" t="str">
        <f t="shared" si="197"/>
        <v/>
      </c>
      <c r="HI685" s="1519" t="str">
        <f t="shared" si="198"/>
        <v/>
      </c>
      <c r="HJ685" s="1519" t="str">
        <f t="shared" si="199"/>
        <v/>
      </c>
      <c r="HK685" s="1519" t="str">
        <f t="shared" si="200"/>
        <v/>
      </c>
      <c r="HL685" s="1519" t="str">
        <f t="shared" si="201"/>
        <v/>
      </c>
      <c r="HM685" s="1519" t="str">
        <f t="shared" si="202"/>
        <v/>
      </c>
      <c r="HN685" s="1519" t="str">
        <f t="shared" si="203"/>
        <v/>
      </c>
      <c r="HO685" s="1519" t="str">
        <f t="shared" si="204"/>
        <v/>
      </c>
      <c r="HP685" s="1519" t="str">
        <f t="shared" si="205"/>
        <v/>
      </c>
      <c r="HQ685" s="1519" t="str">
        <f t="shared" si="206"/>
        <v/>
      </c>
      <c r="HR685" s="1519" t="str">
        <f t="shared" si="207"/>
        <v/>
      </c>
      <c r="HS685" s="1519" t="str">
        <f t="shared" si="208"/>
        <v/>
      </c>
      <c r="HT685" s="1519" t="str">
        <f t="shared" si="209"/>
        <v/>
      </c>
      <c r="HU685" s="1519" t="str">
        <f t="shared" si="210"/>
        <v/>
      </c>
      <c r="HV685" s="1519" t="str">
        <f t="shared" si="211"/>
        <v/>
      </c>
      <c r="HW685" s="1519" t="str">
        <f t="shared" si="212"/>
        <v/>
      </c>
      <c r="HX685" s="1519" t="str">
        <f t="shared" si="213"/>
        <v/>
      </c>
      <c r="HY685" s="1519" t="str">
        <f t="shared" si="214"/>
        <v/>
      </c>
      <c r="HZ685" s="1519" t="str">
        <f t="shared" si="215"/>
        <v/>
      </c>
      <c r="IA685" s="1519" t="str">
        <f t="shared" si="216"/>
        <v/>
      </c>
      <c r="IB685" s="1519" t="str">
        <f t="shared" si="217"/>
        <v/>
      </c>
      <c r="IC685" s="1519" t="str">
        <f t="shared" si="218"/>
        <v/>
      </c>
      <c r="ID685" s="1520" t="str">
        <f t="shared" si="219"/>
        <v/>
      </c>
      <c r="IE685" s="1520" t="str">
        <f t="shared" si="220"/>
        <v/>
      </c>
      <c r="IF685" s="1520" t="str">
        <f t="shared" si="221"/>
        <v/>
      </c>
      <c r="IG685" s="1520" t="str">
        <f t="shared" si="222"/>
        <v/>
      </c>
      <c r="IH685" s="1520" t="str">
        <f t="shared" si="223"/>
        <v/>
      </c>
      <c r="II685" s="1271" t="str">
        <f t="shared" si="224"/>
        <v/>
      </c>
      <c r="IJ685" s="1271" t="str">
        <f t="shared" si="225"/>
        <v/>
      </c>
      <c r="IK685" s="1271" t="str">
        <f t="shared" si="226"/>
        <v/>
      </c>
      <c r="IL685" s="1271" t="str">
        <f t="shared" si="227"/>
        <v/>
      </c>
      <c r="IM685" s="1271" t="str">
        <f t="shared" si="228"/>
        <v/>
      </c>
      <c r="IN685" s="1271" t="str">
        <f t="shared" si="229"/>
        <v/>
      </c>
      <c r="IO685" s="1271" t="str">
        <f t="shared" si="230"/>
        <v/>
      </c>
      <c r="IP685" s="1271" t="str">
        <f t="shared" si="231"/>
        <v/>
      </c>
      <c r="IQ685" s="1271" t="str">
        <f t="shared" si="232"/>
        <v/>
      </c>
      <c r="IR685" s="1271" t="str">
        <f t="shared" si="233"/>
        <v/>
      </c>
      <c r="IS685" s="1271" t="str">
        <f t="shared" si="234"/>
        <v/>
      </c>
      <c r="IT685" s="1271" t="str">
        <f t="shared" si="235"/>
        <v/>
      </c>
      <c r="IU685" s="1271" t="str">
        <f t="shared" si="236"/>
        <v/>
      </c>
      <c r="IV685" s="1271" t="str">
        <f t="shared" si="237"/>
        <v/>
      </c>
      <c r="IW685" s="1271" t="str">
        <f t="shared" si="238"/>
        <v/>
      </c>
      <c r="IX685" s="1271" t="str">
        <f t="shared" si="239"/>
        <v/>
      </c>
      <c r="IY685" s="1271" t="str">
        <f t="shared" si="240"/>
        <v/>
      </c>
      <c r="IZ685" s="1271" t="str">
        <f t="shared" si="241"/>
        <v/>
      </c>
      <c r="JA685" s="1271" t="str">
        <f t="shared" si="242"/>
        <v/>
      </c>
      <c r="JB685" s="1271" t="str">
        <f t="shared" si="243"/>
        <v/>
      </c>
      <c r="JC685" s="1518">
        <f t="shared" si="244"/>
        <v>0</v>
      </c>
      <c r="JD685" s="1518">
        <f t="shared" si="245"/>
        <v>0</v>
      </c>
      <c r="JE685" s="1518">
        <f t="shared" si="246"/>
        <v>0</v>
      </c>
      <c r="JF685" s="1518">
        <f t="shared" si="247"/>
        <v>0</v>
      </c>
      <c r="JG685" s="1518">
        <f t="shared" si="248"/>
        <v>0</v>
      </c>
      <c r="JH685" s="1518">
        <f t="shared" si="249"/>
        <v>0</v>
      </c>
      <c r="JI685" s="1518">
        <f t="shared" si="250"/>
        <v>0</v>
      </c>
      <c r="JJ685" s="1518">
        <f t="shared" si="251"/>
        <v>0</v>
      </c>
      <c r="JK685" s="1518">
        <f t="shared" si="252"/>
        <v>0</v>
      </c>
      <c r="JL685" s="1518">
        <f t="shared" si="253"/>
        <v>0</v>
      </c>
      <c r="JM685" s="1518">
        <f t="shared" si="254"/>
        <v>0</v>
      </c>
      <c r="JN685" s="1518">
        <f t="shared" si="255"/>
        <v>0</v>
      </c>
      <c r="JO685" s="1518">
        <f t="shared" si="256"/>
        <v>0</v>
      </c>
      <c r="JP685" s="1518">
        <f t="shared" si="257"/>
        <v>0</v>
      </c>
      <c r="JQ685" s="1518">
        <f t="shared" si="258"/>
        <v>0</v>
      </c>
    </row>
    <row r="686" spans="1:277" ht="12" customHeight="1">
      <c r="A686" s="1687" t="str">
        <f t="shared" si="1"/>
        <v/>
      </c>
      <c r="B686" s="1702" t="str">
        <f>'Part VI-Revenues &amp; Expenses'!B25</f>
        <v>&lt;&lt;Select&gt;&gt;</v>
      </c>
      <c r="C686" s="1703">
        <f>'Part VI-Revenues &amp; Expenses'!C25</f>
        <v>0</v>
      </c>
      <c r="D686" s="1704">
        <f>'Part VI-Revenues &amp; Expenses'!D25</f>
        <v>0</v>
      </c>
      <c r="E686" s="1705">
        <f>'Part VI-Revenues &amp; Expenses'!E25</f>
        <v>0</v>
      </c>
      <c r="F686" s="1705">
        <f>'Part VI-Revenues &amp; Expenses'!F25</f>
        <v>0</v>
      </c>
      <c r="G686" s="1705">
        <f>'Part VI-Revenues &amp; Expenses'!G25</f>
        <v>0</v>
      </c>
      <c r="H686" s="1705">
        <f>'Part VI-Revenues &amp; Expenses'!H25</f>
        <v>0</v>
      </c>
      <c r="I686" s="1705">
        <f>'Part VI-Revenues &amp; Expenses'!I25</f>
        <v>0</v>
      </c>
      <c r="J686" s="1706">
        <f>'Part VI-Revenues &amp; Expenses'!J25</f>
        <v>0</v>
      </c>
      <c r="K686" s="1707">
        <f t="shared" si="2"/>
        <v>0</v>
      </c>
      <c r="L686" s="1707">
        <f t="shared" si="3"/>
        <v>0</v>
      </c>
      <c r="M686" s="1708">
        <f>'Part VI-Revenues &amp; Expenses'!M25</f>
        <v>0</v>
      </c>
      <c r="N686" s="1708">
        <f>'Part VI-Revenues &amp; Expenses'!N25</f>
        <v>0</v>
      </c>
      <c r="O686" s="1708">
        <f>'Part VI-Revenues &amp; Expenses'!O25</f>
        <v>0</v>
      </c>
      <c r="P686" s="1515">
        <f>'Part VI-Revenues &amp; Expenses'!P25</f>
        <v>0</v>
      </c>
      <c r="Q686" s="1709" t="str">
        <f>'Part VI-Revenues &amp; Expenses'!Q25</f>
        <v/>
      </c>
      <c r="R686" s="1710" t="str">
        <f>'Part VI-Revenues &amp; Expenses'!R25</f>
        <v/>
      </c>
      <c r="S686" s="1709">
        <f>'Part VI-Revenues &amp; Expenses'!S25</f>
        <v>0</v>
      </c>
      <c r="T686" s="1710">
        <f>'Part VI-Revenues &amp; Expenses'!T25</f>
        <v>0</v>
      </c>
      <c r="U686" s="1629"/>
      <c r="V686" s="1629"/>
      <c r="W686" s="1271" t="str">
        <f t="shared" si="4"/>
        <v/>
      </c>
      <c r="X686" s="1271" t="str">
        <f t="shared" si="5"/>
        <v/>
      </c>
      <c r="Y686" s="1271" t="str">
        <f t="shared" si="6"/>
        <v/>
      </c>
      <c r="Z686" s="1271" t="str">
        <f t="shared" si="7"/>
        <v/>
      </c>
      <c r="AA686" s="1271" t="str">
        <f t="shared" si="8"/>
        <v/>
      </c>
      <c r="AB686" s="1271" t="str">
        <f t="shared" si="9"/>
        <v/>
      </c>
      <c r="AC686" s="1271" t="str">
        <f t="shared" si="10"/>
        <v/>
      </c>
      <c r="AD686" s="1271" t="str">
        <f t="shared" si="11"/>
        <v/>
      </c>
      <c r="AE686" s="1271" t="str">
        <f t="shared" si="12"/>
        <v/>
      </c>
      <c r="AF686" s="1271" t="str">
        <f t="shared" si="13"/>
        <v/>
      </c>
      <c r="AG686" s="1271" t="str">
        <f t="shared" si="14"/>
        <v/>
      </c>
      <c r="AH686" s="1271" t="str">
        <f t="shared" si="15"/>
        <v/>
      </c>
      <c r="AI686" s="1271" t="str">
        <f t="shared" si="16"/>
        <v/>
      </c>
      <c r="AJ686" s="1271" t="str">
        <f t="shared" si="17"/>
        <v/>
      </c>
      <c r="AK686" s="1271" t="str">
        <f t="shared" si="18"/>
        <v/>
      </c>
      <c r="AL686" s="1271" t="str">
        <f t="shared" si="19"/>
        <v/>
      </c>
      <c r="AM686" s="1271" t="str">
        <f t="shared" si="20"/>
        <v/>
      </c>
      <c r="AN686" s="1271" t="str">
        <f t="shared" si="21"/>
        <v/>
      </c>
      <c r="AO686" s="1271" t="str">
        <f t="shared" si="22"/>
        <v/>
      </c>
      <c r="AP686" s="1271" t="str">
        <f t="shared" si="23"/>
        <v/>
      </c>
      <c r="AQ686" s="1271" t="str">
        <f t="shared" si="24"/>
        <v/>
      </c>
      <c r="AR686" s="1271" t="str">
        <f t="shared" si="25"/>
        <v/>
      </c>
      <c r="AS686" s="1271" t="str">
        <f t="shared" si="26"/>
        <v/>
      </c>
      <c r="AT686" s="1271" t="str">
        <f t="shared" si="27"/>
        <v/>
      </c>
      <c r="AU686" s="1271" t="str">
        <f t="shared" si="28"/>
        <v/>
      </c>
      <c r="AV686" s="1271" t="str">
        <f t="shared" si="29"/>
        <v/>
      </c>
      <c r="AW686" s="1271" t="str">
        <f t="shared" si="30"/>
        <v/>
      </c>
      <c r="AX686" s="1271" t="str">
        <f t="shared" si="31"/>
        <v/>
      </c>
      <c r="AY686" s="1271" t="str">
        <f t="shared" si="32"/>
        <v/>
      </c>
      <c r="AZ686" s="1271" t="str">
        <f t="shared" si="33"/>
        <v/>
      </c>
      <c r="BA686" s="1271" t="str">
        <f t="shared" si="34"/>
        <v/>
      </c>
      <c r="BB686" s="1271" t="str">
        <f t="shared" si="35"/>
        <v/>
      </c>
      <c r="BC686" s="1271" t="str">
        <f t="shared" si="36"/>
        <v/>
      </c>
      <c r="BD686" s="1271" t="str">
        <f t="shared" si="37"/>
        <v/>
      </c>
      <c r="BE686" s="1271" t="str">
        <f t="shared" si="38"/>
        <v/>
      </c>
      <c r="BF686" s="1271" t="str">
        <f t="shared" si="39"/>
        <v/>
      </c>
      <c r="BG686" s="1271" t="str">
        <f t="shared" si="40"/>
        <v/>
      </c>
      <c r="BH686" s="1271" t="str">
        <f t="shared" si="41"/>
        <v/>
      </c>
      <c r="BI686" s="1271" t="str">
        <f t="shared" si="42"/>
        <v/>
      </c>
      <c r="BJ686" s="1271" t="str">
        <f t="shared" si="43"/>
        <v/>
      </c>
      <c r="BK686" s="1271" t="str">
        <f t="shared" si="44"/>
        <v/>
      </c>
      <c r="BL686" s="1271" t="str">
        <f t="shared" si="45"/>
        <v/>
      </c>
      <c r="BM686" s="1271" t="str">
        <f t="shared" si="46"/>
        <v/>
      </c>
      <c r="BN686" s="1271" t="str">
        <f t="shared" si="47"/>
        <v/>
      </c>
      <c r="BO686" s="1271" t="str">
        <f t="shared" si="48"/>
        <v/>
      </c>
      <c r="BP686" s="1271" t="str">
        <f t="shared" si="49"/>
        <v/>
      </c>
      <c r="BQ686" s="1271" t="str">
        <f t="shared" si="50"/>
        <v/>
      </c>
      <c r="BR686" s="1271" t="str">
        <f t="shared" si="51"/>
        <v/>
      </c>
      <c r="BS686" s="1271" t="str">
        <f t="shared" si="52"/>
        <v/>
      </c>
      <c r="BT686" s="1271" t="str">
        <f t="shared" si="53"/>
        <v/>
      </c>
      <c r="BU686" s="1271" t="str">
        <f t="shared" si="54"/>
        <v/>
      </c>
      <c r="BV686" s="1271" t="str">
        <f t="shared" si="55"/>
        <v/>
      </c>
      <c r="BW686" s="1271" t="str">
        <f t="shared" si="56"/>
        <v/>
      </c>
      <c r="BX686" s="1271" t="str">
        <f t="shared" si="57"/>
        <v/>
      </c>
      <c r="BY686" s="1271" t="str">
        <f t="shared" si="58"/>
        <v/>
      </c>
      <c r="BZ686" s="1271" t="str">
        <f t="shared" si="59"/>
        <v/>
      </c>
      <c r="CA686" s="1271" t="str">
        <f t="shared" si="60"/>
        <v/>
      </c>
      <c r="CB686" s="1271" t="str">
        <f t="shared" si="61"/>
        <v/>
      </c>
      <c r="CC686" s="1271" t="str">
        <f t="shared" si="62"/>
        <v/>
      </c>
      <c r="CD686" s="1271" t="str">
        <f t="shared" si="63"/>
        <v/>
      </c>
      <c r="CE686" s="1271" t="str">
        <f t="shared" si="64"/>
        <v/>
      </c>
      <c r="CF686" s="1271" t="str">
        <f t="shared" si="65"/>
        <v/>
      </c>
      <c r="CG686" s="1271" t="str">
        <f t="shared" si="66"/>
        <v/>
      </c>
      <c r="CH686" s="1271" t="str">
        <f t="shared" si="67"/>
        <v/>
      </c>
      <c r="CI686" s="1271" t="str">
        <f t="shared" si="68"/>
        <v/>
      </c>
      <c r="CJ686" s="1271" t="str">
        <f t="shared" si="69"/>
        <v/>
      </c>
      <c r="CK686" s="1271" t="str">
        <f t="shared" si="70"/>
        <v/>
      </c>
      <c r="CL686" s="1271" t="str">
        <f t="shared" si="71"/>
        <v/>
      </c>
      <c r="CM686" s="1271" t="str">
        <f t="shared" si="72"/>
        <v/>
      </c>
      <c r="CN686" s="1271" t="str">
        <f t="shared" si="73"/>
        <v/>
      </c>
      <c r="CO686" s="1271" t="str">
        <f t="shared" si="74"/>
        <v/>
      </c>
      <c r="CP686" s="1271" t="str">
        <f t="shared" si="75"/>
        <v/>
      </c>
      <c r="CQ686" s="1271" t="str">
        <f t="shared" si="76"/>
        <v/>
      </c>
      <c r="CR686" s="1271" t="str">
        <f t="shared" si="77"/>
        <v/>
      </c>
      <c r="CS686" s="1271" t="str">
        <f t="shared" si="78"/>
        <v/>
      </c>
      <c r="CT686" s="1271" t="str">
        <f t="shared" si="79"/>
        <v/>
      </c>
      <c r="CU686" s="1271" t="str">
        <f t="shared" si="80"/>
        <v/>
      </c>
      <c r="CV686" s="1271" t="str">
        <f t="shared" si="81"/>
        <v/>
      </c>
      <c r="CW686" s="1271" t="str">
        <f t="shared" si="82"/>
        <v/>
      </c>
      <c r="CX686" s="1271" t="str">
        <f t="shared" si="83"/>
        <v/>
      </c>
      <c r="CY686" s="1271" t="str">
        <f t="shared" si="84"/>
        <v/>
      </c>
      <c r="CZ686" s="1271" t="str">
        <f t="shared" si="85"/>
        <v/>
      </c>
      <c r="DA686" s="1271" t="str">
        <f t="shared" si="86"/>
        <v/>
      </c>
      <c r="DB686" s="1271" t="str">
        <f t="shared" si="87"/>
        <v/>
      </c>
      <c r="DC686" s="1271" t="str">
        <f t="shared" si="88"/>
        <v/>
      </c>
      <c r="DD686" s="1271" t="str">
        <f t="shared" si="89"/>
        <v/>
      </c>
      <c r="DE686" s="1271" t="str">
        <f t="shared" si="90"/>
        <v/>
      </c>
      <c r="DF686" s="1271" t="str">
        <f t="shared" si="91"/>
        <v/>
      </c>
      <c r="DG686" s="1271" t="str">
        <f t="shared" si="92"/>
        <v/>
      </c>
      <c r="DH686" s="1271" t="str">
        <f t="shared" si="93"/>
        <v/>
      </c>
      <c r="DI686" s="1271" t="str">
        <f t="shared" si="94"/>
        <v/>
      </c>
      <c r="DJ686" s="1271" t="str">
        <f t="shared" si="95"/>
        <v/>
      </c>
      <c r="DK686" s="1271" t="str">
        <f t="shared" si="96"/>
        <v/>
      </c>
      <c r="DL686" s="1271" t="str">
        <f t="shared" si="97"/>
        <v/>
      </c>
      <c r="DM686" s="1271" t="str">
        <f t="shared" si="98"/>
        <v/>
      </c>
      <c r="DN686" s="1271" t="str">
        <f t="shared" si="99"/>
        <v/>
      </c>
      <c r="DO686" s="1271" t="str">
        <f t="shared" si="100"/>
        <v/>
      </c>
      <c r="DP686" s="1271" t="str">
        <f t="shared" si="101"/>
        <v/>
      </c>
      <c r="DQ686" s="1271" t="str">
        <f t="shared" si="102"/>
        <v/>
      </c>
      <c r="DR686" s="1271" t="str">
        <f t="shared" si="103"/>
        <v/>
      </c>
      <c r="DS686" s="1271" t="str">
        <f t="shared" si="104"/>
        <v/>
      </c>
      <c r="DT686" s="1271" t="str">
        <f t="shared" si="105"/>
        <v/>
      </c>
      <c r="DU686" s="1271" t="str">
        <f t="shared" si="106"/>
        <v/>
      </c>
      <c r="DV686" s="1271" t="str">
        <f t="shared" si="107"/>
        <v/>
      </c>
      <c r="DW686" s="1271" t="str">
        <f t="shared" si="108"/>
        <v/>
      </c>
      <c r="DX686" s="1271" t="str">
        <f t="shared" si="109"/>
        <v/>
      </c>
      <c r="DY686" s="1271" t="str">
        <f t="shared" si="110"/>
        <v/>
      </c>
      <c r="DZ686" s="1271" t="str">
        <f t="shared" si="111"/>
        <v/>
      </c>
      <c r="EA686" s="1271" t="str">
        <f t="shared" si="112"/>
        <v/>
      </c>
      <c r="EB686" s="1271" t="str">
        <f t="shared" si="113"/>
        <v/>
      </c>
      <c r="EC686" s="1271" t="str">
        <f t="shared" si="114"/>
        <v/>
      </c>
      <c r="ED686" s="1271" t="str">
        <f t="shared" si="115"/>
        <v/>
      </c>
      <c r="EE686" s="1271" t="str">
        <f t="shared" si="116"/>
        <v/>
      </c>
      <c r="EF686" s="1271" t="str">
        <f t="shared" si="117"/>
        <v/>
      </c>
      <c r="EG686" s="1271" t="str">
        <f t="shared" si="118"/>
        <v/>
      </c>
      <c r="EH686" s="1271" t="str">
        <f t="shared" si="119"/>
        <v/>
      </c>
      <c r="EI686" s="1271" t="str">
        <f t="shared" si="120"/>
        <v/>
      </c>
      <c r="EJ686" s="1271" t="str">
        <f t="shared" si="121"/>
        <v/>
      </c>
      <c r="EK686" s="1271" t="str">
        <f t="shared" si="122"/>
        <v/>
      </c>
      <c r="EL686" s="1271" t="str">
        <f t="shared" si="123"/>
        <v/>
      </c>
      <c r="EM686" s="1271" t="str">
        <f t="shared" si="124"/>
        <v/>
      </c>
      <c r="EN686" s="1271" t="str">
        <f t="shared" si="125"/>
        <v/>
      </c>
      <c r="EO686" s="1271" t="str">
        <f t="shared" si="126"/>
        <v/>
      </c>
      <c r="EP686" s="1271" t="str">
        <f t="shared" si="127"/>
        <v/>
      </c>
      <c r="EQ686" s="1271" t="str">
        <f t="shared" si="128"/>
        <v/>
      </c>
      <c r="ER686" s="1271" t="str">
        <f t="shared" si="129"/>
        <v/>
      </c>
      <c r="ES686" s="1271" t="str">
        <f t="shared" si="130"/>
        <v/>
      </c>
      <c r="ET686" s="1271" t="str">
        <f t="shared" si="131"/>
        <v/>
      </c>
      <c r="EU686" s="1271" t="str">
        <f t="shared" si="132"/>
        <v/>
      </c>
      <c r="EV686" s="1271" t="str">
        <f t="shared" si="133"/>
        <v/>
      </c>
      <c r="EW686" s="1519" t="str">
        <f t="shared" si="134"/>
        <v/>
      </c>
      <c r="EX686" s="1519" t="str">
        <f t="shared" si="135"/>
        <v/>
      </c>
      <c r="EY686" s="1519" t="str">
        <f t="shared" si="136"/>
        <v/>
      </c>
      <c r="EZ686" s="1519" t="str">
        <f t="shared" si="137"/>
        <v/>
      </c>
      <c r="FA686" s="1519" t="str">
        <f t="shared" si="138"/>
        <v/>
      </c>
      <c r="FB686" s="1519" t="str">
        <f t="shared" si="139"/>
        <v/>
      </c>
      <c r="FC686" s="1519" t="str">
        <f t="shared" si="140"/>
        <v/>
      </c>
      <c r="FD686" s="1519" t="str">
        <f t="shared" si="141"/>
        <v/>
      </c>
      <c r="FE686" s="1519" t="str">
        <f t="shared" si="142"/>
        <v/>
      </c>
      <c r="FF686" s="1519" t="str">
        <f t="shared" si="143"/>
        <v/>
      </c>
      <c r="FG686" s="1519" t="str">
        <f t="shared" si="144"/>
        <v/>
      </c>
      <c r="FH686" s="1519" t="str">
        <f t="shared" si="145"/>
        <v/>
      </c>
      <c r="FI686" s="1519" t="str">
        <f t="shared" si="146"/>
        <v/>
      </c>
      <c r="FJ686" s="1519" t="str">
        <f t="shared" si="147"/>
        <v/>
      </c>
      <c r="FK686" s="1519" t="str">
        <f t="shared" si="148"/>
        <v/>
      </c>
      <c r="FL686" s="1519" t="str">
        <f t="shared" si="149"/>
        <v/>
      </c>
      <c r="FM686" s="1519" t="str">
        <f t="shared" si="150"/>
        <v/>
      </c>
      <c r="FN686" s="1519" t="str">
        <f t="shared" si="151"/>
        <v/>
      </c>
      <c r="FO686" s="1519" t="str">
        <f t="shared" si="152"/>
        <v/>
      </c>
      <c r="FP686" s="1519" t="str">
        <f t="shared" si="153"/>
        <v/>
      </c>
      <c r="FQ686" s="1519" t="str">
        <f t="shared" si="154"/>
        <v/>
      </c>
      <c r="FR686" s="1519" t="str">
        <f t="shared" si="155"/>
        <v/>
      </c>
      <c r="FS686" s="1519" t="str">
        <f t="shared" si="156"/>
        <v/>
      </c>
      <c r="FT686" s="1519" t="str">
        <f t="shared" si="157"/>
        <v/>
      </c>
      <c r="FU686" s="1519" t="str">
        <f t="shared" si="158"/>
        <v/>
      </c>
      <c r="FV686" s="1519" t="str">
        <f t="shared" si="159"/>
        <v/>
      </c>
      <c r="FW686" s="1519" t="str">
        <f t="shared" si="160"/>
        <v/>
      </c>
      <c r="FX686" s="1519" t="str">
        <f t="shared" si="161"/>
        <v/>
      </c>
      <c r="FY686" s="1519" t="str">
        <f t="shared" si="162"/>
        <v/>
      </c>
      <c r="FZ686" s="1519" t="str">
        <f t="shared" si="163"/>
        <v/>
      </c>
      <c r="GA686" s="1519" t="str">
        <f t="shared" si="164"/>
        <v/>
      </c>
      <c r="GB686" s="1519" t="str">
        <f t="shared" si="165"/>
        <v/>
      </c>
      <c r="GC686" s="1519" t="str">
        <f t="shared" si="166"/>
        <v/>
      </c>
      <c r="GD686" s="1519" t="str">
        <f t="shared" si="167"/>
        <v/>
      </c>
      <c r="GE686" s="1519" t="str">
        <f t="shared" si="168"/>
        <v/>
      </c>
      <c r="GF686" s="1519" t="str">
        <f t="shared" si="169"/>
        <v/>
      </c>
      <c r="GG686" s="1519" t="str">
        <f t="shared" si="170"/>
        <v/>
      </c>
      <c r="GH686" s="1519" t="str">
        <f t="shared" si="171"/>
        <v/>
      </c>
      <c r="GI686" s="1519" t="str">
        <f t="shared" si="172"/>
        <v/>
      </c>
      <c r="GJ686" s="1519" t="str">
        <f t="shared" si="173"/>
        <v/>
      </c>
      <c r="GK686" s="1519" t="str">
        <f t="shared" si="174"/>
        <v/>
      </c>
      <c r="GL686" s="1519" t="str">
        <f t="shared" si="175"/>
        <v/>
      </c>
      <c r="GM686" s="1519" t="str">
        <f t="shared" si="176"/>
        <v/>
      </c>
      <c r="GN686" s="1519" t="str">
        <f t="shared" si="177"/>
        <v/>
      </c>
      <c r="GO686" s="1519" t="str">
        <f t="shared" si="178"/>
        <v/>
      </c>
      <c r="GP686" s="1519" t="str">
        <f t="shared" si="179"/>
        <v/>
      </c>
      <c r="GQ686" s="1519" t="str">
        <f t="shared" si="180"/>
        <v/>
      </c>
      <c r="GR686" s="1519" t="str">
        <f t="shared" si="181"/>
        <v/>
      </c>
      <c r="GS686" s="1519" t="str">
        <f t="shared" si="182"/>
        <v/>
      </c>
      <c r="GT686" s="1519" t="str">
        <f t="shared" si="183"/>
        <v/>
      </c>
      <c r="GU686" s="1519" t="str">
        <f t="shared" si="184"/>
        <v/>
      </c>
      <c r="GV686" s="1519" t="str">
        <f t="shared" si="185"/>
        <v/>
      </c>
      <c r="GW686" s="1519" t="str">
        <f t="shared" si="186"/>
        <v/>
      </c>
      <c r="GX686" s="1519" t="str">
        <f t="shared" si="187"/>
        <v/>
      </c>
      <c r="GY686" s="1519" t="str">
        <f t="shared" si="188"/>
        <v/>
      </c>
      <c r="GZ686" s="1519" t="str">
        <f t="shared" si="189"/>
        <v/>
      </c>
      <c r="HA686" s="1519" t="str">
        <f t="shared" si="190"/>
        <v/>
      </c>
      <c r="HB686" s="1519" t="str">
        <f t="shared" si="191"/>
        <v/>
      </c>
      <c r="HC686" s="1519" t="str">
        <f t="shared" si="192"/>
        <v/>
      </c>
      <c r="HD686" s="1519" t="str">
        <f t="shared" si="193"/>
        <v/>
      </c>
      <c r="HE686" s="1519" t="str">
        <f t="shared" si="194"/>
        <v/>
      </c>
      <c r="HF686" s="1519" t="str">
        <f t="shared" si="195"/>
        <v/>
      </c>
      <c r="HG686" s="1519" t="str">
        <f t="shared" si="196"/>
        <v/>
      </c>
      <c r="HH686" s="1519" t="str">
        <f t="shared" si="197"/>
        <v/>
      </c>
      <c r="HI686" s="1519" t="str">
        <f t="shared" si="198"/>
        <v/>
      </c>
      <c r="HJ686" s="1519" t="str">
        <f t="shared" si="199"/>
        <v/>
      </c>
      <c r="HK686" s="1519" t="str">
        <f t="shared" si="200"/>
        <v/>
      </c>
      <c r="HL686" s="1519" t="str">
        <f t="shared" si="201"/>
        <v/>
      </c>
      <c r="HM686" s="1519" t="str">
        <f t="shared" si="202"/>
        <v/>
      </c>
      <c r="HN686" s="1519" t="str">
        <f t="shared" si="203"/>
        <v/>
      </c>
      <c r="HO686" s="1519" t="str">
        <f t="shared" si="204"/>
        <v/>
      </c>
      <c r="HP686" s="1519" t="str">
        <f t="shared" si="205"/>
        <v/>
      </c>
      <c r="HQ686" s="1519" t="str">
        <f t="shared" si="206"/>
        <v/>
      </c>
      <c r="HR686" s="1519" t="str">
        <f t="shared" si="207"/>
        <v/>
      </c>
      <c r="HS686" s="1519" t="str">
        <f t="shared" si="208"/>
        <v/>
      </c>
      <c r="HT686" s="1519" t="str">
        <f t="shared" si="209"/>
        <v/>
      </c>
      <c r="HU686" s="1519" t="str">
        <f t="shared" si="210"/>
        <v/>
      </c>
      <c r="HV686" s="1519" t="str">
        <f t="shared" si="211"/>
        <v/>
      </c>
      <c r="HW686" s="1519" t="str">
        <f t="shared" si="212"/>
        <v/>
      </c>
      <c r="HX686" s="1519" t="str">
        <f t="shared" si="213"/>
        <v/>
      </c>
      <c r="HY686" s="1519" t="str">
        <f t="shared" si="214"/>
        <v/>
      </c>
      <c r="HZ686" s="1519" t="str">
        <f t="shared" si="215"/>
        <v/>
      </c>
      <c r="IA686" s="1519" t="str">
        <f t="shared" si="216"/>
        <v/>
      </c>
      <c r="IB686" s="1519" t="str">
        <f t="shared" si="217"/>
        <v/>
      </c>
      <c r="IC686" s="1519" t="str">
        <f t="shared" si="218"/>
        <v/>
      </c>
      <c r="ID686" s="1520" t="str">
        <f t="shared" si="219"/>
        <v/>
      </c>
      <c r="IE686" s="1520" t="str">
        <f t="shared" si="220"/>
        <v/>
      </c>
      <c r="IF686" s="1520" t="str">
        <f t="shared" si="221"/>
        <v/>
      </c>
      <c r="IG686" s="1520" t="str">
        <f t="shared" si="222"/>
        <v/>
      </c>
      <c r="IH686" s="1520" t="str">
        <f t="shared" si="223"/>
        <v/>
      </c>
      <c r="II686" s="1271" t="str">
        <f t="shared" si="224"/>
        <v/>
      </c>
      <c r="IJ686" s="1271" t="str">
        <f t="shared" si="225"/>
        <v/>
      </c>
      <c r="IK686" s="1271" t="str">
        <f t="shared" si="226"/>
        <v/>
      </c>
      <c r="IL686" s="1271" t="str">
        <f t="shared" si="227"/>
        <v/>
      </c>
      <c r="IM686" s="1271" t="str">
        <f t="shared" si="228"/>
        <v/>
      </c>
      <c r="IN686" s="1271" t="str">
        <f t="shared" si="229"/>
        <v/>
      </c>
      <c r="IO686" s="1271" t="str">
        <f t="shared" si="230"/>
        <v/>
      </c>
      <c r="IP686" s="1271" t="str">
        <f t="shared" si="231"/>
        <v/>
      </c>
      <c r="IQ686" s="1271" t="str">
        <f t="shared" si="232"/>
        <v/>
      </c>
      <c r="IR686" s="1271" t="str">
        <f t="shared" si="233"/>
        <v/>
      </c>
      <c r="IS686" s="1271" t="str">
        <f t="shared" si="234"/>
        <v/>
      </c>
      <c r="IT686" s="1271" t="str">
        <f t="shared" si="235"/>
        <v/>
      </c>
      <c r="IU686" s="1271" t="str">
        <f t="shared" si="236"/>
        <v/>
      </c>
      <c r="IV686" s="1271" t="str">
        <f t="shared" si="237"/>
        <v/>
      </c>
      <c r="IW686" s="1271" t="str">
        <f t="shared" si="238"/>
        <v/>
      </c>
      <c r="IX686" s="1271" t="str">
        <f t="shared" si="239"/>
        <v/>
      </c>
      <c r="IY686" s="1271" t="str">
        <f t="shared" si="240"/>
        <v/>
      </c>
      <c r="IZ686" s="1271" t="str">
        <f t="shared" si="241"/>
        <v/>
      </c>
      <c r="JA686" s="1271" t="str">
        <f t="shared" si="242"/>
        <v/>
      </c>
      <c r="JB686" s="1271" t="str">
        <f t="shared" si="243"/>
        <v/>
      </c>
      <c r="JC686" s="1518">
        <f t="shared" si="244"/>
        <v>0</v>
      </c>
      <c r="JD686" s="1518">
        <f t="shared" si="245"/>
        <v>0</v>
      </c>
      <c r="JE686" s="1518">
        <f t="shared" si="246"/>
        <v>0</v>
      </c>
      <c r="JF686" s="1518">
        <f t="shared" si="247"/>
        <v>0</v>
      </c>
      <c r="JG686" s="1518">
        <f t="shared" si="248"/>
        <v>0</v>
      </c>
      <c r="JH686" s="1518">
        <f t="shared" si="249"/>
        <v>0</v>
      </c>
      <c r="JI686" s="1518">
        <f t="shared" si="250"/>
        <v>0</v>
      </c>
      <c r="JJ686" s="1518">
        <f t="shared" si="251"/>
        <v>0</v>
      </c>
      <c r="JK686" s="1518">
        <f t="shared" si="252"/>
        <v>0</v>
      </c>
      <c r="JL686" s="1518">
        <f t="shared" si="253"/>
        <v>0</v>
      </c>
      <c r="JM686" s="1518">
        <f t="shared" si="254"/>
        <v>0</v>
      </c>
      <c r="JN686" s="1518">
        <f t="shared" si="255"/>
        <v>0</v>
      </c>
      <c r="JO686" s="1518">
        <f t="shared" si="256"/>
        <v>0</v>
      </c>
      <c r="JP686" s="1518">
        <f t="shared" si="257"/>
        <v>0</v>
      </c>
      <c r="JQ686" s="1518">
        <f t="shared" si="258"/>
        <v>0</v>
      </c>
    </row>
    <row r="687" spans="1:277" ht="12" customHeight="1">
      <c r="A687" s="1687" t="str">
        <f t="shared" si="1"/>
        <v/>
      </c>
      <c r="B687" s="1702" t="str">
        <f>'Part VI-Revenues &amp; Expenses'!B26</f>
        <v>&lt;&lt;Select&gt;&gt;</v>
      </c>
      <c r="C687" s="1703">
        <f>'Part VI-Revenues &amp; Expenses'!C26</f>
        <v>0</v>
      </c>
      <c r="D687" s="1704">
        <f>'Part VI-Revenues &amp; Expenses'!D26</f>
        <v>0</v>
      </c>
      <c r="E687" s="1705">
        <f>'Part VI-Revenues &amp; Expenses'!E26</f>
        <v>0</v>
      </c>
      <c r="F687" s="1705">
        <f>'Part VI-Revenues &amp; Expenses'!F26</f>
        <v>0</v>
      </c>
      <c r="G687" s="1705">
        <f>'Part VI-Revenues &amp; Expenses'!G26</f>
        <v>0</v>
      </c>
      <c r="H687" s="1705">
        <f>'Part VI-Revenues &amp; Expenses'!H26</f>
        <v>0</v>
      </c>
      <c r="I687" s="1705">
        <f>'Part VI-Revenues &amp; Expenses'!I26</f>
        <v>0</v>
      </c>
      <c r="J687" s="1706">
        <f>'Part VI-Revenues &amp; Expenses'!J26</f>
        <v>0</v>
      </c>
      <c r="K687" s="1707">
        <f t="shared" si="2"/>
        <v>0</v>
      </c>
      <c r="L687" s="1707">
        <f t="shared" si="3"/>
        <v>0</v>
      </c>
      <c r="M687" s="1708">
        <f>'Part VI-Revenues &amp; Expenses'!M26</f>
        <v>0</v>
      </c>
      <c r="N687" s="1708">
        <f>'Part VI-Revenues &amp; Expenses'!N26</f>
        <v>0</v>
      </c>
      <c r="O687" s="1708">
        <f>'Part VI-Revenues &amp; Expenses'!O26</f>
        <v>0</v>
      </c>
      <c r="P687" s="1515">
        <f>'Part VI-Revenues &amp; Expenses'!P26</f>
        <v>0</v>
      </c>
      <c r="Q687" s="1709" t="str">
        <f>'Part VI-Revenues &amp; Expenses'!Q26</f>
        <v/>
      </c>
      <c r="R687" s="1710" t="str">
        <f>'Part VI-Revenues &amp; Expenses'!R26</f>
        <v/>
      </c>
      <c r="S687" s="1709">
        <f>'Part VI-Revenues &amp; Expenses'!S26</f>
        <v>0</v>
      </c>
      <c r="T687" s="1710">
        <f>'Part VI-Revenues &amp; Expenses'!T26</f>
        <v>0</v>
      </c>
      <c r="U687" s="1629"/>
      <c r="V687" s="1629"/>
      <c r="W687" s="1271" t="str">
        <f t="shared" si="4"/>
        <v/>
      </c>
      <c r="X687" s="1271" t="str">
        <f t="shared" si="5"/>
        <v/>
      </c>
      <c r="Y687" s="1271" t="str">
        <f t="shared" si="6"/>
        <v/>
      </c>
      <c r="Z687" s="1271" t="str">
        <f t="shared" si="7"/>
        <v/>
      </c>
      <c r="AA687" s="1271" t="str">
        <f t="shared" si="8"/>
        <v/>
      </c>
      <c r="AB687" s="1271" t="str">
        <f t="shared" si="9"/>
        <v/>
      </c>
      <c r="AC687" s="1271" t="str">
        <f t="shared" si="10"/>
        <v/>
      </c>
      <c r="AD687" s="1271" t="str">
        <f t="shared" si="11"/>
        <v/>
      </c>
      <c r="AE687" s="1271" t="str">
        <f t="shared" si="12"/>
        <v/>
      </c>
      <c r="AF687" s="1271" t="str">
        <f t="shared" si="13"/>
        <v/>
      </c>
      <c r="AG687" s="1271" t="str">
        <f t="shared" si="14"/>
        <v/>
      </c>
      <c r="AH687" s="1271" t="str">
        <f t="shared" si="15"/>
        <v/>
      </c>
      <c r="AI687" s="1271" t="str">
        <f t="shared" si="16"/>
        <v/>
      </c>
      <c r="AJ687" s="1271" t="str">
        <f t="shared" si="17"/>
        <v/>
      </c>
      <c r="AK687" s="1271" t="str">
        <f t="shared" si="18"/>
        <v/>
      </c>
      <c r="AL687" s="1271" t="str">
        <f t="shared" si="19"/>
        <v/>
      </c>
      <c r="AM687" s="1271" t="str">
        <f t="shared" si="20"/>
        <v/>
      </c>
      <c r="AN687" s="1271" t="str">
        <f t="shared" si="21"/>
        <v/>
      </c>
      <c r="AO687" s="1271" t="str">
        <f t="shared" si="22"/>
        <v/>
      </c>
      <c r="AP687" s="1271" t="str">
        <f t="shared" si="23"/>
        <v/>
      </c>
      <c r="AQ687" s="1271" t="str">
        <f t="shared" si="24"/>
        <v/>
      </c>
      <c r="AR687" s="1271" t="str">
        <f t="shared" si="25"/>
        <v/>
      </c>
      <c r="AS687" s="1271" t="str">
        <f t="shared" si="26"/>
        <v/>
      </c>
      <c r="AT687" s="1271" t="str">
        <f t="shared" si="27"/>
        <v/>
      </c>
      <c r="AU687" s="1271" t="str">
        <f t="shared" si="28"/>
        <v/>
      </c>
      <c r="AV687" s="1271" t="str">
        <f t="shared" si="29"/>
        <v/>
      </c>
      <c r="AW687" s="1271" t="str">
        <f t="shared" si="30"/>
        <v/>
      </c>
      <c r="AX687" s="1271" t="str">
        <f t="shared" si="31"/>
        <v/>
      </c>
      <c r="AY687" s="1271" t="str">
        <f t="shared" si="32"/>
        <v/>
      </c>
      <c r="AZ687" s="1271" t="str">
        <f t="shared" si="33"/>
        <v/>
      </c>
      <c r="BA687" s="1271" t="str">
        <f t="shared" si="34"/>
        <v/>
      </c>
      <c r="BB687" s="1271" t="str">
        <f t="shared" si="35"/>
        <v/>
      </c>
      <c r="BC687" s="1271" t="str">
        <f t="shared" si="36"/>
        <v/>
      </c>
      <c r="BD687" s="1271" t="str">
        <f t="shared" si="37"/>
        <v/>
      </c>
      <c r="BE687" s="1271" t="str">
        <f t="shared" si="38"/>
        <v/>
      </c>
      <c r="BF687" s="1271" t="str">
        <f t="shared" si="39"/>
        <v/>
      </c>
      <c r="BG687" s="1271" t="str">
        <f t="shared" si="40"/>
        <v/>
      </c>
      <c r="BH687" s="1271" t="str">
        <f t="shared" si="41"/>
        <v/>
      </c>
      <c r="BI687" s="1271" t="str">
        <f t="shared" si="42"/>
        <v/>
      </c>
      <c r="BJ687" s="1271" t="str">
        <f t="shared" si="43"/>
        <v/>
      </c>
      <c r="BK687" s="1271" t="str">
        <f t="shared" si="44"/>
        <v/>
      </c>
      <c r="BL687" s="1271" t="str">
        <f t="shared" si="45"/>
        <v/>
      </c>
      <c r="BM687" s="1271" t="str">
        <f t="shared" si="46"/>
        <v/>
      </c>
      <c r="BN687" s="1271" t="str">
        <f t="shared" si="47"/>
        <v/>
      </c>
      <c r="BO687" s="1271" t="str">
        <f t="shared" si="48"/>
        <v/>
      </c>
      <c r="BP687" s="1271" t="str">
        <f t="shared" si="49"/>
        <v/>
      </c>
      <c r="BQ687" s="1271" t="str">
        <f t="shared" si="50"/>
        <v/>
      </c>
      <c r="BR687" s="1271" t="str">
        <f t="shared" si="51"/>
        <v/>
      </c>
      <c r="BS687" s="1271" t="str">
        <f t="shared" si="52"/>
        <v/>
      </c>
      <c r="BT687" s="1271" t="str">
        <f t="shared" si="53"/>
        <v/>
      </c>
      <c r="BU687" s="1271" t="str">
        <f t="shared" si="54"/>
        <v/>
      </c>
      <c r="BV687" s="1271" t="str">
        <f t="shared" si="55"/>
        <v/>
      </c>
      <c r="BW687" s="1271" t="str">
        <f t="shared" si="56"/>
        <v/>
      </c>
      <c r="BX687" s="1271" t="str">
        <f t="shared" si="57"/>
        <v/>
      </c>
      <c r="BY687" s="1271" t="str">
        <f t="shared" si="58"/>
        <v/>
      </c>
      <c r="BZ687" s="1271" t="str">
        <f t="shared" si="59"/>
        <v/>
      </c>
      <c r="CA687" s="1271" t="str">
        <f t="shared" si="60"/>
        <v/>
      </c>
      <c r="CB687" s="1271" t="str">
        <f t="shared" si="61"/>
        <v/>
      </c>
      <c r="CC687" s="1271" t="str">
        <f t="shared" si="62"/>
        <v/>
      </c>
      <c r="CD687" s="1271" t="str">
        <f t="shared" si="63"/>
        <v/>
      </c>
      <c r="CE687" s="1271" t="str">
        <f t="shared" si="64"/>
        <v/>
      </c>
      <c r="CF687" s="1271" t="str">
        <f t="shared" si="65"/>
        <v/>
      </c>
      <c r="CG687" s="1271" t="str">
        <f t="shared" si="66"/>
        <v/>
      </c>
      <c r="CH687" s="1271" t="str">
        <f t="shared" si="67"/>
        <v/>
      </c>
      <c r="CI687" s="1271" t="str">
        <f t="shared" si="68"/>
        <v/>
      </c>
      <c r="CJ687" s="1271" t="str">
        <f t="shared" si="69"/>
        <v/>
      </c>
      <c r="CK687" s="1271" t="str">
        <f t="shared" si="70"/>
        <v/>
      </c>
      <c r="CL687" s="1271" t="str">
        <f t="shared" si="71"/>
        <v/>
      </c>
      <c r="CM687" s="1271" t="str">
        <f t="shared" si="72"/>
        <v/>
      </c>
      <c r="CN687" s="1271" t="str">
        <f t="shared" si="73"/>
        <v/>
      </c>
      <c r="CO687" s="1271" t="str">
        <f t="shared" si="74"/>
        <v/>
      </c>
      <c r="CP687" s="1271" t="str">
        <f t="shared" si="75"/>
        <v/>
      </c>
      <c r="CQ687" s="1271" t="str">
        <f t="shared" si="76"/>
        <v/>
      </c>
      <c r="CR687" s="1271" t="str">
        <f t="shared" si="77"/>
        <v/>
      </c>
      <c r="CS687" s="1271" t="str">
        <f t="shared" si="78"/>
        <v/>
      </c>
      <c r="CT687" s="1271" t="str">
        <f t="shared" si="79"/>
        <v/>
      </c>
      <c r="CU687" s="1271" t="str">
        <f t="shared" si="80"/>
        <v/>
      </c>
      <c r="CV687" s="1271" t="str">
        <f t="shared" si="81"/>
        <v/>
      </c>
      <c r="CW687" s="1271" t="str">
        <f t="shared" si="82"/>
        <v/>
      </c>
      <c r="CX687" s="1271" t="str">
        <f t="shared" si="83"/>
        <v/>
      </c>
      <c r="CY687" s="1271" t="str">
        <f t="shared" si="84"/>
        <v/>
      </c>
      <c r="CZ687" s="1271" t="str">
        <f t="shared" si="85"/>
        <v/>
      </c>
      <c r="DA687" s="1271" t="str">
        <f t="shared" si="86"/>
        <v/>
      </c>
      <c r="DB687" s="1271" t="str">
        <f t="shared" si="87"/>
        <v/>
      </c>
      <c r="DC687" s="1271" t="str">
        <f t="shared" si="88"/>
        <v/>
      </c>
      <c r="DD687" s="1271" t="str">
        <f t="shared" si="89"/>
        <v/>
      </c>
      <c r="DE687" s="1271" t="str">
        <f t="shared" si="90"/>
        <v/>
      </c>
      <c r="DF687" s="1271" t="str">
        <f t="shared" si="91"/>
        <v/>
      </c>
      <c r="DG687" s="1271" t="str">
        <f t="shared" si="92"/>
        <v/>
      </c>
      <c r="DH687" s="1271" t="str">
        <f t="shared" si="93"/>
        <v/>
      </c>
      <c r="DI687" s="1271" t="str">
        <f t="shared" si="94"/>
        <v/>
      </c>
      <c r="DJ687" s="1271" t="str">
        <f t="shared" si="95"/>
        <v/>
      </c>
      <c r="DK687" s="1271" t="str">
        <f t="shared" si="96"/>
        <v/>
      </c>
      <c r="DL687" s="1271" t="str">
        <f t="shared" si="97"/>
        <v/>
      </c>
      <c r="DM687" s="1271" t="str">
        <f t="shared" si="98"/>
        <v/>
      </c>
      <c r="DN687" s="1271" t="str">
        <f t="shared" si="99"/>
        <v/>
      </c>
      <c r="DO687" s="1271" t="str">
        <f t="shared" si="100"/>
        <v/>
      </c>
      <c r="DP687" s="1271" t="str">
        <f t="shared" si="101"/>
        <v/>
      </c>
      <c r="DQ687" s="1271" t="str">
        <f t="shared" si="102"/>
        <v/>
      </c>
      <c r="DR687" s="1271" t="str">
        <f t="shared" si="103"/>
        <v/>
      </c>
      <c r="DS687" s="1271" t="str">
        <f t="shared" si="104"/>
        <v/>
      </c>
      <c r="DT687" s="1271" t="str">
        <f t="shared" si="105"/>
        <v/>
      </c>
      <c r="DU687" s="1271" t="str">
        <f t="shared" si="106"/>
        <v/>
      </c>
      <c r="DV687" s="1271" t="str">
        <f t="shared" si="107"/>
        <v/>
      </c>
      <c r="DW687" s="1271" t="str">
        <f t="shared" si="108"/>
        <v/>
      </c>
      <c r="DX687" s="1271" t="str">
        <f t="shared" si="109"/>
        <v/>
      </c>
      <c r="DY687" s="1271" t="str">
        <f t="shared" si="110"/>
        <v/>
      </c>
      <c r="DZ687" s="1271" t="str">
        <f t="shared" si="111"/>
        <v/>
      </c>
      <c r="EA687" s="1271" t="str">
        <f t="shared" si="112"/>
        <v/>
      </c>
      <c r="EB687" s="1271" t="str">
        <f t="shared" si="113"/>
        <v/>
      </c>
      <c r="EC687" s="1271" t="str">
        <f t="shared" si="114"/>
        <v/>
      </c>
      <c r="ED687" s="1271" t="str">
        <f t="shared" si="115"/>
        <v/>
      </c>
      <c r="EE687" s="1271" t="str">
        <f t="shared" si="116"/>
        <v/>
      </c>
      <c r="EF687" s="1271" t="str">
        <f t="shared" si="117"/>
        <v/>
      </c>
      <c r="EG687" s="1271" t="str">
        <f t="shared" si="118"/>
        <v/>
      </c>
      <c r="EH687" s="1271" t="str">
        <f t="shared" si="119"/>
        <v/>
      </c>
      <c r="EI687" s="1271" t="str">
        <f t="shared" si="120"/>
        <v/>
      </c>
      <c r="EJ687" s="1271" t="str">
        <f t="shared" si="121"/>
        <v/>
      </c>
      <c r="EK687" s="1271" t="str">
        <f t="shared" si="122"/>
        <v/>
      </c>
      <c r="EL687" s="1271" t="str">
        <f t="shared" si="123"/>
        <v/>
      </c>
      <c r="EM687" s="1271" t="str">
        <f t="shared" si="124"/>
        <v/>
      </c>
      <c r="EN687" s="1271" t="str">
        <f t="shared" si="125"/>
        <v/>
      </c>
      <c r="EO687" s="1271" t="str">
        <f t="shared" si="126"/>
        <v/>
      </c>
      <c r="EP687" s="1271" t="str">
        <f t="shared" si="127"/>
        <v/>
      </c>
      <c r="EQ687" s="1271" t="str">
        <f t="shared" si="128"/>
        <v/>
      </c>
      <c r="ER687" s="1271" t="str">
        <f t="shared" si="129"/>
        <v/>
      </c>
      <c r="ES687" s="1271" t="str">
        <f t="shared" si="130"/>
        <v/>
      </c>
      <c r="ET687" s="1271" t="str">
        <f t="shared" si="131"/>
        <v/>
      </c>
      <c r="EU687" s="1271" t="str">
        <f t="shared" si="132"/>
        <v/>
      </c>
      <c r="EV687" s="1271" t="str">
        <f t="shared" si="133"/>
        <v/>
      </c>
      <c r="EW687" s="1519" t="str">
        <f t="shared" si="134"/>
        <v/>
      </c>
      <c r="EX687" s="1519" t="str">
        <f t="shared" si="135"/>
        <v/>
      </c>
      <c r="EY687" s="1519" t="str">
        <f t="shared" si="136"/>
        <v/>
      </c>
      <c r="EZ687" s="1519" t="str">
        <f t="shared" si="137"/>
        <v/>
      </c>
      <c r="FA687" s="1519" t="str">
        <f t="shared" si="138"/>
        <v/>
      </c>
      <c r="FB687" s="1519" t="str">
        <f t="shared" si="139"/>
        <v/>
      </c>
      <c r="FC687" s="1519" t="str">
        <f t="shared" si="140"/>
        <v/>
      </c>
      <c r="FD687" s="1519" t="str">
        <f t="shared" si="141"/>
        <v/>
      </c>
      <c r="FE687" s="1519" t="str">
        <f t="shared" si="142"/>
        <v/>
      </c>
      <c r="FF687" s="1519" t="str">
        <f t="shared" si="143"/>
        <v/>
      </c>
      <c r="FG687" s="1519" t="str">
        <f t="shared" si="144"/>
        <v/>
      </c>
      <c r="FH687" s="1519" t="str">
        <f t="shared" si="145"/>
        <v/>
      </c>
      <c r="FI687" s="1519" t="str">
        <f t="shared" si="146"/>
        <v/>
      </c>
      <c r="FJ687" s="1519" t="str">
        <f t="shared" si="147"/>
        <v/>
      </c>
      <c r="FK687" s="1519" t="str">
        <f t="shared" si="148"/>
        <v/>
      </c>
      <c r="FL687" s="1519" t="str">
        <f t="shared" si="149"/>
        <v/>
      </c>
      <c r="FM687" s="1519" t="str">
        <f t="shared" si="150"/>
        <v/>
      </c>
      <c r="FN687" s="1519" t="str">
        <f t="shared" si="151"/>
        <v/>
      </c>
      <c r="FO687" s="1519" t="str">
        <f t="shared" si="152"/>
        <v/>
      </c>
      <c r="FP687" s="1519" t="str">
        <f t="shared" si="153"/>
        <v/>
      </c>
      <c r="FQ687" s="1519" t="str">
        <f t="shared" si="154"/>
        <v/>
      </c>
      <c r="FR687" s="1519" t="str">
        <f t="shared" si="155"/>
        <v/>
      </c>
      <c r="FS687" s="1519" t="str">
        <f t="shared" si="156"/>
        <v/>
      </c>
      <c r="FT687" s="1519" t="str">
        <f t="shared" si="157"/>
        <v/>
      </c>
      <c r="FU687" s="1519" t="str">
        <f t="shared" si="158"/>
        <v/>
      </c>
      <c r="FV687" s="1519" t="str">
        <f t="shared" si="159"/>
        <v/>
      </c>
      <c r="FW687" s="1519" t="str">
        <f t="shared" si="160"/>
        <v/>
      </c>
      <c r="FX687" s="1519" t="str">
        <f t="shared" si="161"/>
        <v/>
      </c>
      <c r="FY687" s="1519" t="str">
        <f t="shared" si="162"/>
        <v/>
      </c>
      <c r="FZ687" s="1519" t="str">
        <f t="shared" si="163"/>
        <v/>
      </c>
      <c r="GA687" s="1519" t="str">
        <f t="shared" si="164"/>
        <v/>
      </c>
      <c r="GB687" s="1519" t="str">
        <f t="shared" si="165"/>
        <v/>
      </c>
      <c r="GC687" s="1519" t="str">
        <f t="shared" si="166"/>
        <v/>
      </c>
      <c r="GD687" s="1519" t="str">
        <f t="shared" si="167"/>
        <v/>
      </c>
      <c r="GE687" s="1519" t="str">
        <f t="shared" si="168"/>
        <v/>
      </c>
      <c r="GF687" s="1519" t="str">
        <f t="shared" si="169"/>
        <v/>
      </c>
      <c r="GG687" s="1519" t="str">
        <f t="shared" si="170"/>
        <v/>
      </c>
      <c r="GH687" s="1519" t="str">
        <f t="shared" si="171"/>
        <v/>
      </c>
      <c r="GI687" s="1519" t="str">
        <f t="shared" si="172"/>
        <v/>
      </c>
      <c r="GJ687" s="1519" t="str">
        <f t="shared" si="173"/>
        <v/>
      </c>
      <c r="GK687" s="1519" t="str">
        <f t="shared" si="174"/>
        <v/>
      </c>
      <c r="GL687" s="1519" t="str">
        <f t="shared" si="175"/>
        <v/>
      </c>
      <c r="GM687" s="1519" t="str">
        <f t="shared" si="176"/>
        <v/>
      </c>
      <c r="GN687" s="1519" t="str">
        <f t="shared" si="177"/>
        <v/>
      </c>
      <c r="GO687" s="1519" t="str">
        <f t="shared" si="178"/>
        <v/>
      </c>
      <c r="GP687" s="1519" t="str">
        <f t="shared" si="179"/>
        <v/>
      </c>
      <c r="GQ687" s="1519" t="str">
        <f t="shared" si="180"/>
        <v/>
      </c>
      <c r="GR687" s="1519" t="str">
        <f t="shared" si="181"/>
        <v/>
      </c>
      <c r="GS687" s="1519" t="str">
        <f t="shared" si="182"/>
        <v/>
      </c>
      <c r="GT687" s="1519" t="str">
        <f t="shared" si="183"/>
        <v/>
      </c>
      <c r="GU687" s="1519" t="str">
        <f t="shared" si="184"/>
        <v/>
      </c>
      <c r="GV687" s="1519" t="str">
        <f t="shared" si="185"/>
        <v/>
      </c>
      <c r="GW687" s="1519" t="str">
        <f t="shared" si="186"/>
        <v/>
      </c>
      <c r="GX687" s="1519" t="str">
        <f t="shared" si="187"/>
        <v/>
      </c>
      <c r="GY687" s="1519" t="str">
        <f t="shared" si="188"/>
        <v/>
      </c>
      <c r="GZ687" s="1519" t="str">
        <f t="shared" si="189"/>
        <v/>
      </c>
      <c r="HA687" s="1519" t="str">
        <f t="shared" si="190"/>
        <v/>
      </c>
      <c r="HB687" s="1519" t="str">
        <f t="shared" si="191"/>
        <v/>
      </c>
      <c r="HC687" s="1519" t="str">
        <f t="shared" si="192"/>
        <v/>
      </c>
      <c r="HD687" s="1519" t="str">
        <f t="shared" si="193"/>
        <v/>
      </c>
      <c r="HE687" s="1519" t="str">
        <f t="shared" si="194"/>
        <v/>
      </c>
      <c r="HF687" s="1519" t="str">
        <f t="shared" si="195"/>
        <v/>
      </c>
      <c r="HG687" s="1519" t="str">
        <f t="shared" si="196"/>
        <v/>
      </c>
      <c r="HH687" s="1519" t="str">
        <f t="shared" si="197"/>
        <v/>
      </c>
      <c r="HI687" s="1519" t="str">
        <f t="shared" si="198"/>
        <v/>
      </c>
      <c r="HJ687" s="1519" t="str">
        <f t="shared" si="199"/>
        <v/>
      </c>
      <c r="HK687" s="1519" t="str">
        <f t="shared" si="200"/>
        <v/>
      </c>
      <c r="HL687" s="1519" t="str">
        <f t="shared" si="201"/>
        <v/>
      </c>
      <c r="HM687" s="1519" t="str">
        <f t="shared" si="202"/>
        <v/>
      </c>
      <c r="HN687" s="1519" t="str">
        <f t="shared" si="203"/>
        <v/>
      </c>
      <c r="HO687" s="1519" t="str">
        <f t="shared" si="204"/>
        <v/>
      </c>
      <c r="HP687" s="1519" t="str">
        <f t="shared" si="205"/>
        <v/>
      </c>
      <c r="HQ687" s="1519" t="str">
        <f t="shared" si="206"/>
        <v/>
      </c>
      <c r="HR687" s="1519" t="str">
        <f t="shared" si="207"/>
        <v/>
      </c>
      <c r="HS687" s="1519" t="str">
        <f t="shared" si="208"/>
        <v/>
      </c>
      <c r="HT687" s="1519" t="str">
        <f t="shared" si="209"/>
        <v/>
      </c>
      <c r="HU687" s="1519" t="str">
        <f t="shared" si="210"/>
        <v/>
      </c>
      <c r="HV687" s="1519" t="str">
        <f t="shared" si="211"/>
        <v/>
      </c>
      <c r="HW687" s="1519" t="str">
        <f t="shared" si="212"/>
        <v/>
      </c>
      <c r="HX687" s="1519" t="str">
        <f t="shared" si="213"/>
        <v/>
      </c>
      <c r="HY687" s="1519" t="str">
        <f t="shared" si="214"/>
        <v/>
      </c>
      <c r="HZ687" s="1519" t="str">
        <f t="shared" si="215"/>
        <v/>
      </c>
      <c r="IA687" s="1519" t="str">
        <f t="shared" si="216"/>
        <v/>
      </c>
      <c r="IB687" s="1519" t="str">
        <f t="shared" si="217"/>
        <v/>
      </c>
      <c r="IC687" s="1519" t="str">
        <f t="shared" si="218"/>
        <v/>
      </c>
      <c r="ID687" s="1520" t="str">
        <f t="shared" si="219"/>
        <v/>
      </c>
      <c r="IE687" s="1520" t="str">
        <f t="shared" si="220"/>
        <v/>
      </c>
      <c r="IF687" s="1520" t="str">
        <f t="shared" si="221"/>
        <v/>
      </c>
      <c r="IG687" s="1520" t="str">
        <f t="shared" si="222"/>
        <v/>
      </c>
      <c r="IH687" s="1520" t="str">
        <f t="shared" si="223"/>
        <v/>
      </c>
      <c r="II687" s="1271" t="str">
        <f t="shared" si="224"/>
        <v/>
      </c>
      <c r="IJ687" s="1271" t="str">
        <f t="shared" si="225"/>
        <v/>
      </c>
      <c r="IK687" s="1271" t="str">
        <f t="shared" si="226"/>
        <v/>
      </c>
      <c r="IL687" s="1271" t="str">
        <f t="shared" si="227"/>
        <v/>
      </c>
      <c r="IM687" s="1271" t="str">
        <f t="shared" si="228"/>
        <v/>
      </c>
      <c r="IN687" s="1271" t="str">
        <f t="shared" si="229"/>
        <v/>
      </c>
      <c r="IO687" s="1271" t="str">
        <f t="shared" si="230"/>
        <v/>
      </c>
      <c r="IP687" s="1271" t="str">
        <f t="shared" si="231"/>
        <v/>
      </c>
      <c r="IQ687" s="1271" t="str">
        <f t="shared" si="232"/>
        <v/>
      </c>
      <c r="IR687" s="1271" t="str">
        <f t="shared" si="233"/>
        <v/>
      </c>
      <c r="IS687" s="1271" t="str">
        <f t="shared" si="234"/>
        <v/>
      </c>
      <c r="IT687" s="1271" t="str">
        <f t="shared" si="235"/>
        <v/>
      </c>
      <c r="IU687" s="1271" t="str">
        <f t="shared" si="236"/>
        <v/>
      </c>
      <c r="IV687" s="1271" t="str">
        <f t="shared" si="237"/>
        <v/>
      </c>
      <c r="IW687" s="1271" t="str">
        <f t="shared" si="238"/>
        <v/>
      </c>
      <c r="IX687" s="1271" t="str">
        <f t="shared" si="239"/>
        <v/>
      </c>
      <c r="IY687" s="1271" t="str">
        <f t="shared" si="240"/>
        <v/>
      </c>
      <c r="IZ687" s="1271" t="str">
        <f t="shared" si="241"/>
        <v/>
      </c>
      <c r="JA687" s="1271" t="str">
        <f t="shared" si="242"/>
        <v/>
      </c>
      <c r="JB687" s="1271" t="str">
        <f t="shared" si="243"/>
        <v/>
      </c>
      <c r="JC687" s="1518">
        <f t="shared" si="244"/>
        <v>0</v>
      </c>
      <c r="JD687" s="1518">
        <f t="shared" si="245"/>
        <v>0</v>
      </c>
      <c r="JE687" s="1518">
        <f t="shared" si="246"/>
        <v>0</v>
      </c>
      <c r="JF687" s="1518">
        <f t="shared" si="247"/>
        <v>0</v>
      </c>
      <c r="JG687" s="1518">
        <f t="shared" si="248"/>
        <v>0</v>
      </c>
      <c r="JH687" s="1518">
        <f t="shared" si="249"/>
        <v>0</v>
      </c>
      <c r="JI687" s="1518">
        <f t="shared" si="250"/>
        <v>0</v>
      </c>
      <c r="JJ687" s="1518">
        <f t="shared" si="251"/>
        <v>0</v>
      </c>
      <c r="JK687" s="1518">
        <f t="shared" si="252"/>
        <v>0</v>
      </c>
      <c r="JL687" s="1518">
        <f t="shared" si="253"/>
        <v>0</v>
      </c>
      <c r="JM687" s="1518">
        <f t="shared" si="254"/>
        <v>0</v>
      </c>
      <c r="JN687" s="1518">
        <f t="shared" si="255"/>
        <v>0</v>
      </c>
      <c r="JO687" s="1518">
        <f t="shared" si="256"/>
        <v>0</v>
      </c>
      <c r="JP687" s="1518">
        <f t="shared" si="257"/>
        <v>0</v>
      </c>
      <c r="JQ687" s="1518">
        <f t="shared" si="258"/>
        <v>0</v>
      </c>
    </row>
    <row r="688" spans="1:277" ht="12" customHeight="1">
      <c r="A688" s="1687" t="str">
        <f t="shared" si="1"/>
        <v/>
      </c>
      <c r="B688" s="1702" t="str">
        <f>'Part VI-Revenues &amp; Expenses'!B27</f>
        <v>&lt;&lt;Select&gt;&gt;</v>
      </c>
      <c r="C688" s="1703">
        <f>'Part VI-Revenues &amp; Expenses'!C27</f>
        <v>0</v>
      </c>
      <c r="D688" s="1704">
        <f>'Part VI-Revenues &amp; Expenses'!D27</f>
        <v>0</v>
      </c>
      <c r="E688" s="1705">
        <f>'Part VI-Revenues &amp; Expenses'!E27</f>
        <v>0</v>
      </c>
      <c r="F688" s="1705">
        <f>'Part VI-Revenues &amp; Expenses'!F27</f>
        <v>0</v>
      </c>
      <c r="G688" s="1705">
        <f>'Part VI-Revenues &amp; Expenses'!G27</f>
        <v>0</v>
      </c>
      <c r="H688" s="1705">
        <f>'Part VI-Revenues &amp; Expenses'!H27</f>
        <v>0</v>
      </c>
      <c r="I688" s="1705">
        <f>'Part VI-Revenues &amp; Expenses'!I27</f>
        <v>0</v>
      </c>
      <c r="J688" s="1706">
        <f>'Part VI-Revenues &amp; Expenses'!J27</f>
        <v>0</v>
      </c>
      <c r="K688" s="1707">
        <f t="shared" si="2"/>
        <v>0</v>
      </c>
      <c r="L688" s="1707">
        <f t="shared" si="3"/>
        <v>0</v>
      </c>
      <c r="M688" s="1708">
        <f>'Part VI-Revenues &amp; Expenses'!M27</f>
        <v>0</v>
      </c>
      <c r="N688" s="1708">
        <f>'Part VI-Revenues &amp; Expenses'!N27</f>
        <v>0</v>
      </c>
      <c r="O688" s="1708">
        <f>'Part VI-Revenues &amp; Expenses'!O27</f>
        <v>0</v>
      </c>
      <c r="P688" s="1515">
        <f>'Part VI-Revenues &amp; Expenses'!P27</f>
        <v>0</v>
      </c>
      <c r="Q688" s="1709" t="str">
        <f>'Part VI-Revenues &amp; Expenses'!Q27</f>
        <v/>
      </c>
      <c r="R688" s="1710" t="str">
        <f>'Part VI-Revenues &amp; Expenses'!R27</f>
        <v/>
      </c>
      <c r="S688" s="1709">
        <f>'Part VI-Revenues &amp; Expenses'!S27</f>
        <v>0</v>
      </c>
      <c r="T688" s="1710">
        <f>'Part VI-Revenues &amp; Expenses'!T27</f>
        <v>0</v>
      </c>
      <c r="U688" s="1629"/>
      <c r="V688" s="1629"/>
      <c r="W688" s="1271" t="str">
        <f t="shared" si="4"/>
        <v/>
      </c>
      <c r="X688" s="1271" t="str">
        <f t="shared" si="5"/>
        <v/>
      </c>
      <c r="Y688" s="1271" t="str">
        <f t="shared" si="6"/>
        <v/>
      </c>
      <c r="Z688" s="1271" t="str">
        <f t="shared" si="7"/>
        <v/>
      </c>
      <c r="AA688" s="1271" t="str">
        <f t="shared" si="8"/>
        <v/>
      </c>
      <c r="AB688" s="1271" t="str">
        <f t="shared" si="9"/>
        <v/>
      </c>
      <c r="AC688" s="1271" t="str">
        <f t="shared" si="10"/>
        <v/>
      </c>
      <c r="AD688" s="1271" t="str">
        <f t="shared" si="11"/>
        <v/>
      </c>
      <c r="AE688" s="1271" t="str">
        <f t="shared" si="12"/>
        <v/>
      </c>
      <c r="AF688" s="1271" t="str">
        <f t="shared" si="13"/>
        <v/>
      </c>
      <c r="AG688" s="1271" t="str">
        <f t="shared" si="14"/>
        <v/>
      </c>
      <c r="AH688" s="1271" t="str">
        <f t="shared" si="15"/>
        <v/>
      </c>
      <c r="AI688" s="1271" t="str">
        <f t="shared" si="16"/>
        <v/>
      </c>
      <c r="AJ688" s="1271" t="str">
        <f t="shared" si="17"/>
        <v/>
      </c>
      <c r="AK688" s="1271" t="str">
        <f t="shared" si="18"/>
        <v/>
      </c>
      <c r="AL688" s="1271" t="str">
        <f t="shared" si="19"/>
        <v/>
      </c>
      <c r="AM688" s="1271" t="str">
        <f t="shared" si="20"/>
        <v/>
      </c>
      <c r="AN688" s="1271" t="str">
        <f t="shared" si="21"/>
        <v/>
      </c>
      <c r="AO688" s="1271" t="str">
        <f t="shared" si="22"/>
        <v/>
      </c>
      <c r="AP688" s="1271" t="str">
        <f t="shared" si="23"/>
        <v/>
      </c>
      <c r="AQ688" s="1271" t="str">
        <f t="shared" si="24"/>
        <v/>
      </c>
      <c r="AR688" s="1271" t="str">
        <f t="shared" si="25"/>
        <v/>
      </c>
      <c r="AS688" s="1271" t="str">
        <f t="shared" si="26"/>
        <v/>
      </c>
      <c r="AT688" s="1271" t="str">
        <f t="shared" si="27"/>
        <v/>
      </c>
      <c r="AU688" s="1271" t="str">
        <f t="shared" si="28"/>
        <v/>
      </c>
      <c r="AV688" s="1271" t="str">
        <f t="shared" si="29"/>
        <v/>
      </c>
      <c r="AW688" s="1271" t="str">
        <f t="shared" si="30"/>
        <v/>
      </c>
      <c r="AX688" s="1271" t="str">
        <f t="shared" si="31"/>
        <v/>
      </c>
      <c r="AY688" s="1271" t="str">
        <f t="shared" si="32"/>
        <v/>
      </c>
      <c r="AZ688" s="1271" t="str">
        <f t="shared" si="33"/>
        <v/>
      </c>
      <c r="BA688" s="1271" t="str">
        <f t="shared" si="34"/>
        <v/>
      </c>
      <c r="BB688" s="1271" t="str">
        <f t="shared" si="35"/>
        <v/>
      </c>
      <c r="BC688" s="1271" t="str">
        <f t="shared" si="36"/>
        <v/>
      </c>
      <c r="BD688" s="1271" t="str">
        <f t="shared" si="37"/>
        <v/>
      </c>
      <c r="BE688" s="1271" t="str">
        <f t="shared" si="38"/>
        <v/>
      </c>
      <c r="BF688" s="1271" t="str">
        <f t="shared" si="39"/>
        <v/>
      </c>
      <c r="BG688" s="1271" t="str">
        <f t="shared" si="40"/>
        <v/>
      </c>
      <c r="BH688" s="1271" t="str">
        <f t="shared" si="41"/>
        <v/>
      </c>
      <c r="BI688" s="1271" t="str">
        <f t="shared" si="42"/>
        <v/>
      </c>
      <c r="BJ688" s="1271" t="str">
        <f t="shared" si="43"/>
        <v/>
      </c>
      <c r="BK688" s="1271" t="str">
        <f t="shared" si="44"/>
        <v/>
      </c>
      <c r="BL688" s="1271" t="str">
        <f t="shared" si="45"/>
        <v/>
      </c>
      <c r="BM688" s="1271" t="str">
        <f t="shared" si="46"/>
        <v/>
      </c>
      <c r="BN688" s="1271" t="str">
        <f t="shared" si="47"/>
        <v/>
      </c>
      <c r="BO688" s="1271" t="str">
        <f t="shared" si="48"/>
        <v/>
      </c>
      <c r="BP688" s="1271" t="str">
        <f t="shared" si="49"/>
        <v/>
      </c>
      <c r="BQ688" s="1271" t="str">
        <f t="shared" si="50"/>
        <v/>
      </c>
      <c r="BR688" s="1271" t="str">
        <f t="shared" si="51"/>
        <v/>
      </c>
      <c r="BS688" s="1271" t="str">
        <f t="shared" si="52"/>
        <v/>
      </c>
      <c r="BT688" s="1271" t="str">
        <f t="shared" si="53"/>
        <v/>
      </c>
      <c r="BU688" s="1271" t="str">
        <f t="shared" si="54"/>
        <v/>
      </c>
      <c r="BV688" s="1271" t="str">
        <f t="shared" si="55"/>
        <v/>
      </c>
      <c r="BW688" s="1271" t="str">
        <f t="shared" si="56"/>
        <v/>
      </c>
      <c r="BX688" s="1271" t="str">
        <f t="shared" si="57"/>
        <v/>
      </c>
      <c r="BY688" s="1271" t="str">
        <f t="shared" si="58"/>
        <v/>
      </c>
      <c r="BZ688" s="1271" t="str">
        <f t="shared" si="59"/>
        <v/>
      </c>
      <c r="CA688" s="1271" t="str">
        <f t="shared" si="60"/>
        <v/>
      </c>
      <c r="CB688" s="1271" t="str">
        <f t="shared" si="61"/>
        <v/>
      </c>
      <c r="CC688" s="1271" t="str">
        <f t="shared" si="62"/>
        <v/>
      </c>
      <c r="CD688" s="1271" t="str">
        <f t="shared" si="63"/>
        <v/>
      </c>
      <c r="CE688" s="1271" t="str">
        <f t="shared" si="64"/>
        <v/>
      </c>
      <c r="CF688" s="1271" t="str">
        <f t="shared" si="65"/>
        <v/>
      </c>
      <c r="CG688" s="1271" t="str">
        <f t="shared" si="66"/>
        <v/>
      </c>
      <c r="CH688" s="1271" t="str">
        <f t="shared" si="67"/>
        <v/>
      </c>
      <c r="CI688" s="1271" t="str">
        <f t="shared" si="68"/>
        <v/>
      </c>
      <c r="CJ688" s="1271" t="str">
        <f t="shared" si="69"/>
        <v/>
      </c>
      <c r="CK688" s="1271" t="str">
        <f t="shared" si="70"/>
        <v/>
      </c>
      <c r="CL688" s="1271" t="str">
        <f t="shared" si="71"/>
        <v/>
      </c>
      <c r="CM688" s="1271" t="str">
        <f t="shared" si="72"/>
        <v/>
      </c>
      <c r="CN688" s="1271" t="str">
        <f t="shared" si="73"/>
        <v/>
      </c>
      <c r="CO688" s="1271" t="str">
        <f t="shared" si="74"/>
        <v/>
      </c>
      <c r="CP688" s="1271" t="str">
        <f t="shared" si="75"/>
        <v/>
      </c>
      <c r="CQ688" s="1271" t="str">
        <f t="shared" si="76"/>
        <v/>
      </c>
      <c r="CR688" s="1271" t="str">
        <f t="shared" si="77"/>
        <v/>
      </c>
      <c r="CS688" s="1271" t="str">
        <f t="shared" si="78"/>
        <v/>
      </c>
      <c r="CT688" s="1271" t="str">
        <f t="shared" si="79"/>
        <v/>
      </c>
      <c r="CU688" s="1271" t="str">
        <f t="shared" si="80"/>
        <v/>
      </c>
      <c r="CV688" s="1271" t="str">
        <f t="shared" si="81"/>
        <v/>
      </c>
      <c r="CW688" s="1271" t="str">
        <f t="shared" si="82"/>
        <v/>
      </c>
      <c r="CX688" s="1271" t="str">
        <f t="shared" si="83"/>
        <v/>
      </c>
      <c r="CY688" s="1271" t="str">
        <f t="shared" si="84"/>
        <v/>
      </c>
      <c r="CZ688" s="1271" t="str">
        <f t="shared" si="85"/>
        <v/>
      </c>
      <c r="DA688" s="1271" t="str">
        <f t="shared" si="86"/>
        <v/>
      </c>
      <c r="DB688" s="1271" t="str">
        <f t="shared" si="87"/>
        <v/>
      </c>
      <c r="DC688" s="1271" t="str">
        <f t="shared" si="88"/>
        <v/>
      </c>
      <c r="DD688" s="1271" t="str">
        <f t="shared" si="89"/>
        <v/>
      </c>
      <c r="DE688" s="1271" t="str">
        <f t="shared" si="90"/>
        <v/>
      </c>
      <c r="DF688" s="1271" t="str">
        <f t="shared" si="91"/>
        <v/>
      </c>
      <c r="DG688" s="1271" t="str">
        <f t="shared" si="92"/>
        <v/>
      </c>
      <c r="DH688" s="1271" t="str">
        <f t="shared" si="93"/>
        <v/>
      </c>
      <c r="DI688" s="1271" t="str">
        <f t="shared" si="94"/>
        <v/>
      </c>
      <c r="DJ688" s="1271" t="str">
        <f t="shared" si="95"/>
        <v/>
      </c>
      <c r="DK688" s="1271" t="str">
        <f t="shared" si="96"/>
        <v/>
      </c>
      <c r="DL688" s="1271" t="str">
        <f t="shared" si="97"/>
        <v/>
      </c>
      <c r="DM688" s="1271" t="str">
        <f t="shared" si="98"/>
        <v/>
      </c>
      <c r="DN688" s="1271" t="str">
        <f t="shared" si="99"/>
        <v/>
      </c>
      <c r="DO688" s="1271" t="str">
        <f t="shared" si="100"/>
        <v/>
      </c>
      <c r="DP688" s="1271" t="str">
        <f t="shared" si="101"/>
        <v/>
      </c>
      <c r="DQ688" s="1271" t="str">
        <f t="shared" si="102"/>
        <v/>
      </c>
      <c r="DR688" s="1271" t="str">
        <f t="shared" si="103"/>
        <v/>
      </c>
      <c r="DS688" s="1271" t="str">
        <f t="shared" si="104"/>
        <v/>
      </c>
      <c r="DT688" s="1271" t="str">
        <f t="shared" si="105"/>
        <v/>
      </c>
      <c r="DU688" s="1271" t="str">
        <f t="shared" si="106"/>
        <v/>
      </c>
      <c r="DV688" s="1271" t="str">
        <f t="shared" si="107"/>
        <v/>
      </c>
      <c r="DW688" s="1271" t="str">
        <f t="shared" si="108"/>
        <v/>
      </c>
      <c r="DX688" s="1271" t="str">
        <f t="shared" si="109"/>
        <v/>
      </c>
      <c r="DY688" s="1271" t="str">
        <f t="shared" si="110"/>
        <v/>
      </c>
      <c r="DZ688" s="1271" t="str">
        <f t="shared" si="111"/>
        <v/>
      </c>
      <c r="EA688" s="1271" t="str">
        <f t="shared" si="112"/>
        <v/>
      </c>
      <c r="EB688" s="1271" t="str">
        <f t="shared" si="113"/>
        <v/>
      </c>
      <c r="EC688" s="1271" t="str">
        <f t="shared" si="114"/>
        <v/>
      </c>
      <c r="ED688" s="1271" t="str">
        <f t="shared" si="115"/>
        <v/>
      </c>
      <c r="EE688" s="1271" t="str">
        <f t="shared" si="116"/>
        <v/>
      </c>
      <c r="EF688" s="1271" t="str">
        <f t="shared" si="117"/>
        <v/>
      </c>
      <c r="EG688" s="1271" t="str">
        <f t="shared" si="118"/>
        <v/>
      </c>
      <c r="EH688" s="1271" t="str">
        <f t="shared" si="119"/>
        <v/>
      </c>
      <c r="EI688" s="1271" t="str">
        <f t="shared" si="120"/>
        <v/>
      </c>
      <c r="EJ688" s="1271" t="str">
        <f t="shared" si="121"/>
        <v/>
      </c>
      <c r="EK688" s="1271" t="str">
        <f t="shared" si="122"/>
        <v/>
      </c>
      <c r="EL688" s="1271" t="str">
        <f t="shared" si="123"/>
        <v/>
      </c>
      <c r="EM688" s="1271" t="str">
        <f t="shared" si="124"/>
        <v/>
      </c>
      <c r="EN688" s="1271" t="str">
        <f t="shared" si="125"/>
        <v/>
      </c>
      <c r="EO688" s="1271" t="str">
        <f t="shared" si="126"/>
        <v/>
      </c>
      <c r="EP688" s="1271" t="str">
        <f t="shared" si="127"/>
        <v/>
      </c>
      <c r="EQ688" s="1271" t="str">
        <f t="shared" si="128"/>
        <v/>
      </c>
      <c r="ER688" s="1271" t="str">
        <f t="shared" si="129"/>
        <v/>
      </c>
      <c r="ES688" s="1271" t="str">
        <f t="shared" si="130"/>
        <v/>
      </c>
      <c r="ET688" s="1271" t="str">
        <f t="shared" si="131"/>
        <v/>
      </c>
      <c r="EU688" s="1271" t="str">
        <f t="shared" si="132"/>
        <v/>
      </c>
      <c r="EV688" s="1271" t="str">
        <f t="shared" si="133"/>
        <v/>
      </c>
      <c r="EW688" s="1519" t="str">
        <f t="shared" si="134"/>
        <v/>
      </c>
      <c r="EX688" s="1519" t="str">
        <f t="shared" si="135"/>
        <v/>
      </c>
      <c r="EY688" s="1519" t="str">
        <f t="shared" si="136"/>
        <v/>
      </c>
      <c r="EZ688" s="1519" t="str">
        <f t="shared" si="137"/>
        <v/>
      </c>
      <c r="FA688" s="1519" t="str">
        <f t="shared" si="138"/>
        <v/>
      </c>
      <c r="FB688" s="1519" t="str">
        <f t="shared" si="139"/>
        <v/>
      </c>
      <c r="FC688" s="1519" t="str">
        <f t="shared" si="140"/>
        <v/>
      </c>
      <c r="FD688" s="1519" t="str">
        <f t="shared" si="141"/>
        <v/>
      </c>
      <c r="FE688" s="1519" t="str">
        <f t="shared" si="142"/>
        <v/>
      </c>
      <c r="FF688" s="1519" t="str">
        <f t="shared" si="143"/>
        <v/>
      </c>
      <c r="FG688" s="1519" t="str">
        <f t="shared" si="144"/>
        <v/>
      </c>
      <c r="FH688" s="1519" t="str">
        <f t="shared" si="145"/>
        <v/>
      </c>
      <c r="FI688" s="1519" t="str">
        <f t="shared" si="146"/>
        <v/>
      </c>
      <c r="FJ688" s="1519" t="str">
        <f t="shared" si="147"/>
        <v/>
      </c>
      <c r="FK688" s="1519" t="str">
        <f t="shared" si="148"/>
        <v/>
      </c>
      <c r="FL688" s="1519" t="str">
        <f t="shared" si="149"/>
        <v/>
      </c>
      <c r="FM688" s="1519" t="str">
        <f t="shared" si="150"/>
        <v/>
      </c>
      <c r="FN688" s="1519" t="str">
        <f t="shared" si="151"/>
        <v/>
      </c>
      <c r="FO688" s="1519" t="str">
        <f t="shared" si="152"/>
        <v/>
      </c>
      <c r="FP688" s="1519" t="str">
        <f t="shared" si="153"/>
        <v/>
      </c>
      <c r="FQ688" s="1519" t="str">
        <f t="shared" si="154"/>
        <v/>
      </c>
      <c r="FR688" s="1519" t="str">
        <f t="shared" si="155"/>
        <v/>
      </c>
      <c r="FS688" s="1519" t="str">
        <f t="shared" si="156"/>
        <v/>
      </c>
      <c r="FT688" s="1519" t="str">
        <f t="shared" si="157"/>
        <v/>
      </c>
      <c r="FU688" s="1519" t="str">
        <f t="shared" si="158"/>
        <v/>
      </c>
      <c r="FV688" s="1519" t="str">
        <f t="shared" si="159"/>
        <v/>
      </c>
      <c r="FW688" s="1519" t="str">
        <f t="shared" si="160"/>
        <v/>
      </c>
      <c r="FX688" s="1519" t="str">
        <f t="shared" si="161"/>
        <v/>
      </c>
      <c r="FY688" s="1519" t="str">
        <f t="shared" si="162"/>
        <v/>
      </c>
      <c r="FZ688" s="1519" t="str">
        <f t="shared" si="163"/>
        <v/>
      </c>
      <c r="GA688" s="1519" t="str">
        <f t="shared" si="164"/>
        <v/>
      </c>
      <c r="GB688" s="1519" t="str">
        <f t="shared" si="165"/>
        <v/>
      </c>
      <c r="GC688" s="1519" t="str">
        <f t="shared" si="166"/>
        <v/>
      </c>
      <c r="GD688" s="1519" t="str">
        <f t="shared" si="167"/>
        <v/>
      </c>
      <c r="GE688" s="1519" t="str">
        <f t="shared" si="168"/>
        <v/>
      </c>
      <c r="GF688" s="1519" t="str">
        <f t="shared" si="169"/>
        <v/>
      </c>
      <c r="GG688" s="1519" t="str">
        <f t="shared" si="170"/>
        <v/>
      </c>
      <c r="GH688" s="1519" t="str">
        <f t="shared" si="171"/>
        <v/>
      </c>
      <c r="GI688" s="1519" t="str">
        <f t="shared" si="172"/>
        <v/>
      </c>
      <c r="GJ688" s="1519" t="str">
        <f t="shared" si="173"/>
        <v/>
      </c>
      <c r="GK688" s="1519" t="str">
        <f t="shared" si="174"/>
        <v/>
      </c>
      <c r="GL688" s="1519" t="str">
        <f t="shared" si="175"/>
        <v/>
      </c>
      <c r="GM688" s="1519" t="str">
        <f t="shared" si="176"/>
        <v/>
      </c>
      <c r="GN688" s="1519" t="str">
        <f t="shared" si="177"/>
        <v/>
      </c>
      <c r="GO688" s="1519" t="str">
        <f t="shared" si="178"/>
        <v/>
      </c>
      <c r="GP688" s="1519" t="str">
        <f t="shared" si="179"/>
        <v/>
      </c>
      <c r="GQ688" s="1519" t="str">
        <f t="shared" si="180"/>
        <v/>
      </c>
      <c r="GR688" s="1519" t="str">
        <f t="shared" si="181"/>
        <v/>
      </c>
      <c r="GS688" s="1519" t="str">
        <f t="shared" si="182"/>
        <v/>
      </c>
      <c r="GT688" s="1519" t="str">
        <f t="shared" si="183"/>
        <v/>
      </c>
      <c r="GU688" s="1519" t="str">
        <f t="shared" si="184"/>
        <v/>
      </c>
      <c r="GV688" s="1519" t="str">
        <f t="shared" si="185"/>
        <v/>
      </c>
      <c r="GW688" s="1519" t="str">
        <f t="shared" si="186"/>
        <v/>
      </c>
      <c r="GX688" s="1519" t="str">
        <f t="shared" si="187"/>
        <v/>
      </c>
      <c r="GY688" s="1519" t="str">
        <f t="shared" si="188"/>
        <v/>
      </c>
      <c r="GZ688" s="1519" t="str">
        <f t="shared" si="189"/>
        <v/>
      </c>
      <c r="HA688" s="1519" t="str">
        <f t="shared" si="190"/>
        <v/>
      </c>
      <c r="HB688" s="1519" t="str">
        <f t="shared" si="191"/>
        <v/>
      </c>
      <c r="HC688" s="1519" t="str">
        <f t="shared" si="192"/>
        <v/>
      </c>
      <c r="HD688" s="1519" t="str">
        <f t="shared" si="193"/>
        <v/>
      </c>
      <c r="HE688" s="1519" t="str">
        <f t="shared" si="194"/>
        <v/>
      </c>
      <c r="HF688" s="1519" t="str">
        <f t="shared" si="195"/>
        <v/>
      </c>
      <c r="HG688" s="1519" t="str">
        <f t="shared" si="196"/>
        <v/>
      </c>
      <c r="HH688" s="1519" t="str">
        <f t="shared" si="197"/>
        <v/>
      </c>
      <c r="HI688" s="1519" t="str">
        <f t="shared" si="198"/>
        <v/>
      </c>
      <c r="HJ688" s="1519" t="str">
        <f t="shared" si="199"/>
        <v/>
      </c>
      <c r="HK688" s="1519" t="str">
        <f t="shared" si="200"/>
        <v/>
      </c>
      <c r="HL688" s="1519" t="str">
        <f t="shared" si="201"/>
        <v/>
      </c>
      <c r="HM688" s="1519" t="str">
        <f t="shared" si="202"/>
        <v/>
      </c>
      <c r="HN688" s="1519" t="str">
        <f t="shared" si="203"/>
        <v/>
      </c>
      <c r="HO688" s="1519" t="str">
        <f t="shared" si="204"/>
        <v/>
      </c>
      <c r="HP688" s="1519" t="str">
        <f t="shared" si="205"/>
        <v/>
      </c>
      <c r="HQ688" s="1519" t="str">
        <f t="shared" si="206"/>
        <v/>
      </c>
      <c r="HR688" s="1519" t="str">
        <f t="shared" si="207"/>
        <v/>
      </c>
      <c r="HS688" s="1519" t="str">
        <f t="shared" si="208"/>
        <v/>
      </c>
      <c r="HT688" s="1519" t="str">
        <f t="shared" si="209"/>
        <v/>
      </c>
      <c r="HU688" s="1519" t="str">
        <f t="shared" si="210"/>
        <v/>
      </c>
      <c r="HV688" s="1519" t="str">
        <f t="shared" si="211"/>
        <v/>
      </c>
      <c r="HW688" s="1519" t="str">
        <f t="shared" si="212"/>
        <v/>
      </c>
      <c r="HX688" s="1519" t="str">
        <f t="shared" si="213"/>
        <v/>
      </c>
      <c r="HY688" s="1519" t="str">
        <f t="shared" si="214"/>
        <v/>
      </c>
      <c r="HZ688" s="1519" t="str">
        <f t="shared" si="215"/>
        <v/>
      </c>
      <c r="IA688" s="1519" t="str">
        <f t="shared" si="216"/>
        <v/>
      </c>
      <c r="IB688" s="1519" t="str">
        <f t="shared" si="217"/>
        <v/>
      </c>
      <c r="IC688" s="1519" t="str">
        <f t="shared" si="218"/>
        <v/>
      </c>
      <c r="ID688" s="1520" t="str">
        <f t="shared" si="219"/>
        <v/>
      </c>
      <c r="IE688" s="1520" t="str">
        <f t="shared" si="220"/>
        <v/>
      </c>
      <c r="IF688" s="1520" t="str">
        <f t="shared" si="221"/>
        <v/>
      </c>
      <c r="IG688" s="1520" t="str">
        <f t="shared" si="222"/>
        <v/>
      </c>
      <c r="IH688" s="1520" t="str">
        <f t="shared" si="223"/>
        <v/>
      </c>
      <c r="II688" s="1271" t="str">
        <f t="shared" si="224"/>
        <v/>
      </c>
      <c r="IJ688" s="1271" t="str">
        <f t="shared" si="225"/>
        <v/>
      </c>
      <c r="IK688" s="1271" t="str">
        <f t="shared" si="226"/>
        <v/>
      </c>
      <c r="IL688" s="1271" t="str">
        <f t="shared" si="227"/>
        <v/>
      </c>
      <c r="IM688" s="1271" t="str">
        <f t="shared" si="228"/>
        <v/>
      </c>
      <c r="IN688" s="1271" t="str">
        <f t="shared" si="229"/>
        <v/>
      </c>
      <c r="IO688" s="1271" t="str">
        <f t="shared" si="230"/>
        <v/>
      </c>
      <c r="IP688" s="1271" t="str">
        <f t="shared" si="231"/>
        <v/>
      </c>
      <c r="IQ688" s="1271" t="str">
        <f t="shared" si="232"/>
        <v/>
      </c>
      <c r="IR688" s="1271" t="str">
        <f t="shared" si="233"/>
        <v/>
      </c>
      <c r="IS688" s="1271" t="str">
        <f t="shared" si="234"/>
        <v/>
      </c>
      <c r="IT688" s="1271" t="str">
        <f t="shared" si="235"/>
        <v/>
      </c>
      <c r="IU688" s="1271" t="str">
        <f t="shared" si="236"/>
        <v/>
      </c>
      <c r="IV688" s="1271" t="str">
        <f t="shared" si="237"/>
        <v/>
      </c>
      <c r="IW688" s="1271" t="str">
        <f t="shared" si="238"/>
        <v/>
      </c>
      <c r="IX688" s="1271" t="str">
        <f t="shared" si="239"/>
        <v/>
      </c>
      <c r="IY688" s="1271" t="str">
        <f t="shared" si="240"/>
        <v/>
      </c>
      <c r="IZ688" s="1271" t="str">
        <f t="shared" si="241"/>
        <v/>
      </c>
      <c r="JA688" s="1271" t="str">
        <f t="shared" si="242"/>
        <v/>
      </c>
      <c r="JB688" s="1271" t="str">
        <f t="shared" si="243"/>
        <v/>
      </c>
      <c r="JC688" s="1518">
        <f t="shared" si="244"/>
        <v>0</v>
      </c>
      <c r="JD688" s="1518">
        <f t="shared" si="245"/>
        <v>0</v>
      </c>
      <c r="JE688" s="1518">
        <f t="shared" si="246"/>
        <v>0</v>
      </c>
      <c r="JF688" s="1518">
        <f t="shared" si="247"/>
        <v>0</v>
      </c>
      <c r="JG688" s="1518">
        <f t="shared" si="248"/>
        <v>0</v>
      </c>
      <c r="JH688" s="1518">
        <f t="shared" si="249"/>
        <v>0</v>
      </c>
      <c r="JI688" s="1518">
        <f t="shared" si="250"/>
        <v>0</v>
      </c>
      <c r="JJ688" s="1518">
        <f t="shared" si="251"/>
        <v>0</v>
      </c>
      <c r="JK688" s="1518">
        <f t="shared" si="252"/>
        <v>0</v>
      </c>
      <c r="JL688" s="1518">
        <f t="shared" si="253"/>
        <v>0</v>
      </c>
      <c r="JM688" s="1518">
        <f t="shared" si="254"/>
        <v>0</v>
      </c>
      <c r="JN688" s="1518">
        <f t="shared" si="255"/>
        <v>0</v>
      </c>
      <c r="JO688" s="1518">
        <f t="shared" si="256"/>
        <v>0</v>
      </c>
      <c r="JP688" s="1518">
        <f t="shared" si="257"/>
        <v>0</v>
      </c>
      <c r="JQ688" s="1518">
        <f t="shared" si="258"/>
        <v>0</v>
      </c>
    </row>
    <row r="689" spans="1:277" ht="12" customHeight="1">
      <c r="A689" s="1687" t="str">
        <f t="shared" si="1"/>
        <v/>
      </c>
      <c r="B689" s="1702" t="str">
        <f>'Part VI-Revenues &amp; Expenses'!B28</f>
        <v>&lt;&lt;Select&gt;&gt;</v>
      </c>
      <c r="C689" s="1703">
        <f>'Part VI-Revenues &amp; Expenses'!C28</f>
        <v>0</v>
      </c>
      <c r="D689" s="1704">
        <f>'Part VI-Revenues &amp; Expenses'!D28</f>
        <v>0</v>
      </c>
      <c r="E689" s="1705">
        <f>'Part VI-Revenues &amp; Expenses'!E28</f>
        <v>0</v>
      </c>
      <c r="F689" s="1705">
        <f>'Part VI-Revenues &amp; Expenses'!F28</f>
        <v>0</v>
      </c>
      <c r="G689" s="1705">
        <f>'Part VI-Revenues &amp; Expenses'!G28</f>
        <v>0</v>
      </c>
      <c r="H689" s="1705">
        <f>'Part VI-Revenues &amp; Expenses'!H28</f>
        <v>0</v>
      </c>
      <c r="I689" s="1705">
        <f>'Part VI-Revenues &amp; Expenses'!I28</f>
        <v>0</v>
      </c>
      <c r="J689" s="1706">
        <f>'Part VI-Revenues &amp; Expenses'!J28</f>
        <v>0</v>
      </c>
      <c r="K689" s="1707">
        <f t="shared" si="2"/>
        <v>0</v>
      </c>
      <c r="L689" s="1707">
        <f t="shared" si="3"/>
        <v>0</v>
      </c>
      <c r="M689" s="1708">
        <f>'Part VI-Revenues &amp; Expenses'!M28</f>
        <v>0</v>
      </c>
      <c r="N689" s="1708">
        <f>'Part VI-Revenues &amp; Expenses'!N28</f>
        <v>0</v>
      </c>
      <c r="O689" s="1708">
        <f>'Part VI-Revenues &amp; Expenses'!O28</f>
        <v>0</v>
      </c>
      <c r="P689" s="1515">
        <f>'Part VI-Revenues &amp; Expenses'!P28</f>
        <v>0</v>
      </c>
      <c r="Q689" s="1709" t="str">
        <f>'Part VI-Revenues &amp; Expenses'!Q28</f>
        <v/>
      </c>
      <c r="R689" s="1710" t="str">
        <f>'Part VI-Revenues &amp; Expenses'!R28</f>
        <v/>
      </c>
      <c r="S689" s="1709">
        <f>'Part VI-Revenues &amp; Expenses'!S28</f>
        <v>0</v>
      </c>
      <c r="T689" s="1710">
        <f>'Part VI-Revenues &amp; Expenses'!T28</f>
        <v>0</v>
      </c>
      <c r="U689" s="1629"/>
      <c r="V689" s="1629"/>
      <c r="W689" s="1271" t="str">
        <f t="shared" si="4"/>
        <v/>
      </c>
      <c r="X689" s="1271" t="str">
        <f t="shared" si="5"/>
        <v/>
      </c>
      <c r="Y689" s="1271" t="str">
        <f t="shared" si="6"/>
        <v/>
      </c>
      <c r="Z689" s="1271" t="str">
        <f t="shared" si="7"/>
        <v/>
      </c>
      <c r="AA689" s="1271" t="str">
        <f t="shared" si="8"/>
        <v/>
      </c>
      <c r="AB689" s="1271" t="str">
        <f t="shared" si="9"/>
        <v/>
      </c>
      <c r="AC689" s="1271" t="str">
        <f t="shared" si="10"/>
        <v/>
      </c>
      <c r="AD689" s="1271" t="str">
        <f t="shared" si="11"/>
        <v/>
      </c>
      <c r="AE689" s="1271" t="str">
        <f t="shared" si="12"/>
        <v/>
      </c>
      <c r="AF689" s="1271" t="str">
        <f t="shared" si="13"/>
        <v/>
      </c>
      <c r="AG689" s="1271" t="str">
        <f t="shared" si="14"/>
        <v/>
      </c>
      <c r="AH689" s="1271" t="str">
        <f t="shared" si="15"/>
        <v/>
      </c>
      <c r="AI689" s="1271" t="str">
        <f t="shared" si="16"/>
        <v/>
      </c>
      <c r="AJ689" s="1271" t="str">
        <f t="shared" si="17"/>
        <v/>
      </c>
      <c r="AK689" s="1271" t="str">
        <f t="shared" si="18"/>
        <v/>
      </c>
      <c r="AL689" s="1271" t="str">
        <f t="shared" si="19"/>
        <v/>
      </c>
      <c r="AM689" s="1271" t="str">
        <f t="shared" si="20"/>
        <v/>
      </c>
      <c r="AN689" s="1271" t="str">
        <f t="shared" si="21"/>
        <v/>
      </c>
      <c r="AO689" s="1271" t="str">
        <f t="shared" si="22"/>
        <v/>
      </c>
      <c r="AP689" s="1271" t="str">
        <f t="shared" si="23"/>
        <v/>
      </c>
      <c r="AQ689" s="1271" t="str">
        <f t="shared" si="24"/>
        <v/>
      </c>
      <c r="AR689" s="1271" t="str">
        <f t="shared" si="25"/>
        <v/>
      </c>
      <c r="AS689" s="1271" t="str">
        <f t="shared" si="26"/>
        <v/>
      </c>
      <c r="AT689" s="1271" t="str">
        <f t="shared" si="27"/>
        <v/>
      </c>
      <c r="AU689" s="1271" t="str">
        <f t="shared" si="28"/>
        <v/>
      </c>
      <c r="AV689" s="1271" t="str">
        <f t="shared" si="29"/>
        <v/>
      </c>
      <c r="AW689" s="1271" t="str">
        <f t="shared" si="30"/>
        <v/>
      </c>
      <c r="AX689" s="1271" t="str">
        <f t="shared" si="31"/>
        <v/>
      </c>
      <c r="AY689" s="1271" t="str">
        <f t="shared" si="32"/>
        <v/>
      </c>
      <c r="AZ689" s="1271" t="str">
        <f t="shared" si="33"/>
        <v/>
      </c>
      <c r="BA689" s="1271" t="str">
        <f t="shared" si="34"/>
        <v/>
      </c>
      <c r="BB689" s="1271" t="str">
        <f t="shared" si="35"/>
        <v/>
      </c>
      <c r="BC689" s="1271" t="str">
        <f t="shared" si="36"/>
        <v/>
      </c>
      <c r="BD689" s="1271" t="str">
        <f t="shared" si="37"/>
        <v/>
      </c>
      <c r="BE689" s="1271" t="str">
        <f t="shared" si="38"/>
        <v/>
      </c>
      <c r="BF689" s="1271" t="str">
        <f t="shared" si="39"/>
        <v/>
      </c>
      <c r="BG689" s="1271" t="str">
        <f t="shared" si="40"/>
        <v/>
      </c>
      <c r="BH689" s="1271" t="str">
        <f t="shared" si="41"/>
        <v/>
      </c>
      <c r="BI689" s="1271" t="str">
        <f t="shared" si="42"/>
        <v/>
      </c>
      <c r="BJ689" s="1271" t="str">
        <f t="shared" si="43"/>
        <v/>
      </c>
      <c r="BK689" s="1271" t="str">
        <f t="shared" si="44"/>
        <v/>
      </c>
      <c r="BL689" s="1271" t="str">
        <f t="shared" si="45"/>
        <v/>
      </c>
      <c r="BM689" s="1271" t="str">
        <f t="shared" si="46"/>
        <v/>
      </c>
      <c r="BN689" s="1271" t="str">
        <f t="shared" si="47"/>
        <v/>
      </c>
      <c r="BO689" s="1271" t="str">
        <f t="shared" si="48"/>
        <v/>
      </c>
      <c r="BP689" s="1271" t="str">
        <f t="shared" si="49"/>
        <v/>
      </c>
      <c r="BQ689" s="1271" t="str">
        <f t="shared" si="50"/>
        <v/>
      </c>
      <c r="BR689" s="1271" t="str">
        <f t="shared" si="51"/>
        <v/>
      </c>
      <c r="BS689" s="1271" t="str">
        <f t="shared" si="52"/>
        <v/>
      </c>
      <c r="BT689" s="1271" t="str">
        <f t="shared" si="53"/>
        <v/>
      </c>
      <c r="BU689" s="1271" t="str">
        <f t="shared" si="54"/>
        <v/>
      </c>
      <c r="BV689" s="1271" t="str">
        <f t="shared" si="55"/>
        <v/>
      </c>
      <c r="BW689" s="1271" t="str">
        <f t="shared" si="56"/>
        <v/>
      </c>
      <c r="BX689" s="1271" t="str">
        <f t="shared" si="57"/>
        <v/>
      </c>
      <c r="BY689" s="1271" t="str">
        <f t="shared" si="58"/>
        <v/>
      </c>
      <c r="BZ689" s="1271" t="str">
        <f t="shared" si="59"/>
        <v/>
      </c>
      <c r="CA689" s="1271" t="str">
        <f t="shared" si="60"/>
        <v/>
      </c>
      <c r="CB689" s="1271" t="str">
        <f t="shared" si="61"/>
        <v/>
      </c>
      <c r="CC689" s="1271" t="str">
        <f t="shared" si="62"/>
        <v/>
      </c>
      <c r="CD689" s="1271" t="str">
        <f t="shared" si="63"/>
        <v/>
      </c>
      <c r="CE689" s="1271" t="str">
        <f t="shared" si="64"/>
        <v/>
      </c>
      <c r="CF689" s="1271" t="str">
        <f t="shared" si="65"/>
        <v/>
      </c>
      <c r="CG689" s="1271" t="str">
        <f t="shared" si="66"/>
        <v/>
      </c>
      <c r="CH689" s="1271" t="str">
        <f t="shared" si="67"/>
        <v/>
      </c>
      <c r="CI689" s="1271" t="str">
        <f t="shared" si="68"/>
        <v/>
      </c>
      <c r="CJ689" s="1271" t="str">
        <f t="shared" si="69"/>
        <v/>
      </c>
      <c r="CK689" s="1271" t="str">
        <f t="shared" si="70"/>
        <v/>
      </c>
      <c r="CL689" s="1271" t="str">
        <f t="shared" si="71"/>
        <v/>
      </c>
      <c r="CM689" s="1271" t="str">
        <f t="shared" si="72"/>
        <v/>
      </c>
      <c r="CN689" s="1271" t="str">
        <f t="shared" si="73"/>
        <v/>
      </c>
      <c r="CO689" s="1271" t="str">
        <f t="shared" si="74"/>
        <v/>
      </c>
      <c r="CP689" s="1271" t="str">
        <f t="shared" si="75"/>
        <v/>
      </c>
      <c r="CQ689" s="1271" t="str">
        <f t="shared" si="76"/>
        <v/>
      </c>
      <c r="CR689" s="1271" t="str">
        <f t="shared" si="77"/>
        <v/>
      </c>
      <c r="CS689" s="1271" t="str">
        <f t="shared" si="78"/>
        <v/>
      </c>
      <c r="CT689" s="1271" t="str">
        <f t="shared" si="79"/>
        <v/>
      </c>
      <c r="CU689" s="1271" t="str">
        <f t="shared" si="80"/>
        <v/>
      </c>
      <c r="CV689" s="1271" t="str">
        <f t="shared" si="81"/>
        <v/>
      </c>
      <c r="CW689" s="1271" t="str">
        <f t="shared" si="82"/>
        <v/>
      </c>
      <c r="CX689" s="1271" t="str">
        <f t="shared" si="83"/>
        <v/>
      </c>
      <c r="CY689" s="1271" t="str">
        <f t="shared" si="84"/>
        <v/>
      </c>
      <c r="CZ689" s="1271" t="str">
        <f t="shared" si="85"/>
        <v/>
      </c>
      <c r="DA689" s="1271" t="str">
        <f t="shared" si="86"/>
        <v/>
      </c>
      <c r="DB689" s="1271" t="str">
        <f t="shared" si="87"/>
        <v/>
      </c>
      <c r="DC689" s="1271" t="str">
        <f t="shared" si="88"/>
        <v/>
      </c>
      <c r="DD689" s="1271" t="str">
        <f t="shared" si="89"/>
        <v/>
      </c>
      <c r="DE689" s="1271" t="str">
        <f t="shared" si="90"/>
        <v/>
      </c>
      <c r="DF689" s="1271" t="str">
        <f t="shared" si="91"/>
        <v/>
      </c>
      <c r="DG689" s="1271" t="str">
        <f t="shared" si="92"/>
        <v/>
      </c>
      <c r="DH689" s="1271" t="str">
        <f t="shared" si="93"/>
        <v/>
      </c>
      <c r="DI689" s="1271" t="str">
        <f t="shared" si="94"/>
        <v/>
      </c>
      <c r="DJ689" s="1271" t="str">
        <f t="shared" si="95"/>
        <v/>
      </c>
      <c r="DK689" s="1271" t="str">
        <f t="shared" si="96"/>
        <v/>
      </c>
      <c r="DL689" s="1271" t="str">
        <f t="shared" si="97"/>
        <v/>
      </c>
      <c r="DM689" s="1271" t="str">
        <f t="shared" si="98"/>
        <v/>
      </c>
      <c r="DN689" s="1271" t="str">
        <f t="shared" si="99"/>
        <v/>
      </c>
      <c r="DO689" s="1271" t="str">
        <f t="shared" si="100"/>
        <v/>
      </c>
      <c r="DP689" s="1271" t="str">
        <f t="shared" si="101"/>
        <v/>
      </c>
      <c r="DQ689" s="1271" t="str">
        <f t="shared" si="102"/>
        <v/>
      </c>
      <c r="DR689" s="1271" t="str">
        <f t="shared" si="103"/>
        <v/>
      </c>
      <c r="DS689" s="1271" t="str">
        <f t="shared" si="104"/>
        <v/>
      </c>
      <c r="DT689" s="1271" t="str">
        <f t="shared" si="105"/>
        <v/>
      </c>
      <c r="DU689" s="1271" t="str">
        <f t="shared" si="106"/>
        <v/>
      </c>
      <c r="DV689" s="1271" t="str">
        <f t="shared" si="107"/>
        <v/>
      </c>
      <c r="DW689" s="1271" t="str">
        <f t="shared" si="108"/>
        <v/>
      </c>
      <c r="DX689" s="1271" t="str">
        <f t="shared" si="109"/>
        <v/>
      </c>
      <c r="DY689" s="1271" t="str">
        <f t="shared" si="110"/>
        <v/>
      </c>
      <c r="DZ689" s="1271" t="str">
        <f t="shared" si="111"/>
        <v/>
      </c>
      <c r="EA689" s="1271" t="str">
        <f t="shared" si="112"/>
        <v/>
      </c>
      <c r="EB689" s="1271" t="str">
        <f t="shared" si="113"/>
        <v/>
      </c>
      <c r="EC689" s="1271" t="str">
        <f t="shared" si="114"/>
        <v/>
      </c>
      <c r="ED689" s="1271" t="str">
        <f t="shared" si="115"/>
        <v/>
      </c>
      <c r="EE689" s="1271" t="str">
        <f t="shared" si="116"/>
        <v/>
      </c>
      <c r="EF689" s="1271" t="str">
        <f t="shared" si="117"/>
        <v/>
      </c>
      <c r="EG689" s="1271" t="str">
        <f t="shared" si="118"/>
        <v/>
      </c>
      <c r="EH689" s="1271" t="str">
        <f t="shared" si="119"/>
        <v/>
      </c>
      <c r="EI689" s="1271" t="str">
        <f t="shared" si="120"/>
        <v/>
      </c>
      <c r="EJ689" s="1271" t="str">
        <f t="shared" si="121"/>
        <v/>
      </c>
      <c r="EK689" s="1271" t="str">
        <f t="shared" si="122"/>
        <v/>
      </c>
      <c r="EL689" s="1271" t="str">
        <f t="shared" si="123"/>
        <v/>
      </c>
      <c r="EM689" s="1271" t="str">
        <f t="shared" si="124"/>
        <v/>
      </c>
      <c r="EN689" s="1271" t="str">
        <f t="shared" si="125"/>
        <v/>
      </c>
      <c r="EO689" s="1271" t="str">
        <f t="shared" si="126"/>
        <v/>
      </c>
      <c r="EP689" s="1271" t="str">
        <f t="shared" si="127"/>
        <v/>
      </c>
      <c r="EQ689" s="1271" t="str">
        <f t="shared" si="128"/>
        <v/>
      </c>
      <c r="ER689" s="1271" t="str">
        <f t="shared" si="129"/>
        <v/>
      </c>
      <c r="ES689" s="1271" t="str">
        <f t="shared" si="130"/>
        <v/>
      </c>
      <c r="ET689" s="1271" t="str">
        <f t="shared" si="131"/>
        <v/>
      </c>
      <c r="EU689" s="1271" t="str">
        <f t="shared" si="132"/>
        <v/>
      </c>
      <c r="EV689" s="1271" t="str">
        <f t="shared" si="133"/>
        <v/>
      </c>
      <c r="EW689" s="1519" t="str">
        <f t="shared" si="134"/>
        <v/>
      </c>
      <c r="EX689" s="1519" t="str">
        <f t="shared" si="135"/>
        <v/>
      </c>
      <c r="EY689" s="1519" t="str">
        <f t="shared" si="136"/>
        <v/>
      </c>
      <c r="EZ689" s="1519" t="str">
        <f t="shared" si="137"/>
        <v/>
      </c>
      <c r="FA689" s="1519" t="str">
        <f t="shared" si="138"/>
        <v/>
      </c>
      <c r="FB689" s="1519" t="str">
        <f t="shared" si="139"/>
        <v/>
      </c>
      <c r="FC689" s="1519" t="str">
        <f t="shared" si="140"/>
        <v/>
      </c>
      <c r="FD689" s="1519" t="str">
        <f t="shared" si="141"/>
        <v/>
      </c>
      <c r="FE689" s="1519" t="str">
        <f t="shared" si="142"/>
        <v/>
      </c>
      <c r="FF689" s="1519" t="str">
        <f t="shared" si="143"/>
        <v/>
      </c>
      <c r="FG689" s="1519" t="str">
        <f t="shared" si="144"/>
        <v/>
      </c>
      <c r="FH689" s="1519" t="str">
        <f t="shared" si="145"/>
        <v/>
      </c>
      <c r="FI689" s="1519" t="str">
        <f t="shared" si="146"/>
        <v/>
      </c>
      <c r="FJ689" s="1519" t="str">
        <f t="shared" si="147"/>
        <v/>
      </c>
      <c r="FK689" s="1519" t="str">
        <f t="shared" si="148"/>
        <v/>
      </c>
      <c r="FL689" s="1519" t="str">
        <f t="shared" si="149"/>
        <v/>
      </c>
      <c r="FM689" s="1519" t="str">
        <f t="shared" si="150"/>
        <v/>
      </c>
      <c r="FN689" s="1519" t="str">
        <f t="shared" si="151"/>
        <v/>
      </c>
      <c r="FO689" s="1519" t="str">
        <f t="shared" si="152"/>
        <v/>
      </c>
      <c r="FP689" s="1519" t="str">
        <f t="shared" si="153"/>
        <v/>
      </c>
      <c r="FQ689" s="1519" t="str">
        <f t="shared" si="154"/>
        <v/>
      </c>
      <c r="FR689" s="1519" t="str">
        <f t="shared" si="155"/>
        <v/>
      </c>
      <c r="FS689" s="1519" t="str">
        <f t="shared" si="156"/>
        <v/>
      </c>
      <c r="FT689" s="1519" t="str">
        <f t="shared" si="157"/>
        <v/>
      </c>
      <c r="FU689" s="1519" t="str">
        <f t="shared" si="158"/>
        <v/>
      </c>
      <c r="FV689" s="1519" t="str">
        <f t="shared" si="159"/>
        <v/>
      </c>
      <c r="FW689" s="1519" t="str">
        <f t="shared" si="160"/>
        <v/>
      </c>
      <c r="FX689" s="1519" t="str">
        <f t="shared" si="161"/>
        <v/>
      </c>
      <c r="FY689" s="1519" t="str">
        <f t="shared" si="162"/>
        <v/>
      </c>
      <c r="FZ689" s="1519" t="str">
        <f t="shared" si="163"/>
        <v/>
      </c>
      <c r="GA689" s="1519" t="str">
        <f t="shared" si="164"/>
        <v/>
      </c>
      <c r="GB689" s="1519" t="str">
        <f t="shared" si="165"/>
        <v/>
      </c>
      <c r="GC689" s="1519" t="str">
        <f t="shared" si="166"/>
        <v/>
      </c>
      <c r="GD689" s="1519" t="str">
        <f t="shared" si="167"/>
        <v/>
      </c>
      <c r="GE689" s="1519" t="str">
        <f t="shared" si="168"/>
        <v/>
      </c>
      <c r="GF689" s="1519" t="str">
        <f t="shared" si="169"/>
        <v/>
      </c>
      <c r="GG689" s="1519" t="str">
        <f t="shared" si="170"/>
        <v/>
      </c>
      <c r="GH689" s="1519" t="str">
        <f t="shared" si="171"/>
        <v/>
      </c>
      <c r="GI689" s="1519" t="str">
        <f t="shared" si="172"/>
        <v/>
      </c>
      <c r="GJ689" s="1519" t="str">
        <f t="shared" si="173"/>
        <v/>
      </c>
      <c r="GK689" s="1519" t="str">
        <f t="shared" si="174"/>
        <v/>
      </c>
      <c r="GL689" s="1519" t="str">
        <f t="shared" si="175"/>
        <v/>
      </c>
      <c r="GM689" s="1519" t="str">
        <f t="shared" si="176"/>
        <v/>
      </c>
      <c r="GN689" s="1519" t="str">
        <f t="shared" si="177"/>
        <v/>
      </c>
      <c r="GO689" s="1519" t="str">
        <f t="shared" si="178"/>
        <v/>
      </c>
      <c r="GP689" s="1519" t="str">
        <f t="shared" si="179"/>
        <v/>
      </c>
      <c r="GQ689" s="1519" t="str">
        <f t="shared" si="180"/>
        <v/>
      </c>
      <c r="GR689" s="1519" t="str">
        <f t="shared" si="181"/>
        <v/>
      </c>
      <c r="GS689" s="1519" t="str">
        <f t="shared" si="182"/>
        <v/>
      </c>
      <c r="GT689" s="1519" t="str">
        <f t="shared" si="183"/>
        <v/>
      </c>
      <c r="GU689" s="1519" t="str">
        <f t="shared" si="184"/>
        <v/>
      </c>
      <c r="GV689" s="1519" t="str">
        <f t="shared" si="185"/>
        <v/>
      </c>
      <c r="GW689" s="1519" t="str">
        <f t="shared" si="186"/>
        <v/>
      </c>
      <c r="GX689" s="1519" t="str">
        <f t="shared" si="187"/>
        <v/>
      </c>
      <c r="GY689" s="1519" t="str">
        <f t="shared" si="188"/>
        <v/>
      </c>
      <c r="GZ689" s="1519" t="str">
        <f t="shared" si="189"/>
        <v/>
      </c>
      <c r="HA689" s="1519" t="str">
        <f t="shared" si="190"/>
        <v/>
      </c>
      <c r="HB689" s="1519" t="str">
        <f t="shared" si="191"/>
        <v/>
      </c>
      <c r="HC689" s="1519" t="str">
        <f t="shared" si="192"/>
        <v/>
      </c>
      <c r="HD689" s="1519" t="str">
        <f t="shared" si="193"/>
        <v/>
      </c>
      <c r="HE689" s="1519" t="str">
        <f t="shared" si="194"/>
        <v/>
      </c>
      <c r="HF689" s="1519" t="str">
        <f t="shared" si="195"/>
        <v/>
      </c>
      <c r="HG689" s="1519" t="str">
        <f t="shared" si="196"/>
        <v/>
      </c>
      <c r="HH689" s="1519" t="str">
        <f t="shared" si="197"/>
        <v/>
      </c>
      <c r="HI689" s="1519" t="str">
        <f t="shared" si="198"/>
        <v/>
      </c>
      <c r="HJ689" s="1519" t="str">
        <f t="shared" si="199"/>
        <v/>
      </c>
      <c r="HK689" s="1519" t="str">
        <f t="shared" si="200"/>
        <v/>
      </c>
      <c r="HL689" s="1519" t="str">
        <f t="shared" si="201"/>
        <v/>
      </c>
      <c r="HM689" s="1519" t="str">
        <f t="shared" si="202"/>
        <v/>
      </c>
      <c r="HN689" s="1519" t="str">
        <f t="shared" si="203"/>
        <v/>
      </c>
      <c r="HO689" s="1519" t="str">
        <f t="shared" si="204"/>
        <v/>
      </c>
      <c r="HP689" s="1519" t="str">
        <f t="shared" si="205"/>
        <v/>
      </c>
      <c r="HQ689" s="1519" t="str">
        <f t="shared" si="206"/>
        <v/>
      </c>
      <c r="HR689" s="1519" t="str">
        <f t="shared" si="207"/>
        <v/>
      </c>
      <c r="HS689" s="1519" t="str">
        <f t="shared" si="208"/>
        <v/>
      </c>
      <c r="HT689" s="1519" t="str">
        <f t="shared" si="209"/>
        <v/>
      </c>
      <c r="HU689" s="1519" t="str">
        <f t="shared" si="210"/>
        <v/>
      </c>
      <c r="HV689" s="1519" t="str">
        <f t="shared" si="211"/>
        <v/>
      </c>
      <c r="HW689" s="1519" t="str">
        <f t="shared" si="212"/>
        <v/>
      </c>
      <c r="HX689" s="1519" t="str">
        <f t="shared" si="213"/>
        <v/>
      </c>
      <c r="HY689" s="1519" t="str">
        <f t="shared" si="214"/>
        <v/>
      </c>
      <c r="HZ689" s="1519" t="str">
        <f t="shared" si="215"/>
        <v/>
      </c>
      <c r="IA689" s="1519" t="str">
        <f t="shared" si="216"/>
        <v/>
      </c>
      <c r="IB689" s="1519" t="str">
        <f t="shared" si="217"/>
        <v/>
      </c>
      <c r="IC689" s="1519" t="str">
        <f t="shared" si="218"/>
        <v/>
      </c>
      <c r="ID689" s="1520" t="str">
        <f t="shared" si="219"/>
        <v/>
      </c>
      <c r="IE689" s="1520" t="str">
        <f t="shared" si="220"/>
        <v/>
      </c>
      <c r="IF689" s="1520" t="str">
        <f t="shared" si="221"/>
        <v/>
      </c>
      <c r="IG689" s="1520" t="str">
        <f t="shared" si="222"/>
        <v/>
      </c>
      <c r="IH689" s="1520" t="str">
        <f t="shared" si="223"/>
        <v/>
      </c>
      <c r="II689" s="1271" t="str">
        <f t="shared" si="224"/>
        <v/>
      </c>
      <c r="IJ689" s="1271" t="str">
        <f t="shared" si="225"/>
        <v/>
      </c>
      <c r="IK689" s="1271" t="str">
        <f t="shared" si="226"/>
        <v/>
      </c>
      <c r="IL689" s="1271" t="str">
        <f t="shared" si="227"/>
        <v/>
      </c>
      <c r="IM689" s="1271" t="str">
        <f t="shared" si="228"/>
        <v/>
      </c>
      <c r="IN689" s="1271" t="str">
        <f t="shared" si="229"/>
        <v/>
      </c>
      <c r="IO689" s="1271" t="str">
        <f t="shared" si="230"/>
        <v/>
      </c>
      <c r="IP689" s="1271" t="str">
        <f t="shared" si="231"/>
        <v/>
      </c>
      <c r="IQ689" s="1271" t="str">
        <f t="shared" si="232"/>
        <v/>
      </c>
      <c r="IR689" s="1271" t="str">
        <f t="shared" si="233"/>
        <v/>
      </c>
      <c r="IS689" s="1271" t="str">
        <f t="shared" si="234"/>
        <v/>
      </c>
      <c r="IT689" s="1271" t="str">
        <f t="shared" si="235"/>
        <v/>
      </c>
      <c r="IU689" s="1271" t="str">
        <f t="shared" si="236"/>
        <v/>
      </c>
      <c r="IV689" s="1271" t="str">
        <f t="shared" si="237"/>
        <v/>
      </c>
      <c r="IW689" s="1271" t="str">
        <f t="shared" si="238"/>
        <v/>
      </c>
      <c r="IX689" s="1271" t="str">
        <f t="shared" si="239"/>
        <v/>
      </c>
      <c r="IY689" s="1271" t="str">
        <f t="shared" si="240"/>
        <v/>
      </c>
      <c r="IZ689" s="1271" t="str">
        <f t="shared" si="241"/>
        <v/>
      </c>
      <c r="JA689" s="1271" t="str">
        <f t="shared" si="242"/>
        <v/>
      </c>
      <c r="JB689" s="1271" t="str">
        <f t="shared" si="243"/>
        <v/>
      </c>
      <c r="JC689" s="1518">
        <f t="shared" si="244"/>
        <v>0</v>
      </c>
      <c r="JD689" s="1518">
        <f t="shared" si="245"/>
        <v>0</v>
      </c>
      <c r="JE689" s="1518">
        <f t="shared" si="246"/>
        <v>0</v>
      </c>
      <c r="JF689" s="1518">
        <f t="shared" si="247"/>
        <v>0</v>
      </c>
      <c r="JG689" s="1518">
        <f t="shared" si="248"/>
        <v>0</v>
      </c>
      <c r="JH689" s="1518">
        <f t="shared" si="249"/>
        <v>0</v>
      </c>
      <c r="JI689" s="1518">
        <f t="shared" si="250"/>
        <v>0</v>
      </c>
      <c r="JJ689" s="1518">
        <f t="shared" si="251"/>
        <v>0</v>
      </c>
      <c r="JK689" s="1518">
        <f t="shared" si="252"/>
        <v>0</v>
      </c>
      <c r="JL689" s="1518">
        <f t="shared" si="253"/>
        <v>0</v>
      </c>
      <c r="JM689" s="1518">
        <f t="shared" si="254"/>
        <v>0</v>
      </c>
      <c r="JN689" s="1518">
        <f t="shared" si="255"/>
        <v>0</v>
      </c>
      <c r="JO689" s="1518">
        <f t="shared" si="256"/>
        <v>0</v>
      </c>
      <c r="JP689" s="1518">
        <f t="shared" si="257"/>
        <v>0</v>
      </c>
      <c r="JQ689" s="1518">
        <f t="shared" si="258"/>
        <v>0</v>
      </c>
    </row>
    <row r="690" spans="1:277" ht="12" customHeight="1">
      <c r="A690" s="1687" t="str">
        <f t="shared" si="1"/>
        <v/>
      </c>
      <c r="B690" s="1702" t="str">
        <f>'Part VI-Revenues &amp; Expenses'!B29</f>
        <v>&lt;&lt;Select&gt;&gt;</v>
      </c>
      <c r="C690" s="1703">
        <f>'Part VI-Revenues &amp; Expenses'!C29</f>
        <v>0</v>
      </c>
      <c r="D690" s="1704">
        <f>'Part VI-Revenues &amp; Expenses'!D29</f>
        <v>0</v>
      </c>
      <c r="E690" s="1705">
        <f>'Part VI-Revenues &amp; Expenses'!E29</f>
        <v>0</v>
      </c>
      <c r="F690" s="1705">
        <f>'Part VI-Revenues &amp; Expenses'!F29</f>
        <v>0</v>
      </c>
      <c r="G690" s="1705">
        <f>'Part VI-Revenues &amp; Expenses'!G29</f>
        <v>0</v>
      </c>
      <c r="H690" s="1705">
        <f>'Part VI-Revenues &amp; Expenses'!H29</f>
        <v>0</v>
      </c>
      <c r="I690" s="1705">
        <f>'Part VI-Revenues &amp; Expenses'!I29</f>
        <v>0</v>
      </c>
      <c r="J690" s="1706">
        <f>'Part VI-Revenues &amp; Expenses'!J29</f>
        <v>0</v>
      </c>
      <c r="K690" s="1707">
        <f t="shared" si="2"/>
        <v>0</v>
      </c>
      <c r="L690" s="1707">
        <f t="shared" si="3"/>
        <v>0</v>
      </c>
      <c r="M690" s="1708">
        <f>'Part VI-Revenues &amp; Expenses'!M29</f>
        <v>0</v>
      </c>
      <c r="N690" s="1708">
        <f>'Part VI-Revenues &amp; Expenses'!N29</f>
        <v>0</v>
      </c>
      <c r="O690" s="1708">
        <f>'Part VI-Revenues &amp; Expenses'!O29</f>
        <v>0</v>
      </c>
      <c r="P690" s="1515">
        <f>'Part VI-Revenues &amp; Expenses'!P29</f>
        <v>0</v>
      </c>
      <c r="Q690" s="1709" t="str">
        <f>'Part VI-Revenues &amp; Expenses'!Q29</f>
        <v/>
      </c>
      <c r="R690" s="1710" t="str">
        <f>'Part VI-Revenues &amp; Expenses'!R29</f>
        <v/>
      </c>
      <c r="S690" s="1709">
        <f>'Part VI-Revenues &amp; Expenses'!S29</f>
        <v>0</v>
      </c>
      <c r="T690" s="1710">
        <f>'Part VI-Revenues &amp; Expenses'!T29</f>
        <v>0</v>
      </c>
      <c r="U690" s="1629"/>
      <c r="V690" s="1629"/>
      <c r="W690" s="1271" t="str">
        <f t="shared" si="4"/>
        <v/>
      </c>
      <c r="X690" s="1271" t="str">
        <f t="shared" si="5"/>
        <v/>
      </c>
      <c r="Y690" s="1271" t="str">
        <f t="shared" si="6"/>
        <v/>
      </c>
      <c r="Z690" s="1271" t="str">
        <f t="shared" si="7"/>
        <v/>
      </c>
      <c r="AA690" s="1271" t="str">
        <f t="shared" si="8"/>
        <v/>
      </c>
      <c r="AB690" s="1271" t="str">
        <f t="shared" si="9"/>
        <v/>
      </c>
      <c r="AC690" s="1271" t="str">
        <f t="shared" si="10"/>
        <v/>
      </c>
      <c r="AD690" s="1271" t="str">
        <f t="shared" si="11"/>
        <v/>
      </c>
      <c r="AE690" s="1271" t="str">
        <f t="shared" si="12"/>
        <v/>
      </c>
      <c r="AF690" s="1271" t="str">
        <f t="shared" si="13"/>
        <v/>
      </c>
      <c r="AG690" s="1271" t="str">
        <f t="shared" si="14"/>
        <v/>
      </c>
      <c r="AH690" s="1271" t="str">
        <f t="shared" si="15"/>
        <v/>
      </c>
      <c r="AI690" s="1271" t="str">
        <f t="shared" si="16"/>
        <v/>
      </c>
      <c r="AJ690" s="1271" t="str">
        <f t="shared" si="17"/>
        <v/>
      </c>
      <c r="AK690" s="1271" t="str">
        <f t="shared" si="18"/>
        <v/>
      </c>
      <c r="AL690" s="1271" t="str">
        <f t="shared" si="19"/>
        <v/>
      </c>
      <c r="AM690" s="1271" t="str">
        <f t="shared" si="20"/>
        <v/>
      </c>
      <c r="AN690" s="1271" t="str">
        <f t="shared" si="21"/>
        <v/>
      </c>
      <c r="AO690" s="1271" t="str">
        <f t="shared" si="22"/>
        <v/>
      </c>
      <c r="AP690" s="1271" t="str">
        <f t="shared" si="23"/>
        <v/>
      </c>
      <c r="AQ690" s="1271" t="str">
        <f t="shared" si="24"/>
        <v/>
      </c>
      <c r="AR690" s="1271" t="str">
        <f t="shared" si="25"/>
        <v/>
      </c>
      <c r="AS690" s="1271" t="str">
        <f t="shared" si="26"/>
        <v/>
      </c>
      <c r="AT690" s="1271" t="str">
        <f t="shared" si="27"/>
        <v/>
      </c>
      <c r="AU690" s="1271" t="str">
        <f t="shared" si="28"/>
        <v/>
      </c>
      <c r="AV690" s="1271" t="str">
        <f t="shared" si="29"/>
        <v/>
      </c>
      <c r="AW690" s="1271" t="str">
        <f t="shared" si="30"/>
        <v/>
      </c>
      <c r="AX690" s="1271" t="str">
        <f t="shared" si="31"/>
        <v/>
      </c>
      <c r="AY690" s="1271" t="str">
        <f t="shared" si="32"/>
        <v/>
      </c>
      <c r="AZ690" s="1271" t="str">
        <f t="shared" si="33"/>
        <v/>
      </c>
      <c r="BA690" s="1271" t="str">
        <f t="shared" si="34"/>
        <v/>
      </c>
      <c r="BB690" s="1271" t="str">
        <f t="shared" si="35"/>
        <v/>
      </c>
      <c r="BC690" s="1271" t="str">
        <f t="shared" si="36"/>
        <v/>
      </c>
      <c r="BD690" s="1271" t="str">
        <f t="shared" si="37"/>
        <v/>
      </c>
      <c r="BE690" s="1271" t="str">
        <f t="shared" si="38"/>
        <v/>
      </c>
      <c r="BF690" s="1271" t="str">
        <f t="shared" si="39"/>
        <v/>
      </c>
      <c r="BG690" s="1271" t="str">
        <f t="shared" si="40"/>
        <v/>
      </c>
      <c r="BH690" s="1271" t="str">
        <f t="shared" si="41"/>
        <v/>
      </c>
      <c r="BI690" s="1271" t="str">
        <f t="shared" si="42"/>
        <v/>
      </c>
      <c r="BJ690" s="1271" t="str">
        <f t="shared" si="43"/>
        <v/>
      </c>
      <c r="BK690" s="1271" t="str">
        <f t="shared" si="44"/>
        <v/>
      </c>
      <c r="BL690" s="1271" t="str">
        <f t="shared" si="45"/>
        <v/>
      </c>
      <c r="BM690" s="1271" t="str">
        <f t="shared" si="46"/>
        <v/>
      </c>
      <c r="BN690" s="1271" t="str">
        <f t="shared" si="47"/>
        <v/>
      </c>
      <c r="BO690" s="1271" t="str">
        <f t="shared" si="48"/>
        <v/>
      </c>
      <c r="BP690" s="1271" t="str">
        <f t="shared" si="49"/>
        <v/>
      </c>
      <c r="BQ690" s="1271" t="str">
        <f t="shared" si="50"/>
        <v/>
      </c>
      <c r="BR690" s="1271" t="str">
        <f t="shared" si="51"/>
        <v/>
      </c>
      <c r="BS690" s="1271" t="str">
        <f t="shared" si="52"/>
        <v/>
      </c>
      <c r="BT690" s="1271" t="str">
        <f t="shared" si="53"/>
        <v/>
      </c>
      <c r="BU690" s="1271" t="str">
        <f t="shared" si="54"/>
        <v/>
      </c>
      <c r="BV690" s="1271" t="str">
        <f t="shared" si="55"/>
        <v/>
      </c>
      <c r="BW690" s="1271" t="str">
        <f t="shared" si="56"/>
        <v/>
      </c>
      <c r="BX690" s="1271" t="str">
        <f t="shared" si="57"/>
        <v/>
      </c>
      <c r="BY690" s="1271" t="str">
        <f t="shared" si="58"/>
        <v/>
      </c>
      <c r="BZ690" s="1271" t="str">
        <f t="shared" si="59"/>
        <v/>
      </c>
      <c r="CA690" s="1271" t="str">
        <f t="shared" si="60"/>
        <v/>
      </c>
      <c r="CB690" s="1271" t="str">
        <f t="shared" si="61"/>
        <v/>
      </c>
      <c r="CC690" s="1271" t="str">
        <f t="shared" si="62"/>
        <v/>
      </c>
      <c r="CD690" s="1271" t="str">
        <f t="shared" si="63"/>
        <v/>
      </c>
      <c r="CE690" s="1271" t="str">
        <f t="shared" si="64"/>
        <v/>
      </c>
      <c r="CF690" s="1271" t="str">
        <f t="shared" si="65"/>
        <v/>
      </c>
      <c r="CG690" s="1271" t="str">
        <f t="shared" si="66"/>
        <v/>
      </c>
      <c r="CH690" s="1271" t="str">
        <f t="shared" si="67"/>
        <v/>
      </c>
      <c r="CI690" s="1271" t="str">
        <f t="shared" si="68"/>
        <v/>
      </c>
      <c r="CJ690" s="1271" t="str">
        <f t="shared" si="69"/>
        <v/>
      </c>
      <c r="CK690" s="1271" t="str">
        <f t="shared" si="70"/>
        <v/>
      </c>
      <c r="CL690" s="1271" t="str">
        <f t="shared" si="71"/>
        <v/>
      </c>
      <c r="CM690" s="1271" t="str">
        <f t="shared" si="72"/>
        <v/>
      </c>
      <c r="CN690" s="1271" t="str">
        <f t="shared" si="73"/>
        <v/>
      </c>
      <c r="CO690" s="1271" t="str">
        <f t="shared" si="74"/>
        <v/>
      </c>
      <c r="CP690" s="1271" t="str">
        <f t="shared" si="75"/>
        <v/>
      </c>
      <c r="CQ690" s="1271" t="str">
        <f t="shared" si="76"/>
        <v/>
      </c>
      <c r="CR690" s="1271" t="str">
        <f t="shared" si="77"/>
        <v/>
      </c>
      <c r="CS690" s="1271" t="str">
        <f t="shared" si="78"/>
        <v/>
      </c>
      <c r="CT690" s="1271" t="str">
        <f t="shared" si="79"/>
        <v/>
      </c>
      <c r="CU690" s="1271" t="str">
        <f t="shared" si="80"/>
        <v/>
      </c>
      <c r="CV690" s="1271" t="str">
        <f t="shared" si="81"/>
        <v/>
      </c>
      <c r="CW690" s="1271" t="str">
        <f t="shared" si="82"/>
        <v/>
      </c>
      <c r="CX690" s="1271" t="str">
        <f t="shared" si="83"/>
        <v/>
      </c>
      <c r="CY690" s="1271" t="str">
        <f t="shared" si="84"/>
        <v/>
      </c>
      <c r="CZ690" s="1271" t="str">
        <f t="shared" si="85"/>
        <v/>
      </c>
      <c r="DA690" s="1271" t="str">
        <f t="shared" si="86"/>
        <v/>
      </c>
      <c r="DB690" s="1271" t="str">
        <f t="shared" si="87"/>
        <v/>
      </c>
      <c r="DC690" s="1271" t="str">
        <f t="shared" si="88"/>
        <v/>
      </c>
      <c r="DD690" s="1271" t="str">
        <f t="shared" si="89"/>
        <v/>
      </c>
      <c r="DE690" s="1271" t="str">
        <f t="shared" si="90"/>
        <v/>
      </c>
      <c r="DF690" s="1271" t="str">
        <f t="shared" si="91"/>
        <v/>
      </c>
      <c r="DG690" s="1271" t="str">
        <f t="shared" si="92"/>
        <v/>
      </c>
      <c r="DH690" s="1271" t="str">
        <f t="shared" si="93"/>
        <v/>
      </c>
      <c r="DI690" s="1271" t="str">
        <f t="shared" si="94"/>
        <v/>
      </c>
      <c r="DJ690" s="1271" t="str">
        <f t="shared" si="95"/>
        <v/>
      </c>
      <c r="DK690" s="1271" t="str">
        <f t="shared" si="96"/>
        <v/>
      </c>
      <c r="DL690" s="1271" t="str">
        <f t="shared" si="97"/>
        <v/>
      </c>
      <c r="DM690" s="1271" t="str">
        <f t="shared" si="98"/>
        <v/>
      </c>
      <c r="DN690" s="1271" t="str">
        <f t="shared" si="99"/>
        <v/>
      </c>
      <c r="DO690" s="1271" t="str">
        <f t="shared" si="100"/>
        <v/>
      </c>
      <c r="DP690" s="1271" t="str">
        <f t="shared" si="101"/>
        <v/>
      </c>
      <c r="DQ690" s="1271" t="str">
        <f t="shared" si="102"/>
        <v/>
      </c>
      <c r="DR690" s="1271" t="str">
        <f t="shared" si="103"/>
        <v/>
      </c>
      <c r="DS690" s="1271" t="str">
        <f t="shared" si="104"/>
        <v/>
      </c>
      <c r="DT690" s="1271" t="str">
        <f t="shared" si="105"/>
        <v/>
      </c>
      <c r="DU690" s="1271" t="str">
        <f t="shared" si="106"/>
        <v/>
      </c>
      <c r="DV690" s="1271" t="str">
        <f t="shared" si="107"/>
        <v/>
      </c>
      <c r="DW690" s="1271" t="str">
        <f t="shared" si="108"/>
        <v/>
      </c>
      <c r="DX690" s="1271" t="str">
        <f t="shared" si="109"/>
        <v/>
      </c>
      <c r="DY690" s="1271" t="str">
        <f t="shared" si="110"/>
        <v/>
      </c>
      <c r="DZ690" s="1271" t="str">
        <f t="shared" si="111"/>
        <v/>
      </c>
      <c r="EA690" s="1271" t="str">
        <f t="shared" si="112"/>
        <v/>
      </c>
      <c r="EB690" s="1271" t="str">
        <f t="shared" si="113"/>
        <v/>
      </c>
      <c r="EC690" s="1271" t="str">
        <f t="shared" si="114"/>
        <v/>
      </c>
      <c r="ED690" s="1271" t="str">
        <f t="shared" si="115"/>
        <v/>
      </c>
      <c r="EE690" s="1271" t="str">
        <f t="shared" si="116"/>
        <v/>
      </c>
      <c r="EF690" s="1271" t="str">
        <f t="shared" si="117"/>
        <v/>
      </c>
      <c r="EG690" s="1271" t="str">
        <f t="shared" si="118"/>
        <v/>
      </c>
      <c r="EH690" s="1271" t="str">
        <f t="shared" si="119"/>
        <v/>
      </c>
      <c r="EI690" s="1271" t="str">
        <f t="shared" si="120"/>
        <v/>
      </c>
      <c r="EJ690" s="1271" t="str">
        <f t="shared" si="121"/>
        <v/>
      </c>
      <c r="EK690" s="1271" t="str">
        <f t="shared" si="122"/>
        <v/>
      </c>
      <c r="EL690" s="1271" t="str">
        <f t="shared" si="123"/>
        <v/>
      </c>
      <c r="EM690" s="1271" t="str">
        <f t="shared" si="124"/>
        <v/>
      </c>
      <c r="EN690" s="1271" t="str">
        <f t="shared" si="125"/>
        <v/>
      </c>
      <c r="EO690" s="1271" t="str">
        <f t="shared" si="126"/>
        <v/>
      </c>
      <c r="EP690" s="1271" t="str">
        <f t="shared" si="127"/>
        <v/>
      </c>
      <c r="EQ690" s="1271" t="str">
        <f t="shared" si="128"/>
        <v/>
      </c>
      <c r="ER690" s="1271" t="str">
        <f t="shared" si="129"/>
        <v/>
      </c>
      <c r="ES690" s="1271" t="str">
        <f t="shared" si="130"/>
        <v/>
      </c>
      <c r="ET690" s="1271" t="str">
        <f t="shared" si="131"/>
        <v/>
      </c>
      <c r="EU690" s="1271" t="str">
        <f t="shared" si="132"/>
        <v/>
      </c>
      <c r="EV690" s="1271" t="str">
        <f t="shared" si="133"/>
        <v/>
      </c>
      <c r="EW690" s="1519" t="str">
        <f t="shared" si="134"/>
        <v/>
      </c>
      <c r="EX690" s="1519" t="str">
        <f t="shared" si="135"/>
        <v/>
      </c>
      <c r="EY690" s="1519" t="str">
        <f t="shared" si="136"/>
        <v/>
      </c>
      <c r="EZ690" s="1519" t="str">
        <f t="shared" si="137"/>
        <v/>
      </c>
      <c r="FA690" s="1519" t="str">
        <f t="shared" si="138"/>
        <v/>
      </c>
      <c r="FB690" s="1519" t="str">
        <f t="shared" si="139"/>
        <v/>
      </c>
      <c r="FC690" s="1519" t="str">
        <f t="shared" si="140"/>
        <v/>
      </c>
      <c r="FD690" s="1519" t="str">
        <f t="shared" si="141"/>
        <v/>
      </c>
      <c r="FE690" s="1519" t="str">
        <f t="shared" si="142"/>
        <v/>
      </c>
      <c r="FF690" s="1519" t="str">
        <f t="shared" si="143"/>
        <v/>
      </c>
      <c r="FG690" s="1519" t="str">
        <f t="shared" si="144"/>
        <v/>
      </c>
      <c r="FH690" s="1519" t="str">
        <f t="shared" si="145"/>
        <v/>
      </c>
      <c r="FI690" s="1519" t="str">
        <f t="shared" si="146"/>
        <v/>
      </c>
      <c r="FJ690" s="1519" t="str">
        <f t="shared" si="147"/>
        <v/>
      </c>
      <c r="FK690" s="1519" t="str">
        <f t="shared" si="148"/>
        <v/>
      </c>
      <c r="FL690" s="1519" t="str">
        <f t="shared" si="149"/>
        <v/>
      </c>
      <c r="FM690" s="1519" t="str">
        <f t="shared" si="150"/>
        <v/>
      </c>
      <c r="FN690" s="1519" t="str">
        <f t="shared" si="151"/>
        <v/>
      </c>
      <c r="FO690" s="1519" t="str">
        <f t="shared" si="152"/>
        <v/>
      </c>
      <c r="FP690" s="1519" t="str">
        <f t="shared" si="153"/>
        <v/>
      </c>
      <c r="FQ690" s="1519" t="str">
        <f t="shared" si="154"/>
        <v/>
      </c>
      <c r="FR690" s="1519" t="str">
        <f t="shared" si="155"/>
        <v/>
      </c>
      <c r="FS690" s="1519" t="str">
        <f t="shared" si="156"/>
        <v/>
      </c>
      <c r="FT690" s="1519" t="str">
        <f t="shared" si="157"/>
        <v/>
      </c>
      <c r="FU690" s="1519" t="str">
        <f t="shared" si="158"/>
        <v/>
      </c>
      <c r="FV690" s="1519" t="str">
        <f t="shared" si="159"/>
        <v/>
      </c>
      <c r="FW690" s="1519" t="str">
        <f t="shared" si="160"/>
        <v/>
      </c>
      <c r="FX690" s="1519" t="str">
        <f t="shared" si="161"/>
        <v/>
      </c>
      <c r="FY690" s="1519" t="str">
        <f t="shared" si="162"/>
        <v/>
      </c>
      <c r="FZ690" s="1519" t="str">
        <f t="shared" si="163"/>
        <v/>
      </c>
      <c r="GA690" s="1519" t="str">
        <f t="shared" si="164"/>
        <v/>
      </c>
      <c r="GB690" s="1519" t="str">
        <f t="shared" si="165"/>
        <v/>
      </c>
      <c r="GC690" s="1519" t="str">
        <f t="shared" si="166"/>
        <v/>
      </c>
      <c r="GD690" s="1519" t="str">
        <f t="shared" si="167"/>
        <v/>
      </c>
      <c r="GE690" s="1519" t="str">
        <f t="shared" si="168"/>
        <v/>
      </c>
      <c r="GF690" s="1519" t="str">
        <f t="shared" si="169"/>
        <v/>
      </c>
      <c r="GG690" s="1519" t="str">
        <f t="shared" si="170"/>
        <v/>
      </c>
      <c r="GH690" s="1519" t="str">
        <f t="shared" si="171"/>
        <v/>
      </c>
      <c r="GI690" s="1519" t="str">
        <f t="shared" si="172"/>
        <v/>
      </c>
      <c r="GJ690" s="1519" t="str">
        <f t="shared" si="173"/>
        <v/>
      </c>
      <c r="GK690" s="1519" t="str">
        <f t="shared" si="174"/>
        <v/>
      </c>
      <c r="GL690" s="1519" t="str">
        <f t="shared" si="175"/>
        <v/>
      </c>
      <c r="GM690" s="1519" t="str">
        <f t="shared" si="176"/>
        <v/>
      </c>
      <c r="GN690" s="1519" t="str">
        <f t="shared" si="177"/>
        <v/>
      </c>
      <c r="GO690" s="1519" t="str">
        <f t="shared" si="178"/>
        <v/>
      </c>
      <c r="GP690" s="1519" t="str">
        <f t="shared" si="179"/>
        <v/>
      </c>
      <c r="GQ690" s="1519" t="str">
        <f t="shared" si="180"/>
        <v/>
      </c>
      <c r="GR690" s="1519" t="str">
        <f t="shared" si="181"/>
        <v/>
      </c>
      <c r="GS690" s="1519" t="str">
        <f t="shared" si="182"/>
        <v/>
      </c>
      <c r="GT690" s="1519" t="str">
        <f t="shared" si="183"/>
        <v/>
      </c>
      <c r="GU690" s="1519" t="str">
        <f t="shared" si="184"/>
        <v/>
      </c>
      <c r="GV690" s="1519" t="str">
        <f t="shared" si="185"/>
        <v/>
      </c>
      <c r="GW690" s="1519" t="str">
        <f t="shared" si="186"/>
        <v/>
      </c>
      <c r="GX690" s="1519" t="str">
        <f t="shared" si="187"/>
        <v/>
      </c>
      <c r="GY690" s="1519" t="str">
        <f t="shared" si="188"/>
        <v/>
      </c>
      <c r="GZ690" s="1519" t="str">
        <f t="shared" si="189"/>
        <v/>
      </c>
      <c r="HA690" s="1519" t="str">
        <f t="shared" si="190"/>
        <v/>
      </c>
      <c r="HB690" s="1519" t="str">
        <f t="shared" si="191"/>
        <v/>
      </c>
      <c r="HC690" s="1519" t="str">
        <f t="shared" si="192"/>
        <v/>
      </c>
      <c r="HD690" s="1519" t="str">
        <f t="shared" si="193"/>
        <v/>
      </c>
      <c r="HE690" s="1519" t="str">
        <f t="shared" si="194"/>
        <v/>
      </c>
      <c r="HF690" s="1519" t="str">
        <f t="shared" si="195"/>
        <v/>
      </c>
      <c r="HG690" s="1519" t="str">
        <f t="shared" si="196"/>
        <v/>
      </c>
      <c r="HH690" s="1519" t="str">
        <f t="shared" si="197"/>
        <v/>
      </c>
      <c r="HI690" s="1519" t="str">
        <f t="shared" si="198"/>
        <v/>
      </c>
      <c r="HJ690" s="1519" t="str">
        <f t="shared" si="199"/>
        <v/>
      </c>
      <c r="HK690" s="1519" t="str">
        <f t="shared" si="200"/>
        <v/>
      </c>
      <c r="HL690" s="1519" t="str">
        <f t="shared" si="201"/>
        <v/>
      </c>
      <c r="HM690" s="1519" t="str">
        <f t="shared" si="202"/>
        <v/>
      </c>
      <c r="HN690" s="1519" t="str">
        <f t="shared" si="203"/>
        <v/>
      </c>
      <c r="HO690" s="1519" t="str">
        <f t="shared" si="204"/>
        <v/>
      </c>
      <c r="HP690" s="1519" t="str">
        <f t="shared" si="205"/>
        <v/>
      </c>
      <c r="HQ690" s="1519" t="str">
        <f t="shared" si="206"/>
        <v/>
      </c>
      <c r="HR690" s="1519" t="str">
        <f t="shared" si="207"/>
        <v/>
      </c>
      <c r="HS690" s="1519" t="str">
        <f t="shared" si="208"/>
        <v/>
      </c>
      <c r="HT690" s="1519" t="str">
        <f t="shared" si="209"/>
        <v/>
      </c>
      <c r="HU690" s="1519" t="str">
        <f t="shared" si="210"/>
        <v/>
      </c>
      <c r="HV690" s="1519" t="str">
        <f t="shared" si="211"/>
        <v/>
      </c>
      <c r="HW690" s="1519" t="str">
        <f t="shared" si="212"/>
        <v/>
      </c>
      <c r="HX690" s="1519" t="str">
        <f t="shared" si="213"/>
        <v/>
      </c>
      <c r="HY690" s="1519" t="str">
        <f t="shared" si="214"/>
        <v/>
      </c>
      <c r="HZ690" s="1519" t="str">
        <f t="shared" si="215"/>
        <v/>
      </c>
      <c r="IA690" s="1519" t="str">
        <f t="shared" si="216"/>
        <v/>
      </c>
      <c r="IB690" s="1519" t="str">
        <f t="shared" si="217"/>
        <v/>
      </c>
      <c r="IC690" s="1519" t="str">
        <f t="shared" si="218"/>
        <v/>
      </c>
      <c r="ID690" s="1520" t="str">
        <f t="shared" si="219"/>
        <v/>
      </c>
      <c r="IE690" s="1520" t="str">
        <f t="shared" si="220"/>
        <v/>
      </c>
      <c r="IF690" s="1520" t="str">
        <f t="shared" si="221"/>
        <v/>
      </c>
      <c r="IG690" s="1520" t="str">
        <f t="shared" si="222"/>
        <v/>
      </c>
      <c r="IH690" s="1520" t="str">
        <f t="shared" si="223"/>
        <v/>
      </c>
      <c r="II690" s="1271" t="str">
        <f t="shared" si="224"/>
        <v/>
      </c>
      <c r="IJ690" s="1271" t="str">
        <f t="shared" si="225"/>
        <v/>
      </c>
      <c r="IK690" s="1271" t="str">
        <f t="shared" si="226"/>
        <v/>
      </c>
      <c r="IL690" s="1271" t="str">
        <f t="shared" si="227"/>
        <v/>
      </c>
      <c r="IM690" s="1271" t="str">
        <f t="shared" si="228"/>
        <v/>
      </c>
      <c r="IN690" s="1271" t="str">
        <f t="shared" si="229"/>
        <v/>
      </c>
      <c r="IO690" s="1271" t="str">
        <f t="shared" si="230"/>
        <v/>
      </c>
      <c r="IP690" s="1271" t="str">
        <f t="shared" si="231"/>
        <v/>
      </c>
      <c r="IQ690" s="1271" t="str">
        <f t="shared" si="232"/>
        <v/>
      </c>
      <c r="IR690" s="1271" t="str">
        <f t="shared" si="233"/>
        <v/>
      </c>
      <c r="IS690" s="1271" t="str">
        <f t="shared" si="234"/>
        <v/>
      </c>
      <c r="IT690" s="1271" t="str">
        <f t="shared" si="235"/>
        <v/>
      </c>
      <c r="IU690" s="1271" t="str">
        <f t="shared" si="236"/>
        <v/>
      </c>
      <c r="IV690" s="1271" t="str">
        <f t="shared" si="237"/>
        <v/>
      </c>
      <c r="IW690" s="1271" t="str">
        <f t="shared" si="238"/>
        <v/>
      </c>
      <c r="IX690" s="1271" t="str">
        <f t="shared" si="239"/>
        <v/>
      </c>
      <c r="IY690" s="1271" t="str">
        <f t="shared" si="240"/>
        <v/>
      </c>
      <c r="IZ690" s="1271" t="str">
        <f t="shared" si="241"/>
        <v/>
      </c>
      <c r="JA690" s="1271" t="str">
        <f t="shared" si="242"/>
        <v/>
      </c>
      <c r="JB690" s="1271" t="str">
        <f t="shared" si="243"/>
        <v/>
      </c>
      <c r="JC690" s="1518">
        <f t="shared" si="244"/>
        <v>0</v>
      </c>
      <c r="JD690" s="1518">
        <f t="shared" si="245"/>
        <v>0</v>
      </c>
      <c r="JE690" s="1518">
        <f t="shared" si="246"/>
        <v>0</v>
      </c>
      <c r="JF690" s="1518">
        <f t="shared" si="247"/>
        <v>0</v>
      </c>
      <c r="JG690" s="1518">
        <f t="shared" si="248"/>
        <v>0</v>
      </c>
      <c r="JH690" s="1518">
        <f t="shared" si="249"/>
        <v>0</v>
      </c>
      <c r="JI690" s="1518">
        <f t="shared" si="250"/>
        <v>0</v>
      </c>
      <c r="JJ690" s="1518">
        <f t="shared" si="251"/>
        <v>0</v>
      </c>
      <c r="JK690" s="1518">
        <f t="shared" si="252"/>
        <v>0</v>
      </c>
      <c r="JL690" s="1518">
        <f t="shared" si="253"/>
        <v>0</v>
      </c>
      <c r="JM690" s="1518">
        <f t="shared" si="254"/>
        <v>0</v>
      </c>
      <c r="JN690" s="1518">
        <f t="shared" si="255"/>
        <v>0</v>
      </c>
      <c r="JO690" s="1518">
        <f t="shared" si="256"/>
        <v>0</v>
      </c>
      <c r="JP690" s="1518">
        <f t="shared" si="257"/>
        <v>0</v>
      </c>
      <c r="JQ690" s="1518">
        <f t="shared" si="258"/>
        <v>0</v>
      </c>
    </row>
    <row r="691" spans="1:277" ht="12" customHeight="1">
      <c r="A691" s="1687" t="str">
        <f t="shared" si="1"/>
        <v/>
      </c>
      <c r="B691" s="1702" t="str">
        <f>'Part VI-Revenues &amp; Expenses'!B30</f>
        <v>&lt;&lt;Select&gt;&gt;</v>
      </c>
      <c r="C691" s="1703">
        <f>'Part VI-Revenues &amp; Expenses'!C30</f>
        <v>0</v>
      </c>
      <c r="D691" s="1704">
        <f>'Part VI-Revenues &amp; Expenses'!D30</f>
        <v>0</v>
      </c>
      <c r="E691" s="1705">
        <f>'Part VI-Revenues &amp; Expenses'!E30</f>
        <v>0</v>
      </c>
      <c r="F691" s="1705">
        <f>'Part VI-Revenues &amp; Expenses'!F30</f>
        <v>0</v>
      </c>
      <c r="G691" s="1705">
        <f>'Part VI-Revenues &amp; Expenses'!G30</f>
        <v>0</v>
      </c>
      <c r="H691" s="1705">
        <f>'Part VI-Revenues &amp; Expenses'!H30</f>
        <v>0</v>
      </c>
      <c r="I691" s="1705">
        <f>'Part VI-Revenues &amp; Expenses'!I30</f>
        <v>0</v>
      </c>
      <c r="J691" s="1706">
        <f>'Part VI-Revenues &amp; Expenses'!J30</f>
        <v>0</v>
      </c>
      <c r="K691" s="1707">
        <f t="shared" si="2"/>
        <v>0</v>
      </c>
      <c r="L691" s="1707">
        <f t="shared" si="3"/>
        <v>0</v>
      </c>
      <c r="M691" s="1708">
        <f>'Part VI-Revenues &amp; Expenses'!M30</f>
        <v>0</v>
      </c>
      <c r="N691" s="1708">
        <f>'Part VI-Revenues &amp; Expenses'!N30</f>
        <v>0</v>
      </c>
      <c r="O691" s="1708">
        <f>'Part VI-Revenues &amp; Expenses'!O30</f>
        <v>0</v>
      </c>
      <c r="P691" s="1515">
        <f>'Part VI-Revenues &amp; Expenses'!P30</f>
        <v>0</v>
      </c>
      <c r="Q691" s="1709" t="str">
        <f>'Part VI-Revenues &amp; Expenses'!Q30</f>
        <v/>
      </c>
      <c r="R691" s="1710" t="str">
        <f>'Part VI-Revenues &amp; Expenses'!R30</f>
        <v/>
      </c>
      <c r="S691" s="1709">
        <f>'Part VI-Revenues &amp; Expenses'!S30</f>
        <v>0</v>
      </c>
      <c r="T691" s="1710">
        <f>'Part VI-Revenues &amp; Expenses'!T30</f>
        <v>0</v>
      </c>
      <c r="U691" s="1629"/>
      <c r="V691" s="1629"/>
      <c r="W691" s="1271" t="str">
        <f t="shared" si="4"/>
        <v/>
      </c>
      <c r="X691" s="1271" t="str">
        <f t="shared" si="5"/>
        <v/>
      </c>
      <c r="Y691" s="1271" t="str">
        <f t="shared" si="6"/>
        <v/>
      </c>
      <c r="Z691" s="1271" t="str">
        <f t="shared" si="7"/>
        <v/>
      </c>
      <c r="AA691" s="1271" t="str">
        <f t="shared" si="8"/>
        <v/>
      </c>
      <c r="AB691" s="1271" t="str">
        <f t="shared" si="9"/>
        <v/>
      </c>
      <c r="AC691" s="1271" t="str">
        <f t="shared" si="10"/>
        <v/>
      </c>
      <c r="AD691" s="1271" t="str">
        <f t="shared" si="11"/>
        <v/>
      </c>
      <c r="AE691" s="1271" t="str">
        <f t="shared" si="12"/>
        <v/>
      </c>
      <c r="AF691" s="1271" t="str">
        <f t="shared" si="13"/>
        <v/>
      </c>
      <c r="AG691" s="1271" t="str">
        <f t="shared" si="14"/>
        <v/>
      </c>
      <c r="AH691" s="1271" t="str">
        <f t="shared" si="15"/>
        <v/>
      </c>
      <c r="AI691" s="1271" t="str">
        <f t="shared" si="16"/>
        <v/>
      </c>
      <c r="AJ691" s="1271" t="str">
        <f t="shared" si="17"/>
        <v/>
      </c>
      <c r="AK691" s="1271" t="str">
        <f t="shared" si="18"/>
        <v/>
      </c>
      <c r="AL691" s="1271" t="str">
        <f t="shared" si="19"/>
        <v/>
      </c>
      <c r="AM691" s="1271" t="str">
        <f t="shared" si="20"/>
        <v/>
      </c>
      <c r="AN691" s="1271" t="str">
        <f t="shared" si="21"/>
        <v/>
      </c>
      <c r="AO691" s="1271" t="str">
        <f t="shared" si="22"/>
        <v/>
      </c>
      <c r="AP691" s="1271" t="str">
        <f t="shared" si="23"/>
        <v/>
      </c>
      <c r="AQ691" s="1271" t="str">
        <f t="shared" si="24"/>
        <v/>
      </c>
      <c r="AR691" s="1271" t="str">
        <f t="shared" si="25"/>
        <v/>
      </c>
      <c r="AS691" s="1271" t="str">
        <f t="shared" si="26"/>
        <v/>
      </c>
      <c r="AT691" s="1271" t="str">
        <f t="shared" si="27"/>
        <v/>
      </c>
      <c r="AU691" s="1271" t="str">
        <f t="shared" si="28"/>
        <v/>
      </c>
      <c r="AV691" s="1271" t="str">
        <f t="shared" si="29"/>
        <v/>
      </c>
      <c r="AW691" s="1271" t="str">
        <f t="shared" si="30"/>
        <v/>
      </c>
      <c r="AX691" s="1271" t="str">
        <f t="shared" si="31"/>
        <v/>
      </c>
      <c r="AY691" s="1271" t="str">
        <f t="shared" si="32"/>
        <v/>
      </c>
      <c r="AZ691" s="1271" t="str">
        <f t="shared" si="33"/>
        <v/>
      </c>
      <c r="BA691" s="1271" t="str">
        <f t="shared" si="34"/>
        <v/>
      </c>
      <c r="BB691" s="1271" t="str">
        <f t="shared" si="35"/>
        <v/>
      </c>
      <c r="BC691" s="1271" t="str">
        <f t="shared" si="36"/>
        <v/>
      </c>
      <c r="BD691" s="1271" t="str">
        <f t="shared" si="37"/>
        <v/>
      </c>
      <c r="BE691" s="1271" t="str">
        <f t="shared" si="38"/>
        <v/>
      </c>
      <c r="BF691" s="1271" t="str">
        <f t="shared" si="39"/>
        <v/>
      </c>
      <c r="BG691" s="1271" t="str">
        <f t="shared" si="40"/>
        <v/>
      </c>
      <c r="BH691" s="1271" t="str">
        <f t="shared" si="41"/>
        <v/>
      </c>
      <c r="BI691" s="1271" t="str">
        <f t="shared" si="42"/>
        <v/>
      </c>
      <c r="BJ691" s="1271" t="str">
        <f t="shared" si="43"/>
        <v/>
      </c>
      <c r="BK691" s="1271" t="str">
        <f t="shared" si="44"/>
        <v/>
      </c>
      <c r="BL691" s="1271" t="str">
        <f t="shared" si="45"/>
        <v/>
      </c>
      <c r="BM691" s="1271" t="str">
        <f t="shared" si="46"/>
        <v/>
      </c>
      <c r="BN691" s="1271" t="str">
        <f t="shared" si="47"/>
        <v/>
      </c>
      <c r="BO691" s="1271" t="str">
        <f t="shared" si="48"/>
        <v/>
      </c>
      <c r="BP691" s="1271" t="str">
        <f t="shared" si="49"/>
        <v/>
      </c>
      <c r="BQ691" s="1271" t="str">
        <f t="shared" si="50"/>
        <v/>
      </c>
      <c r="BR691" s="1271" t="str">
        <f t="shared" si="51"/>
        <v/>
      </c>
      <c r="BS691" s="1271" t="str">
        <f t="shared" si="52"/>
        <v/>
      </c>
      <c r="BT691" s="1271" t="str">
        <f t="shared" si="53"/>
        <v/>
      </c>
      <c r="BU691" s="1271" t="str">
        <f t="shared" si="54"/>
        <v/>
      </c>
      <c r="BV691" s="1271" t="str">
        <f t="shared" si="55"/>
        <v/>
      </c>
      <c r="BW691" s="1271" t="str">
        <f t="shared" si="56"/>
        <v/>
      </c>
      <c r="BX691" s="1271" t="str">
        <f t="shared" si="57"/>
        <v/>
      </c>
      <c r="BY691" s="1271" t="str">
        <f t="shared" si="58"/>
        <v/>
      </c>
      <c r="BZ691" s="1271" t="str">
        <f t="shared" si="59"/>
        <v/>
      </c>
      <c r="CA691" s="1271" t="str">
        <f t="shared" si="60"/>
        <v/>
      </c>
      <c r="CB691" s="1271" t="str">
        <f t="shared" si="61"/>
        <v/>
      </c>
      <c r="CC691" s="1271" t="str">
        <f t="shared" si="62"/>
        <v/>
      </c>
      <c r="CD691" s="1271" t="str">
        <f t="shared" si="63"/>
        <v/>
      </c>
      <c r="CE691" s="1271" t="str">
        <f t="shared" si="64"/>
        <v/>
      </c>
      <c r="CF691" s="1271" t="str">
        <f t="shared" si="65"/>
        <v/>
      </c>
      <c r="CG691" s="1271" t="str">
        <f t="shared" si="66"/>
        <v/>
      </c>
      <c r="CH691" s="1271" t="str">
        <f t="shared" si="67"/>
        <v/>
      </c>
      <c r="CI691" s="1271" t="str">
        <f t="shared" si="68"/>
        <v/>
      </c>
      <c r="CJ691" s="1271" t="str">
        <f t="shared" si="69"/>
        <v/>
      </c>
      <c r="CK691" s="1271" t="str">
        <f t="shared" si="70"/>
        <v/>
      </c>
      <c r="CL691" s="1271" t="str">
        <f t="shared" si="71"/>
        <v/>
      </c>
      <c r="CM691" s="1271" t="str">
        <f t="shared" si="72"/>
        <v/>
      </c>
      <c r="CN691" s="1271" t="str">
        <f t="shared" si="73"/>
        <v/>
      </c>
      <c r="CO691" s="1271" t="str">
        <f t="shared" si="74"/>
        <v/>
      </c>
      <c r="CP691" s="1271" t="str">
        <f t="shared" si="75"/>
        <v/>
      </c>
      <c r="CQ691" s="1271" t="str">
        <f t="shared" si="76"/>
        <v/>
      </c>
      <c r="CR691" s="1271" t="str">
        <f t="shared" si="77"/>
        <v/>
      </c>
      <c r="CS691" s="1271" t="str">
        <f t="shared" si="78"/>
        <v/>
      </c>
      <c r="CT691" s="1271" t="str">
        <f t="shared" si="79"/>
        <v/>
      </c>
      <c r="CU691" s="1271" t="str">
        <f t="shared" si="80"/>
        <v/>
      </c>
      <c r="CV691" s="1271" t="str">
        <f t="shared" si="81"/>
        <v/>
      </c>
      <c r="CW691" s="1271" t="str">
        <f t="shared" si="82"/>
        <v/>
      </c>
      <c r="CX691" s="1271" t="str">
        <f t="shared" si="83"/>
        <v/>
      </c>
      <c r="CY691" s="1271" t="str">
        <f t="shared" si="84"/>
        <v/>
      </c>
      <c r="CZ691" s="1271" t="str">
        <f t="shared" si="85"/>
        <v/>
      </c>
      <c r="DA691" s="1271" t="str">
        <f t="shared" si="86"/>
        <v/>
      </c>
      <c r="DB691" s="1271" t="str">
        <f t="shared" si="87"/>
        <v/>
      </c>
      <c r="DC691" s="1271" t="str">
        <f t="shared" si="88"/>
        <v/>
      </c>
      <c r="DD691" s="1271" t="str">
        <f t="shared" si="89"/>
        <v/>
      </c>
      <c r="DE691" s="1271" t="str">
        <f t="shared" si="90"/>
        <v/>
      </c>
      <c r="DF691" s="1271" t="str">
        <f t="shared" si="91"/>
        <v/>
      </c>
      <c r="DG691" s="1271" t="str">
        <f t="shared" si="92"/>
        <v/>
      </c>
      <c r="DH691" s="1271" t="str">
        <f t="shared" si="93"/>
        <v/>
      </c>
      <c r="DI691" s="1271" t="str">
        <f t="shared" si="94"/>
        <v/>
      </c>
      <c r="DJ691" s="1271" t="str">
        <f t="shared" si="95"/>
        <v/>
      </c>
      <c r="DK691" s="1271" t="str">
        <f t="shared" si="96"/>
        <v/>
      </c>
      <c r="DL691" s="1271" t="str">
        <f t="shared" si="97"/>
        <v/>
      </c>
      <c r="DM691" s="1271" t="str">
        <f t="shared" si="98"/>
        <v/>
      </c>
      <c r="DN691" s="1271" t="str">
        <f t="shared" si="99"/>
        <v/>
      </c>
      <c r="DO691" s="1271" t="str">
        <f t="shared" si="100"/>
        <v/>
      </c>
      <c r="DP691" s="1271" t="str">
        <f t="shared" si="101"/>
        <v/>
      </c>
      <c r="DQ691" s="1271" t="str">
        <f t="shared" si="102"/>
        <v/>
      </c>
      <c r="DR691" s="1271" t="str">
        <f t="shared" si="103"/>
        <v/>
      </c>
      <c r="DS691" s="1271" t="str">
        <f t="shared" si="104"/>
        <v/>
      </c>
      <c r="DT691" s="1271" t="str">
        <f t="shared" si="105"/>
        <v/>
      </c>
      <c r="DU691" s="1271" t="str">
        <f t="shared" si="106"/>
        <v/>
      </c>
      <c r="DV691" s="1271" t="str">
        <f t="shared" si="107"/>
        <v/>
      </c>
      <c r="DW691" s="1271" t="str">
        <f t="shared" si="108"/>
        <v/>
      </c>
      <c r="DX691" s="1271" t="str">
        <f t="shared" si="109"/>
        <v/>
      </c>
      <c r="DY691" s="1271" t="str">
        <f t="shared" si="110"/>
        <v/>
      </c>
      <c r="DZ691" s="1271" t="str">
        <f t="shared" si="111"/>
        <v/>
      </c>
      <c r="EA691" s="1271" t="str">
        <f t="shared" si="112"/>
        <v/>
      </c>
      <c r="EB691" s="1271" t="str">
        <f t="shared" si="113"/>
        <v/>
      </c>
      <c r="EC691" s="1271" t="str">
        <f t="shared" si="114"/>
        <v/>
      </c>
      <c r="ED691" s="1271" t="str">
        <f t="shared" si="115"/>
        <v/>
      </c>
      <c r="EE691" s="1271" t="str">
        <f t="shared" si="116"/>
        <v/>
      </c>
      <c r="EF691" s="1271" t="str">
        <f t="shared" si="117"/>
        <v/>
      </c>
      <c r="EG691" s="1271" t="str">
        <f t="shared" si="118"/>
        <v/>
      </c>
      <c r="EH691" s="1271" t="str">
        <f t="shared" si="119"/>
        <v/>
      </c>
      <c r="EI691" s="1271" t="str">
        <f t="shared" si="120"/>
        <v/>
      </c>
      <c r="EJ691" s="1271" t="str">
        <f t="shared" si="121"/>
        <v/>
      </c>
      <c r="EK691" s="1271" t="str">
        <f t="shared" si="122"/>
        <v/>
      </c>
      <c r="EL691" s="1271" t="str">
        <f t="shared" si="123"/>
        <v/>
      </c>
      <c r="EM691" s="1271" t="str">
        <f t="shared" si="124"/>
        <v/>
      </c>
      <c r="EN691" s="1271" t="str">
        <f t="shared" si="125"/>
        <v/>
      </c>
      <c r="EO691" s="1271" t="str">
        <f t="shared" si="126"/>
        <v/>
      </c>
      <c r="EP691" s="1271" t="str">
        <f t="shared" si="127"/>
        <v/>
      </c>
      <c r="EQ691" s="1271" t="str">
        <f t="shared" si="128"/>
        <v/>
      </c>
      <c r="ER691" s="1271" t="str">
        <f t="shared" si="129"/>
        <v/>
      </c>
      <c r="ES691" s="1271" t="str">
        <f t="shared" si="130"/>
        <v/>
      </c>
      <c r="ET691" s="1271" t="str">
        <f t="shared" si="131"/>
        <v/>
      </c>
      <c r="EU691" s="1271" t="str">
        <f t="shared" si="132"/>
        <v/>
      </c>
      <c r="EV691" s="1271" t="str">
        <f t="shared" si="133"/>
        <v/>
      </c>
      <c r="EW691" s="1519" t="str">
        <f t="shared" si="134"/>
        <v/>
      </c>
      <c r="EX691" s="1519" t="str">
        <f t="shared" si="135"/>
        <v/>
      </c>
      <c r="EY691" s="1519" t="str">
        <f t="shared" si="136"/>
        <v/>
      </c>
      <c r="EZ691" s="1519" t="str">
        <f t="shared" si="137"/>
        <v/>
      </c>
      <c r="FA691" s="1519" t="str">
        <f t="shared" si="138"/>
        <v/>
      </c>
      <c r="FB691" s="1519" t="str">
        <f t="shared" si="139"/>
        <v/>
      </c>
      <c r="FC691" s="1519" t="str">
        <f t="shared" si="140"/>
        <v/>
      </c>
      <c r="FD691" s="1519" t="str">
        <f t="shared" si="141"/>
        <v/>
      </c>
      <c r="FE691" s="1519" t="str">
        <f t="shared" si="142"/>
        <v/>
      </c>
      <c r="FF691" s="1519" t="str">
        <f t="shared" si="143"/>
        <v/>
      </c>
      <c r="FG691" s="1519" t="str">
        <f t="shared" si="144"/>
        <v/>
      </c>
      <c r="FH691" s="1519" t="str">
        <f t="shared" si="145"/>
        <v/>
      </c>
      <c r="FI691" s="1519" t="str">
        <f t="shared" si="146"/>
        <v/>
      </c>
      <c r="FJ691" s="1519" t="str">
        <f t="shared" si="147"/>
        <v/>
      </c>
      <c r="FK691" s="1519" t="str">
        <f t="shared" si="148"/>
        <v/>
      </c>
      <c r="FL691" s="1519" t="str">
        <f t="shared" si="149"/>
        <v/>
      </c>
      <c r="FM691" s="1519" t="str">
        <f t="shared" si="150"/>
        <v/>
      </c>
      <c r="FN691" s="1519" t="str">
        <f t="shared" si="151"/>
        <v/>
      </c>
      <c r="FO691" s="1519" t="str">
        <f t="shared" si="152"/>
        <v/>
      </c>
      <c r="FP691" s="1519" t="str">
        <f t="shared" si="153"/>
        <v/>
      </c>
      <c r="FQ691" s="1519" t="str">
        <f t="shared" si="154"/>
        <v/>
      </c>
      <c r="FR691" s="1519" t="str">
        <f t="shared" si="155"/>
        <v/>
      </c>
      <c r="FS691" s="1519" t="str">
        <f t="shared" si="156"/>
        <v/>
      </c>
      <c r="FT691" s="1519" t="str">
        <f t="shared" si="157"/>
        <v/>
      </c>
      <c r="FU691" s="1519" t="str">
        <f t="shared" si="158"/>
        <v/>
      </c>
      <c r="FV691" s="1519" t="str">
        <f t="shared" si="159"/>
        <v/>
      </c>
      <c r="FW691" s="1519" t="str">
        <f t="shared" si="160"/>
        <v/>
      </c>
      <c r="FX691" s="1519" t="str">
        <f t="shared" si="161"/>
        <v/>
      </c>
      <c r="FY691" s="1519" t="str">
        <f t="shared" si="162"/>
        <v/>
      </c>
      <c r="FZ691" s="1519" t="str">
        <f t="shared" si="163"/>
        <v/>
      </c>
      <c r="GA691" s="1519" t="str">
        <f t="shared" si="164"/>
        <v/>
      </c>
      <c r="GB691" s="1519" t="str">
        <f t="shared" si="165"/>
        <v/>
      </c>
      <c r="GC691" s="1519" t="str">
        <f t="shared" si="166"/>
        <v/>
      </c>
      <c r="GD691" s="1519" t="str">
        <f t="shared" si="167"/>
        <v/>
      </c>
      <c r="GE691" s="1519" t="str">
        <f t="shared" si="168"/>
        <v/>
      </c>
      <c r="GF691" s="1519" t="str">
        <f t="shared" si="169"/>
        <v/>
      </c>
      <c r="GG691" s="1519" t="str">
        <f t="shared" si="170"/>
        <v/>
      </c>
      <c r="GH691" s="1519" t="str">
        <f t="shared" si="171"/>
        <v/>
      </c>
      <c r="GI691" s="1519" t="str">
        <f t="shared" si="172"/>
        <v/>
      </c>
      <c r="GJ691" s="1519" t="str">
        <f t="shared" si="173"/>
        <v/>
      </c>
      <c r="GK691" s="1519" t="str">
        <f t="shared" si="174"/>
        <v/>
      </c>
      <c r="GL691" s="1519" t="str">
        <f t="shared" si="175"/>
        <v/>
      </c>
      <c r="GM691" s="1519" t="str">
        <f t="shared" si="176"/>
        <v/>
      </c>
      <c r="GN691" s="1519" t="str">
        <f t="shared" si="177"/>
        <v/>
      </c>
      <c r="GO691" s="1519" t="str">
        <f t="shared" si="178"/>
        <v/>
      </c>
      <c r="GP691" s="1519" t="str">
        <f t="shared" si="179"/>
        <v/>
      </c>
      <c r="GQ691" s="1519" t="str">
        <f t="shared" si="180"/>
        <v/>
      </c>
      <c r="GR691" s="1519" t="str">
        <f t="shared" si="181"/>
        <v/>
      </c>
      <c r="GS691" s="1519" t="str">
        <f t="shared" si="182"/>
        <v/>
      </c>
      <c r="GT691" s="1519" t="str">
        <f t="shared" si="183"/>
        <v/>
      </c>
      <c r="GU691" s="1519" t="str">
        <f t="shared" si="184"/>
        <v/>
      </c>
      <c r="GV691" s="1519" t="str">
        <f t="shared" si="185"/>
        <v/>
      </c>
      <c r="GW691" s="1519" t="str">
        <f t="shared" si="186"/>
        <v/>
      </c>
      <c r="GX691" s="1519" t="str">
        <f t="shared" si="187"/>
        <v/>
      </c>
      <c r="GY691" s="1519" t="str">
        <f t="shared" si="188"/>
        <v/>
      </c>
      <c r="GZ691" s="1519" t="str">
        <f t="shared" si="189"/>
        <v/>
      </c>
      <c r="HA691" s="1519" t="str">
        <f t="shared" si="190"/>
        <v/>
      </c>
      <c r="HB691" s="1519" t="str">
        <f t="shared" si="191"/>
        <v/>
      </c>
      <c r="HC691" s="1519" t="str">
        <f t="shared" si="192"/>
        <v/>
      </c>
      <c r="HD691" s="1519" t="str">
        <f t="shared" si="193"/>
        <v/>
      </c>
      <c r="HE691" s="1519" t="str">
        <f t="shared" si="194"/>
        <v/>
      </c>
      <c r="HF691" s="1519" t="str">
        <f t="shared" si="195"/>
        <v/>
      </c>
      <c r="HG691" s="1519" t="str">
        <f t="shared" si="196"/>
        <v/>
      </c>
      <c r="HH691" s="1519" t="str">
        <f t="shared" si="197"/>
        <v/>
      </c>
      <c r="HI691" s="1519" t="str">
        <f t="shared" si="198"/>
        <v/>
      </c>
      <c r="HJ691" s="1519" t="str">
        <f t="shared" si="199"/>
        <v/>
      </c>
      <c r="HK691" s="1519" t="str">
        <f t="shared" si="200"/>
        <v/>
      </c>
      <c r="HL691" s="1519" t="str">
        <f t="shared" si="201"/>
        <v/>
      </c>
      <c r="HM691" s="1519" t="str">
        <f t="shared" si="202"/>
        <v/>
      </c>
      <c r="HN691" s="1519" t="str">
        <f t="shared" si="203"/>
        <v/>
      </c>
      <c r="HO691" s="1519" t="str">
        <f t="shared" si="204"/>
        <v/>
      </c>
      <c r="HP691" s="1519" t="str">
        <f t="shared" si="205"/>
        <v/>
      </c>
      <c r="HQ691" s="1519" t="str">
        <f t="shared" si="206"/>
        <v/>
      </c>
      <c r="HR691" s="1519" t="str">
        <f t="shared" si="207"/>
        <v/>
      </c>
      <c r="HS691" s="1519" t="str">
        <f t="shared" si="208"/>
        <v/>
      </c>
      <c r="HT691" s="1519" t="str">
        <f t="shared" si="209"/>
        <v/>
      </c>
      <c r="HU691" s="1519" t="str">
        <f t="shared" si="210"/>
        <v/>
      </c>
      <c r="HV691" s="1519" t="str">
        <f t="shared" si="211"/>
        <v/>
      </c>
      <c r="HW691" s="1519" t="str">
        <f t="shared" si="212"/>
        <v/>
      </c>
      <c r="HX691" s="1519" t="str">
        <f t="shared" si="213"/>
        <v/>
      </c>
      <c r="HY691" s="1519" t="str">
        <f t="shared" si="214"/>
        <v/>
      </c>
      <c r="HZ691" s="1519" t="str">
        <f t="shared" si="215"/>
        <v/>
      </c>
      <c r="IA691" s="1519" t="str">
        <f t="shared" si="216"/>
        <v/>
      </c>
      <c r="IB691" s="1519" t="str">
        <f t="shared" si="217"/>
        <v/>
      </c>
      <c r="IC691" s="1519" t="str">
        <f t="shared" si="218"/>
        <v/>
      </c>
      <c r="ID691" s="1520" t="str">
        <f t="shared" si="219"/>
        <v/>
      </c>
      <c r="IE691" s="1520" t="str">
        <f t="shared" si="220"/>
        <v/>
      </c>
      <c r="IF691" s="1520" t="str">
        <f t="shared" si="221"/>
        <v/>
      </c>
      <c r="IG691" s="1520" t="str">
        <f t="shared" si="222"/>
        <v/>
      </c>
      <c r="IH691" s="1520" t="str">
        <f t="shared" si="223"/>
        <v/>
      </c>
      <c r="II691" s="1271" t="str">
        <f t="shared" si="224"/>
        <v/>
      </c>
      <c r="IJ691" s="1271" t="str">
        <f t="shared" si="225"/>
        <v/>
      </c>
      <c r="IK691" s="1271" t="str">
        <f t="shared" si="226"/>
        <v/>
      </c>
      <c r="IL691" s="1271" t="str">
        <f t="shared" si="227"/>
        <v/>
      </c>
      <c r="IM691" s="1271" t="str">
        <f t="shared" si="228"/>
        <v/>
      </c>
      <c r="IN691" s="1271" t="str">
        <f t="shared" si="229"/>
        <v/>
      </c>
      <c r="IO691" s="1271" t="str">
        <f t="shared" si="230"/>
        <v/>
      </c>
      <c r="IP691" s="1271" t="str">
        <f t="shared" si="231"/>
        <v/>
      </c>
      <c r="IQ691" s="1271" t="str">
        <f t="shared" si="232"/>
        <v/>
      </c>
      <c r="IR691" s="1271" t="str">
        <f t="shared" si="233"/>
        <v/>
      </c>
      <c r="IS691" s="1271" t="str">
        <f t="shared" si="234"/>
        <v/>
      </c>
      <c r="IT691" s="1271" t="str">
        <f t="shared" si="235"/>
        <v/>
      </c>
      <c r="IU691" s="1271" t="str">
        <f t="shared" si="236"/>
        <v/>
      </c>
      <c r="IV691" s="1271" t="str">
        <f t="shared" si="237"/>
        <v/>
      </c>
      <c r="IW691" s="1271" t="str">
        <f t="shared" si="238"/>
        <v/>
      </c>
      <c r="IX691" s="1271" t="str">
        <f t="shared" si="239"/>
        <v/>
      </c>
      <c r="IY691" s="1271" t="str">
        <f t="shared" si="240"/>
        <v/>
      </c>
      <c r="IZ691" s="1271" t="str">
        <f t="shared" si="241"/>
        <v/>
      </c>
      <c r="JA691" s="1271" t="str">
        <f t="shared" si="242"/>
        <v/>
      </c>
      <c r="JB691" s="1271" t="str">
        <f t="shared" si="243"/>
        <v/>
      </c>
      <c r="JC691" s="1518">
        <f t="shared" si="244"/>
        <v>0</v>
      </c>
      <c r="JD691" s="1518">
        <f t="shared" si="245"/>
        <v>0</v>
      </c>
      <c r="JE691" s="1518">
        <f t="shared" si="246"/>
        <v>0</v>
      </c>
      <c r="JF691" s="1518">
        <f t="shared" si="247"/>
        <v>0</v>
      </c>
      <c r="JG691" s="1518">
        <f t="shared" si="248"/>
        <v>0</v>
      </c>
      <c r="JH691" s="1518">
        <f t="shared" si="249"/>
        <v>0</v>
      </c>
      <c r="JI691" s="1518">
        <f t="shared" si="250"/>
        <v>0</v>
      </c>
      <c r="JJ691" s="1518">
        <f t="shared" si="251"/>
        <v>0</v>
      </c>
      <c r="JK691" s="1518">
        <f t="shared" si="252"/>
        <v>0</v>
      </c>
      <c r="JL691" s="1518">
        <f t="shared" si="253"/>
        <v>0</v>
      </c>
      <c r="JM691" s="1518">
        <f t="shared" si="254"/>
        <v>0</v>
      </c>
      <c r="JN691" s="1518">
        <f t="shared" si="255"/>
        <v>0</v>
      </c>
      <c r="JO691" s="1518">
        <f t="shared" si="256"/>
        <v>0</v>
      </c>
      <c r="JP691" s="1518">
        <f t="shared" si="257"/>
        <v>0</v>
      </c>
      <c r="JQ691" s="1518">
        <f t="shared" si="258"/>
        <v>0</v>
      </c>
    </row>
    <row r="692" spans="1:277" ht="12" customHeight="1">
      <c r="A692" s="1687" t="str">
        <f t="shared" si="1"/>
        <v/>
      </c>
      <c r="B692" s="1702" t="str">
        <f>'Part VI-Revenues &amp; Expenses'!B31</f>
        <v>&lt;&lt;Select&gt;&gt;</v>
      </c>
      <c r="C692" s="1703">
        <f>'Part VI-Revenues &amp; Expenses'!C31</f>
        <v>0</v>
      </c>
      <c r="D692" s="1704">
        <f>'Part VI-Revenues &amp; Expenses'!D31</f>
        <v>0</v>
      </c>
      <c r="E692" s="1705">
        <f>'Part VI-Revenues &amp; Expenses'!E31</f>
        <v>0</v>
      </c>
      <c r="F692" s="1705">
        <f>'Part VI-Revenues &amp; Expenses'!F31</f>
        <v>0</v>
      </c>
      <c r="G692" s="1705">
        <f>'Part VI-Revenues &amp; Expenses'!G31</f>
        <v>0</v>
      </c>
      <c r="H692" s="1705">
        <f>'Part VI-Revenues &amp; Expenses'!H31</f>
        <v>0</v>
      </c>
      <c r="I692" s="1705">
        <f>'Part VI-Revenues &amp; Expenses'!I31</f>
        <v>0</v>
      </c>
      <c r="J692" s="1706">
        <f>'Part VI-Revenues &amp; Expenses'!J31</f>
        <v>0</v>
      </c>
      <c r="K692" s="1707">
        <f t="shared" si="2"/>
        <v>0</v>
      </c>
      <c r="L692" s="1707">
        <f t="shared" si="3"/>
        <v>0</v>
      </c>
      <c r="M692" s="1708">
        <f>'Part VI-Revenues &amp; Expenses'!M31</f>
        <v>0</v>
      </c>
      <c r="N692" s="1708">
        <f>'Part VI-Revenues &amp; Expenses'!N31</f>
        <v>0</v>
      </c>
      <c r="O692" s="1708">
        <f>'Part VI-Revenues &amp; Expenses'!O31</f>
        <v>0</v>
      </c>
      <c r="P692" s="1515">
        <f>'Part VI-Revenues &amp; Expenses'!P31</f>
        <v>0</v>
      </c>
      <c r="Q692" s="1709" t="str">
        <f>'Part VI-Revenues &amp; Expenses'!Q31</f>
        <v/>
      </c>
      <c r="R692" s="1710" t="str">
        <f>'Part VI-Revenues &amp; Expenses'!R31</f>
        <v/>
      </c>
      <c r="S692" s="1709">
        <f>'Part VI-Revenues &amp; Expenses'!S31</f>
        <v>0</v>
      </c>
      <c r="T692" s="1710">
        <f>'Part VI-Revenues &amp; Expenses'!T31</f>
        <v>0</v>
      </c>
      <c r="U692" s="1629"/>
      <c r="V692" s="1629"/>
      <c r="W692" s="1271" t="str">
        <f t="shared" si="4"/>
        <v/>
      </c>
      <c r="X692" s="1271" t="str">
        <f t="shared" si="5"/>
        <v/>
      </c>
      <c r="Y692" s="1271" t="str">
        <f t="shared" si="6"/>
        <v/>
      </c>
      <c r="Z692" s="1271" t="str">
        <f t="shared" si="7"/>
        <v/>
      </c>
      <c r="AA692" s="1271" t="str">
        <f t="shared" si="8"/>
        <v/>
      </c>
      <c r="AB692" s="1271" t="str">
        <f t="shared" si="9"/>
        <v/>
      </c>
      <c r="AC692" s="1271" t="str">
        <f t="shared" si="10"/>
        <v/>
      </c>
      <c r="AD692" s="1271" t="str">
        <f t="shared" si="11"/>
        <v/>
      </c>
      <c r="AE692" s="1271" t="str">
        <f t="shared" si="12"/>
        <v/>
      </c>
      <c r="AF692" s="1271" t="str">
        <f t="shared" si="13"/>
        <v/>
      </c>
      <c r="AG692" s="1271" t="str">
        <f t="shared" si="14"/>
        <v/>
      </c>
      <c r="AH692" s="1271" t="str">
        <f t="shared" si="15"/>
        <v/>
      </c>
      <c r="AI692" s="1271" t="str">
        <f t="shared" si="16"/>
        <v/>
      </c>
      <c r="AJ692" s="1271" t="str">
        <f t="shared" si="17"/>
        <v/>
      </c>
      <c r="AK692" s="1271" t="str">
        <f t="shared" si="18"/>
        <v/>
      </c>
      <c r="AL692" s="1271" t="str">
        <f t="shared" si="19"/>
        <v/>
      </c>
      <c r="AM692" s="1271" t="str">
        <f t="shared" si="20"/>
        <v/>
      </c>
      <c r="AN692" s="1271" t="str">
        <f t="shared" si="21"/>
        <v/>
      </c>
      <c r="AO692" s="1271" t="str">
        <f t="shared" si="22"/>
        <v/>
      </c>
      <c r="AP692" s="1271" t="str">
        <f t="shared" si="23"/>
        <v/>
      </c>
      <c r="AQ692" s="1271" t="str">
        <f t="shared" si="24"/>
        <v/>
      </c>
      <c r="AR692" s="1271" t="str">
        <f t="shared" si="25"/>
        <v/>
      </c>
      <c r="AS692" s="1271" t="str">
        <f t="shared" si="26"/>
        <v/>
      </c>
      <c r="AT692" s="1271" t="str">
        <f t="shared" si="27"/>
        <v/>
      </c>
      <c r="AU692" s="1271" t="str">
        <f t="shared" si="28"/>
        <v/>
      </c>
      <c r="AV692" s="1271" t="str">
        <f t="shared" si="29"/>
        <v/>
      </c>
      <c r="AW692" s="1271" t="str">
        <f t="shared" si="30"/>
        <v/>
      </c>
      <c r="AX692" s="1271" t="str">
        <f t="shared" si="31"/>
        <v/>
      </c>
      <c r="AY692" s="1271" t="str">
        <f t="shared" si="32"/>
        <v/>
      </c>
      <c r="AZ692" s="1271" t="str">
        <f t="shared" si="33"/>
        <v/>
      </c>
      <c r="BA692" s="1271" t="str">
        <f t="shared" si="34"/>
        <v/>
      </c>
      <c r="BB692" s="1271" t="str">
        <f t="shared" si="35"/>
        <v/>
      </c>
      <c r="BC692" s="1271" t="str">
        <f t="shared" si="36"/>
        <v/>
      </c>
      <c r="BD692" s="1271" t="str">
        <f t="shared" si="37"/>
        <v/>
      </c>
      <c r="BE692" s="1271" t="str">
        <f t="shared" si="38"/>
        <v/>
      </c>
      <c r="BF692" s="1271" t="str">
        <f t="shared" si="39"/>
        <v/>
      </c>
      <c r="BG692" s="1271" t="str">
        <f t="shared" si="40"/>
        <v/>
      </c>
      <c r="BH692" s="1271" t="str">
        <f t="shared" si="41"/>
        <v/>
      </c>
      <c r="BI692" s="1271" t="str">
        <f t="shared" si="42"/>
        <v/>
      </c>
      <c r="BJ692" s="1271" t="str">
        <f t="shared" si="43"/>
        <v/>
      </c>
      <c r="BK692" s="1271" t="str">
        <f t="shared" si="44"/>
        <v/>
      </c>
      <c r="BL692" s="1271" t="str">
        <f t="shared" si="45"/>
        <v/>
      </c>
      <c r="BM692" s="1271" t="str">
        <f t="shared" si="46"/>
        <v/>
      </c>
      <c r="BN692" s="1271" t="str">
        <f t="shared" si="47"/>
        <v/>
      </c>
      <c r="BO692" s="1271" t="str">
        <f t="shared" si="48"/>
        <v/>
      </c>
      <c r="BP692" s="1271" t="str">
        <f t="shared" si="49"/>
        <v/>
      </c>
      <c r="BQ692" s="1271" t="str">
        <f t="shared" si="50"/>
        <v/>
      </c>
      <c r="BR692" s="1271" t="str">
        <f t="shared" si="51"/>
        <v/>
      </c>
      <c r="BS692" s="1271" t="str">
        <f t="shared" si="52"/>
        <v/>
      </c>
      <c r="BT692" s="1271" t="str">
        <f t="shared" si="53"/>
        <v/>
      </c>
      <c r="BU692" s="1271" t="str">
        <f t="shared" si="54"/>
        <v/>
      </c>
      <c r="BV692" s="1271" t="str">
        <f t="shared" si="55"/>
        <v/>
      </c>
      <c r="BW692" s="1271" t="str">
        <f t="shared" si="56"/>
        <v/>
      </c>
      <c r="BX692" s="1271" t="str">
        <f t="shared" si="57"/>
        <v/>
      </c>
      <c r="BY692" s="1271" t="str">
        <f t="shared" si="58"/>
        <v/>
      </c>
      <c r="BZ692" s="1271" t="str">
        <f t="shared" si="59"/>
        <v/>
      </c>
      <c r="CA692" s="1271" t="str">
        <f t="shared" si="60"/>
        <v/>
      </c>
      <c r="CB692" s="1271" t="str">
        <f t="shared" si="61"/>
        <v/>
      </c>
      <c r="CC692" s="1271" t="str">
        <f t="shared" si="62"/>
        <v/>
      </c>
      <c r="CD692" s="1271" t="str">
        <f t="shared" si="63"/>
        <v/>
      </c>
      <c r="CE692" s="1271" t="str">
        <f t="shared" si="64"/>
        <v/>
      </c>
      <c r="CF692" s="1271" t="str">
        <f t="shared" si="65"/>
        <v/>
      </c>
      <c r="CG692" s="1271" t="str">
        <f t="shared" si="66"/>
        <v/>
      </c>
      <c r="CH692" s="1271" t="str">
        <f t="shared" si="67"/>
        <v/>
      </c>
      <c r="CI692" s="1271" t="str">
        <f t="shared" si="68"/>
        <v/>
      </c>
      <c r="CJ692" s="1271" t="str">
        <f t="shared" si="69"/>
        <v/>
      </c>
      <c r="CK692" s="1271" t="str">
        <f t="shared" si="70"/>
        <v/>
      </c>
      <c r="CL692" s="1271" t="str">
        <f t="shared" si="71"/>
        <v/>
      </c>
      <c r="CM692" s="1271" t="str">
        <f t="shared" si="72"/>
        <v/>
      </c>
      <c r="CN692" s="1271" t="str">
        <f t="shared" si="73"/>
        <v/>
      </c>
      <c r="CO692" s="1271" t="str">
        <f t="shared" si="74"/>
        <v/>
      </c>
      <c r="CP692" s="1271" t="str">
        <f t="shared" si="75"/>
        <v/>
      </c>
      <c r="CQ692" s="1271" t="str">
        <f t="shared" si="76"/>
        <v/>
      </c>
      <c r="CR692" s="1271" t="str">
        <f t="shared" si="77"/>
        <v/>
      </c>
      <c r="CS692" s="1271" t="str">
        <f t="shared" si="78"/>
        <v/>
      </c>
      <c r="CT692" s="1271" t="str">
        <f t="shared" si="79"/>
        <v/>
      </c>
      <c r="CU692" s="1271" t="str">
        <f t="shared" si="80"/>
        <v/>
      </c>
      <c r="CV692" s="1271" t="str">
        <f t="shared" si="81"/>
        <v/>
      </c>
      <c r="CW692" s="1271" t="str">
        <f t="shared" si="82"/>
        <v/>
      </c>
      <c r="CX692" s="1271" t="str">
        <f t="shared" si="83"/>
        <v/>
      </c>
      <c r="CY692" s="1271" t="str">
        <f t="shared" si="84"/>
        <v/>
      </c>
      <c r="CZ692" s="1271" t="str">
        <f t="shared" si="85"/>
        <v/>
      </c>
      <c r="DA692" s="1271" t="str">
        <f t="shared" si="86"/>
        <v/>
      </c>
      <c r="DB692" s="1271" t="str">
        <f t="shared" si="87"/>
        <v/>
      </c>
      <c r="DC692" s="1271" t="str">
        <f t="shared" si="88"/>
        <v/>
      </c>
      <c r="DD692" s="1271" t="str">
        <f t="shared" si="89"/>
        <v/>
      </c>
      <c r="DE692" s="1271" t="str">
        <f t="shared" si="90"/>
        <v/>
      </c>
      <c r="DF692" s="1271" t="str">
        <f t="shared" si="91"/>
        <v/>
      </c>
      <c r="DG692" s="1271" t="str">
        <f t="shared" si="92"/>
        <v/>
      </c>
      <c r="DH692" s="1271" t="str">
        <f t="shared" si="93"/>
        <v/>
      </c>
      <c r="DI692" s="1271" t="str">
        <f t="shared" si="94"/>
        <v/>
      </c>
      <c r="DJ692" s="1271" t="str">
        <f t="shared" si="95"/>
        <v/>
      </c>
      <c r="DK692" s="1271" t="str">
        <f t="shared" si="96"/>
        <v/>
      </c>
      <c r="DL692" s="1271" t="str">
        <f t="shared" si="97"/>
        <v/>
      </c>
      <c r="DM692" s="1271" t="str">
        <f t="shared" si="98"/>
        <v/>
      </c>
      <c r="DN692" s="1271" t="str">
        <f t="shared" si="99"/>
        <v/>
      </c>
      <c r="DO692" s="1271" t="str">
        <f t="shared" si="100"/>
        <v/>
      </c>
      <c r="DP692" s="1271" t="str">
        <f t="shared" si="101"/>
        <v/>
      </c>
      <c r="DQ692" s="1271" t="str">
        <f t="shared" si="102"/>
        <v/>
      </c>
      <c r="DR692" s="1271" t="str">
        <f t="shared" si="103"/>
        <v/>
      </c>
      <c r="DS692" s="1271" t="str">
        <f t="shared" si="104"/>
        <v/>
      </c>
      <c r="DT692" s="1271" t="str">
        <f t="shared" si="105"/>
        <v/>
      </c>
      <c r="DU692" s="1271" t="str">
        <f t="shared" si="106"/>
        <v/>
      </c>
      <c r="DV692" s="1271" t="str">
        <f t="shared" si="107"/>
        <v/>
      </c>
      <c r="DW692" s="1271" t="str">
        <f t="shared" si="108"/>
        <v/>
      </c>
      <c r="DX692" s="1271" t="str">
        <f t="shared" si="109"/>
        <v/>
      </c>
      <c r="DY692" s="1271" t="str">
        <f t="shared" si="110"/>
        <v/>
      </c>
      <c r="DZ692" s="1271" t="str">
        <f t="shared" si="111"/>
        <v/>
      </c>
      <c r="EA692" s="1271" t="str">
        <f t="shared" si="112"/>
        <v/>
      </c>
      <c r="EB692" s="1271" t="str">
        <f t="shared" si="113"/>
        <v/>
      </c>
      <c r="EC692" s="1271" t="str">
        <f t="shared" si="114"/>
        <v/>
      </c>
      <c r="ED692" s="1271" t="str">
        <f t="shared" si="115"/>
        <v/>
      </c>
      <c r="EE692" s="1271" t="str">
        <f t="shared" si="116"/>
        <v/>
      </c>
      <c r="EF692" s="1271" t="str">
        <f t="shared" si="117"/>
        <v/>
      </c>
      <c r="EG692" s="1271" t="str">
        <f t="shared" si="118"/>
        <v/>
      </c>
      <c r="EH692" s="1271" t="str">
        <f t="shared" si="119"/>
        <v/>
      </c>
      <c r="EI692" s="1271" t="str">
        <f t="shared" si="120"/>
        <v/>
      </c>
      <c r="EJ692" s="1271" t="str">
        <f t="shared" si="121"/>
        <v/>
      </c>
      <c r="EK692" s="1271" t="str">
        <f t="shared" si="122"/>
        <v/>
      </c>
      <c r="EL692" s="1271" t="str">
        <f t="shared" si="123"/>
        <v/>
      </c>
      <c r="EM692" s="1271" t="str">
        <f t="shared" si="124"/>
        <v/>
      </c>
      <c r="EN692" s="1271" t="str">
        <f t="shared" si="125"/>
        <v/>
      </c>
      <c r="EO692" s="1271" t="str">
        <f t="shared" si="126"/>
        <v/>
      </c>
      <c r="EP692" s="1271" t="str">
        <f t="shared" si="127"/>
        <v/>
      </c>
      <c r="EQ692" s="1271" t="str">
        <f t="shared" si="128"/>
        <v/>
      </c>
      <c r="ER692" s="1271" t="str">
        <f t="shared" si="129"/>
        <v/>
      </c>
      <c r="ES692" s="1271" t="str">
        <f t="shared" si="130"/>
        <v/>
      </c>
      <c r="ET692" s="1271" t="str">
        <f t="shared" si="131"/>
        <v/>
      </c>
      <c r="EU692" s="1271" t="str">
        <f t="shared" si="132"/>
        <v/>
      </c>
      <c r="EV692" s="1271" t="str">
        <f t="shared" si="133"/>
        <v/>
      </c>
      <c r="EW692" s="1519" t="str">
        <f t="shared" si="134"/>
        <v/>
      </c>
      <c r="EX692" s="1519" t="str">
        <f t="shared" si="135"/>
        <v/>
      </c>
      <c r="EY692" s="1519" t="str">
        <f t="shared" si="136"/>
        <v/>
      </c>
      <c r="EZ692" s="1519" t="str">
        <f t="shared" si="137"/>
        <v/>
      </c>
      <c r="FA692" s="1519" t="str">
        <f t="shared" si="138"/>
        <v/>
      </c>
      <c r="FB692" s="1519" t="str">
        <f t="shared" si="139"/>
        <v/>
      </c>
      <c r="FC692" s="1519" t="str">
        <f t="shared" si="140"/>
        <v/>
      </c>
      <c r="FD692" s="1519" t="str">
        <f t="shared" si="141"/>
        <v/>
      </c>
      <c r="FE692" s="1519" t="str">
        <f t="shared" si="142"/>
        <v/>
      </c>
      <c r="FF692" s="1519" t="str">
        <f t="shared" si="143"/>
        <v/>
      </c>
      <c r="FG692" s="1519" t="str">
        <f t="shared" si="144"/>
        <v/>
      </c>
      <c r="FH692" s="1519" t="str">
        <f t="shared" si="145"/>
        <v/>
      </c>
      <c r="FI692" s="1519" t="str">
        <f t="shared" si="146"/>
        <v/>
      </c>
      <c r="FJ692" s="1519" t="str">
        <f t="shared" si="147"/>
        <v/>
      </c>
      <c r="FK692" s="1519" t="str">
        <f t="shared" si="148"/>
        <v/>
      </c>
      <c r="FL692" s="1519" t="str">
        <f t="shared" si="149"/>
        <v/>
      </c>
      <c r="FM692" s="1519" t="str">
        <f t="shared" si="150"/>
        <v/>
      </c>
      <c r="FN692" s="1519" t="str">
        <f t="shared" si="151"/>
        <v/>
      </c>
      <c r="FO692" s="1519" t="str">
        <f t="shared" si="152"/>
        <v/>
      </c>
      <c r="FP692" s="1519" t="str">
        <f t="shared" si="153"/>
        <v/>
      </c>
      <c r="FQ692" s="1519" t="str">
        <f t="shared" si="154"/>
        <v/>
      </c>
      <c r="FR692" s="1519" t="str">
        <f t="shared" si="155"/>
        <v/>
      </c>
      <c r="FS692" s="1519" t="str">
        <f t="shared" si="156"/>
        <v/>
      </c>
      <c r="FT692" s="1519" t="str">
        <f t="shared" si="157"/>
        <v/>
      </c>
      <c r="FU692" s="1519" t="str">
        <f t="shared" si="158"/>
        <v/>
      </c>
      <c r="FV692" s="1519" t="str">
        <f t="shared" si="159"/>
        <v/>
      </c>
      <c r="FW692" s="1519" t="str">
        <f t="shared" si="160"/>
        <v/>
      </c>
      <c r="FX692" s="1519" t="str">
        <f t="shared" si="161"/>
        <v/>
      </c>
      <c r="FY692" s="1519" t="str">
        <f t="shared" si="162"/>
        <v/>
      </c>
      <c r="FZ692" s="1519" t="str">
        <f t="shared" si="163"/>
        <v/>
      </c>
      <c r="GA692" s="1519" t="str">
        <f t="shared" si="164"/>
        <v/>
      </c>
      <c r="GB692" s="1519" t="str">
        <f t="shared" si="165"/>
        <v/>
      </c>
      <c r="GC692" s="1519" t="str">
        <f t="shared" si="166"/>
        <v/>
      </c>
      <c r="GD692" s="1519" t="str">
        <f t="shared" si="167"/>
        <v/>
      </c>
      <c r="GE692" s="1519" t="str">
        <f t="shared" si="168"/>
        <v/>
      </c>
      <c r="GF692" s="1519" t="str">
        <f t="shared" si="169"/>
        <v/>
      </c>
      <c r="GG692" s="1519" t="str">
        <f t="shared" si="170"/>
        <v/>
      </c>
      <c r="GH692" s="1519" t="str">
        <f t="shared" si="171"/>
        <v/>
      </c>
      <c r="GI692" s="1519" t="str">
        <f t="shared" si="172"/>
        <v/>
      </c>
      <c r="GJ692" s="1519" t="str">
        <f t="shared" si="173"/>
        <v/>
      </c>
      <c r="GK692" s="1519" t="str">
        <f t="shared" si="174"/>
        <v/>
      </c>
      <c r="GL692" s="1519" t="str">
        <f t="shared" si="175"/>
        <v/>
      </c>
      <c r="GM692" s="1519" t="str">
        <f t="shared" si="176"/>
        <v/>
      </c>
      <c r="GN692" s="1519" t="str">
        <f t="shared" si="177"/>
        <v/>
      </c>
      <c r="GO692" s="1519" t="str">
        <f t="shared" si="178"/>
        <v/>
      </c>
      <c r="GP692" s="1519" t="str">
        <f t="shared" si="179"/>
        <v/>
      </c>
      <c r="GQ692" s="1519" t="str">
        <f t="shared" si="180"/>
        <v/>
      </c>
      <c r="GR692" s="1519" t="str">
        <f t="shared" si="181"/>
        <v/>
      </c>
      <c r="GS692" s="1519" t="str">
        <f t="shared" si="182"/>
        <v/>
      </c>
      <c r="GT692" s="1519" t="str">
        <f t="shared" si="183"/>
        <v/>
      </c>
      <c r="GU692" s="1519" t="str">
        <f t="shared" si="184"/>
        <v/>
      </c>
      <c r="GV692" s="1519" t="str">
        <f t="shared" si="185"/>
        <v/>
      </c>
      <c r="GW692" s="1519" t="str">
        <f t="shared" si="186"/>
        <v/>
      </c>
      <c r="GX692" s="1519" t="str">
        <f t="shared" si="187"/>
        <v/>
      </c>
      <c r="GY692" s="1519" t="str">
        <f t="shared" si="188"/>
        <v/>
      </c>
      <c r="GZ692" s="1519" t="str">
        <f t="shared" si="189"/>
        <v/>
      </c>
      <c r="HA692" s="1519" t="str">
        <f t="shared" si="190"/>
        <v/>
      </c>
      <c r="HB692" s="1519" t="str">
        <f t="shared" si="191"/>
        <v/>
      </c>
      <c r="HC692" s="1519" t="str">
        <f t="shared" si="192"/>
        <v/>
      </c>
      <c r="HD692" s="1519" t="str">
        <f t="shared" si="193"/>
        <v/>
      </c>
      <c r="HE692" s="1519" t="str">
        <f t="shared" si="194"/>
        <v/>
      </c>
      <c r="HF692" s="1519" t="str">
        <f t="shared" si="195"/>
        <v/>
      </c>
      <c r="HG692" s="1519" t="str">
        <f t="shared" si="196"/>
        <v/>
      </c>
      <c r="HH692" s="1519" t="str">
        <f t="shared" si="197"/>
        <v/>
      </c>
      <c r="HI692" s="1519" t="str">
        <f t="shared" si="198"/>
        <v/>
      </c>
      <c r="HJ692" s="1519" t="str">
        <f t="shared" si="199"/>
        <v/>
      </c>
      <c r="HK692" s="1519" t="str">
        <f t="shared" si="200"/>
        <v/>
      </c>
      <c r="HL692" s="1519" t="str">
        <f t="shared" si="201"/>
        <v/>
      </c>
      <c r="HM692" s="1519" t="str">
        <f t="shared" si="202"/>
        <v/>
      </c>
      <c r="HN692" s="1519" t="str">
        <f t="shared" si="203"/>
        <v/>
      </c>
      <c r="HO692" s="1519" t="str">
        <f t="shared" si="204"/>
        <v/>
      </c>
      <c r="HP692" s="1519" t="str">
        <f t="shared" si="205"/>
        <v/>
      </c>
      <c r="HQ692" s="1519" t="str">
        <f t="shared" si="206"/>
        <v/>
      </c>
      <c r="HR692" s="1519" t="str">
        <f t="shared" si="207"/>
        <v/>
      </c>
      <c r="HS692" s="1519" t="str">
        <f t="shared" si="208"/>
        <v/>
      </c>
      <c r="HT692" s="1519" t="str">
        <f t="shared" si="209"/>
        <v/>
      </c>
      <c r="HU692" s="1519" t="str">
        <f t="shared" si="210"/>
        <v/>
      </c>
      <c r="HV692" s="1519" t="str">
        <f t="shared" si="211"/>
        <v/>
      </c>
      <c r="HW692" s="1519" t="str">
        <f t="shared" si="212"/>
        <v/>
      </c>
      <c r="HX692" s="1519" t="str">
        <f t="shared" si="213"/>
        <v/>
      </c>
      <c r="HY692" s="1519" t="str">
        <f t="shared" si="214"/>
        <v/>
      </c>
      <c r="HZ692" s="1519" t="str">
        <f t="shared" si="215"/>
        <v/>
      </c>
      <c r="IA692" s="1519" t="str">
        <f t="shared" si="216"/>
        <v/>
      </c>
      <c r="IB692" s="1519" t="str">
        <f t="shared" si="217"/>
        <v/>
      </c>
      <c r="IC692" s="1519" t="str">
        <f t="shared" si="218"/>
        <v/>
      </c>
      <c r="ID692" s="1520" t="str">
        <f t="shared" si="219"/>
        <v/>
      </c>
      <c r="IE692" s="1520" t="str">
        <f t="shared" si="220"/>
        <v/>
      </c>
      <c r="IF692" s="1520" t="str">
        <f t="shared" si="221"/>
        <v/>
      </c>
      <c r="IG692" s="1520" t="str">
        <f t="shared" si="222"/>
        <v/>
      </c>
      <c r="IH692" s="1520" t="str">
        <f t="shared" si="223"/>
        <v/>
      </c>
      <c r="II692" s="1271" t="str">
        <f t="shared" si="224"/>
        <v/>
      </c>
      <c r="IJ692" s="1271" t="str">
        <f t="shared" si="225"/>
        <v/>
      </c>
      <c r="IK692" s="1271" t="str">
        <f t="shared" si="226"/>
        <v/>
      </c>
      <c r="IL692" s="1271" t="str">
        <f t="shared" si="227"/>
        <v/>
      </c>
      <c r="IM692" s="1271" t="str">
        <f t="shared" si="228"/>
        <v/>
      </c>
      <c r="IN692" s="1271" t="str">
        <f t="shared" si="229"/>
        <v/>
      </c>
      <c r="IO692" s="1271" t="str">
        <f t="shared" si="230"/>
        <v/>
      </c>
      <c r="IP692" s="1271" t="str">
        <f t="shared" si="231"/>
        <v/>
      </c>
      <c r="IQ692" s="1271" t="str">
        <f t="shared" si="232"/>
        <v/>
      </c>
      <c r="IR692" s="1271" t="str">
        <f t="shared" si="233"/>
        <v/>
      </c>
      <c r="IS692" s="1271" t="str">
        <f t="shared" si="234"/>
        <v/>
      </c>
      <c r="IT692" s="1271" t="str">
        <f t="shared" si="235"/>
        <v/>
      </c>
      <c r="IU692" s="1271" t="str">
        <f t="shared" si="236"/>
        <v/>
      </c>
      <c r="IV692" s="1271" t="str">
        <f t="shared" si="237"/>
        <v/>
      </c>
      <c r="IW692" s="1271" t="str">
        <f t="shared" si="238"/>
        <v/>
      </c>
      <c r="IX692" s="1271" t="str">
        <f t="shared" si="239"/>
        <v/>
      </c>
      <c r="IY692" s="1271" t="str">
        <f t="shared" si="240"/>
        <v/>
      </c>
      <c r="IZ692" s="1271" t="str">
        <f t="shared" si="241"/>
        <v/>
      </c>
      <c r="JA692" s="1271" t="str">
        <f t="shared" si="242"/>
        <v/>
      </c>
      <c r="JB692" s="1271" t="str">
        <f t="shared" si="243"/>
        <v/>
      </c>
      <c r="JC692" s="1518">
        <f t="shared" si="244"/>
        <v>0</v>
      </c>
      <c r="JD692" s="1518">
        <f t="shared" si="245"/>
        <v>0</v>
      </c>
      <c r="JE692" s="1518">
        <f t="shared" si="246"/>
        <v>0</v>
      </c>
      <c r="JF692" s="1518">
        <f t="shared" si="247"/>
        <v>0</v>
      </c>
      <c r="JG692" s="1518">
        <f t="shared" si="248"/>
        <v>0</v>
      </c>
      <c r="JH692" s="1518">
        <f t="shared" si="249"/>
        <v>0</v>
      </c>
      <c r="JI692" s="1518">
        <f t="shared" si="250"/>
        <v>0</v>
      </c>
      <c r="JJ692" s="1518">
        <f t="shared" si="251"/>
        <v>0</v>
      </c>
      <c r="JK692" s="1518">
        <f t="shared" si="252"/>
        <v>0</v>
      </c>
      <c r="JL692" s="1518">
        <f t="shared" si="253"/>
        <v>0</v>
      </c>
      <c r="JM692" s="1518">
        <f t="shared" si="254"/>
        <v>0</v>
      </c>
      <c r="JN692" s="1518">
        <f t="shared" si="255"/>
        <v>0</v>
      </c>
      <c r="JO692" s="1518">
        <f t="shared" si="256"/>
        <v>0</v>
      </c>
      <c r="JP692" s="1518">
        <f t="shared" si="257"/>
        <v>0</v>
      </c>
      <c r="JQ692" s="1518">
        <f t="shared" si="258"/>
        <v>0</v>
      </c>
    </row>
    <row r="693" spans="1:277" ht="12" customHeight="1">
      <c r="A693" s="1687" t="str">
        <f t="shared" si="1"/>
        <v/>
      </c>
      <c r="B693" s="1702" t="str">
        <f>'Part VI-Revenues &amp; Expenses'!B32</f>
        <v>&lt;&lt;Select&gt;&gt;</v>
      </c>
      <c r="C693" s="1703">
        <f>'Part VI-Revenues &amp; Expenses'!C32</f>
        <v>0</v>
      </c>
      <c r="D693" s="1704">
        <f>'Part VI-Revenues &amp; Expenses'!D32</f>
        <v>0</v>
      </c>
      <c r="E693" s="1705">
        <f>'Part VI-Revenues &amp; Expenses'!E32</f>
        <v>0</v>
      </c>
      <c r="F693" s="1705">
        <f>'Part VI-Revenues &amp; Expenses'!F32</f>
        <v>0</v>
      </c>
      <c r="G693" s="1705">
        <f>'Part VI-Revenues &amp; Expenses'!G32</f>
        <v>0</v>
      </c>
      <c r="H693" s="1705">
        <f>'Part VI-Revenues &amp; Expenses'!H32</f>
        <v>0</v>
      </c>
      <c r="I693" s="1705">
        <f>'Part VI-Revenues &amp; Expenses'!I32</f>
        <v>0</v>
      </c>
      <c r="J693" s="1706">
        <f>'Part VI-Revenues &amp; Expenses'!J32</f>
        <v>0</v>
      </c>
      <c r="K693" s="1707">
        <f t="shared" si="2"/>
        <v>0</v>
      </c>
      <c r="L693" s="1707">
        <f t="shared" si="3"/>
        <v>0</v>
      </c>
      <c r="M693" s="1708">
        <f>'Part VI-Revenues &amp; Expenses'!M32</f>
        <v>0</v>
      </c>
      <c r="N693" s="1708">
        <f>'Part VI-Revenues &amp; Expenses'!N32</f>
        <v>0</v>
      </c>
      <c r="O693" s="1708">
        <f>'Part VI-Revenues &amp; Expenses'!O32</f>
        <v>0</v>
      </c>
      <c r="P693" s="1515">
        <f>'Part VI-Revenues &amp; Expenses'!P32</f>
        <v>0</v>
      </c>
      <c r="Q693" s="1709" t="str">
        <f>'Part VI-Revenues &amp; Expenses'!Q32</f>
        <v/>
      </c>
      <c r="R693" s="1710" t="str">
        <f>'Part VI-Revenues &amp; Expenses'!R32</f>
        <v/>
      </c>
      <c r="S693" s="1709">
        <f>'Part VI-Revenues &amp; Expenses'!S32</f>
        <v>0</v>
      </c>
      <c r="T693" s="1710">
        <f>'Part VI-Revenues &amp; Expenses'!T32</f>
        <v>0</v>
      </c>
      <c r="U693" s="1629"/>
      <c r="V693" s="1629"/>
      <c r="W693" s="1271" t="str">
        <f t="shared" si="4"/>
        <v/>
      </c>
      <c r="X693" s="1271" t="str">
        <f t="shared" si="5"/>
        <v/>
      </c>
      <c r="Y693" s="1271" t="str">
        <f t="shared" si="6"/>
        <v/>
      </c>
      <c r="Z693" s="1271" t="str">
        <f t="shared" si="7"/>
        <v/>
      </c>
      <c r="AA693" s="1271" t="str">
        <f t="shared" si="8"/>
        <v/>
      </c>
      <c r="AB693" s="1271" t="str">
        <f t="shared" si="9"/>
        <v/>
      </c>
      <c r="AC693" s="1271" t="str">
        <f t="shared" si="10"/>
        <v/>
      </c>
      <c r="AD693" s="1271" t="str">
        <f t="shared" si="11"/>
        <v/>
      </c>
      <c r="AE693" s="1271" t="str">
        <f t="shared" si="12"/>
        <v/>
      </c>
      <c r="AF693" s="1271" t="str">
        <f t="shared" si="13"/>
        <v/>
      </c>
      <c r="AG693" s="1271" t="str">
        <f t="shared" si="14"/>
        <v/>
      </c>
      <c r="AH693" s="1271" t="str">
        <f t="shared" si="15"/>
        <v/>
      </c>
      <c r="AI693" s="1271" t="str">
        <f t="shared" si="16"/>
        <v/>
      </c>
      <c r="AJ693" s="1271" t="str">
        <f t="shared" si="17"/>
        <v/>
      </c>
      <c r="AK693" s="1271" t="str">
        <f t="shared" si="18"/>
        <v/>
      </c>
      <c r="AL693" s="1271" t="str">
        <f t="shared" si="19"/>
        <v/>
      </c>
      <c r="AM693" s="1271" t="str">
        <f t="shared" si="20"/>
        <v/>
      </c>
      <c r="AN693" s="1271" t="str">
        <f t="shared" si="21"/>
        <v/>
      </c>
      <c r="AO693" s="1271" t="str">
        <f t="shared" si="22"/>
        <v/>
      </c>
      <c r="AP693" s="1271" t="str">
        <f t="shared" si="23"/>
        <v/>
      </c>
      <c r="AQ693" s="1271" t="str">
        <f t="shared" si="24"/>
        <v/>
      </c>
      <c r="AR693" s="1271" t="str">
        <f t="shared" si="25"/>
        <v/>
      </c>
      <c r="AS693" s="1271" t="str">
        <f t="shared" si="26"/>
        <v/>
      </c>
      <c r="AT693" s="1271" t="str">
        <f t="shared" si="27"/>
        <v/>
      </c>
      <c r="AU693" s="1271" t="str">
        <f t="shared" si="28"/>
        <v/>
      </c>
      <c r="AV693" s="1271" t="str">
        <f t="shared" si="29"/>
        <v/>
      </c>
      <c r="AW693" s="1271" t="str">
        <f t="shared" si="30"/>
        <v/>
      </c>
      <c r="AX693" s="1271" t="str">
        <f t="shared" si="31"/>
        <v/>
      </c>
      <c r="AY693" s="1271" t="str">
        <f t="shared" si="32"/>
        <v/>
      </c>
      <c r="AZ693" s="1271" t="str">
        <f t="shared" si="33"/>
        <v/>
      </c>
      <c r="BA693" s="1271" t="str">
        <f t="shared" si="34"/>
        <v/>
      </c>
      <c r="BB693" s="1271" t="str">
        <f t="shared" si="35"/>
        <v/>
      </c>
      <c r="BC693" s="1271" t="str">
        <f t="shared" si="36"/>
        <v/>
      </c>
      <c r="BD693" s="1271" t="str">
        <f t="shared" si="37"/>
        <v/>
      </c>
      <c r="BE693" s="1271" t="str">
        <f t="shared" si="38"/>
        <v/>
      </c>
      <c r="BF693" s="1271" t="str">
        <f t="shared" si="39"/>
        <v/>
      </c>
      <c r="BG693" s="1271" t="str">
        <f t="shared" si="40"/>
        <v/>
      </c>
      <c r="BH693" s="1271" t="str">
        <f t="shared" si="41"/>
        <v/>
      </c>
      <c r="BI693" s="1271" t="str">
        <f t="shared" si="42"/>
        <v/>
      </c>
      <c r="BJ693" s="1271" t="str">
        <f t="shared" si="43"/>
        <v/>
      </c>
      <c r="BK693" s="1271" t="str">
        <f t="shared" si="44"/>
        <v/>
      </c>
      <c r="BL693" s="1271" t="str">
        <f t="shared" si="45"/>
        <v/>
      </c>
      <c r="BM693" s="1271" t="str">
        <f t="shared" si="46"/>
        <v/>
      </c>
      <c r="BN693" s="1271" t="str">
        <f t="shared" si="47"/>
        <v/>
      </c>
      <c r="BO693" s="1271" t="str">
        <f t="shared" si="48"/>
        <v/>
      </c>
      <c r="BP693" s="1271" t="str">
        <f t="shared" si="49"/>
        <v/>
      </c>
      <c r="BQ693" s="1271" t="str">
        <f t="shared" si="50"/>
        <v/>
      </c>
      <c r="BR693" s="1271" t="str">
        <f t="shared" si="51"/>
        <v/>
      </c>
      <c r="BS693" s="1271" t="str">
        <f t="shared" si="52"/>
        <v/>
      </c>
      <c r="BT693" s="1271" t="str">
        <f t="shared" si="53"/>
        <v/>
      </c>
      <c r="BU693" s="1271" t="str">
        <f t="shared" si="54"/>
        <v/>
      </c>
      <c r="BV693" s="1271" t="str">
        <f t="shared" si="55"/>
        <v/>
      </c>
      <c r="BW693" s="1271" t="str">
        <f t="shared" si="56"/>
        <v/>
      </c>
      <c r="BX693" s="1271" t="str">
        <f t="shared" si="57"/>
        <v/>
      </c>
      <c r="BY693" s="1271" t="str">
        <f t="shared" si="58"/>
        <v/>
      </c>
      <c r="BZ693" s="1271" t="str">
        <f t="shared" si="59"/>
        <v/>
      </c>
      <c r="CA693" s="1271" t="str">
        <f t="shared" si="60"/>
        <v/>
      </c>
      <c r="CB693" s="1271" t="str">
        <f t="shared" si="61"/>
        <v/>
      </c>
      <c r="CC693" s="1271" t="str">
        <f t="shared" si="62"/>
        <v/>
      </c>
      <c r="CD693" s="1271" t="str">
        <f t="shared" si="63"/>
        <v/>
      </c>
      <c r="CE693" s="1271" t="str">
        <f t="shared" si="64"/>
        <v/>
      </c>
      <c r="CF693" s="1271" t="str">
        <f t="shared" si="65"/>
        <v/>
      </c>
      <c r="CG693" s="1271" t="str">
        <f t="shared" si="66"/>
        <v/>
      </c>
      <c r="CH693" s="1271" t="str">
        <f t="shared" si="67"/>
        <v/>
      </c>
      <c r="CI693" s="1271" t="str">
        <f t="shared" si="68"/>
        <v/>
      </c>
      <c r="CJ693" s="1271" t="str">
        <f t="shared" si="69"/>
        <v/>
      </c>
      <c r="CK693" s="1271" t="str">
        <f t="shared" si="70"/>
        <v/>
      </c>
      <c r="CL693" s="1271" t="str">
        <f t="shared" si="71"/>
        <v/>
      </c>
      <c r="CM693" s="1271" t="str">
        <f t="shared" si="72"/>
        <v/>
      </c>
      <c r="CN693" s="1271" t="str">
        <f t="shared" si="73"/>
        <v/>
      </c>
      <c r="CO693" s="1271" t="str">
        <f t="shared" si="74"/>
        <v/>
      </c>
      <c r="CP693" s="1271" t="str">
        <f t="shared" si="75"/>
        <v/>
      </c>
      <c r="CQ693" s="1271" t="str">
        <f t="shared" si="76"/>
        <v/>
      </c>
      <c r="CR693" s="1271" t="str">
        <f t="shared" si="77"/>
        <v/>
      </c>
      <c r="CS693" s="1271" t="str">
        <f t="shared" si="78"/>
        <v/>
      </c>
      <c r="CT693" s="1271" t="str">
        <f t="shared" si="79"/>
        <v/>
      </c>
      <c r="CU693" s="1271" t="str">
        <f t="shared" si="80"/>
        <v/>
      </c>
      <c r="CV693" s="1271" t="str">
        <f t="shared" si="81"/>
        <v/>
      </c>
      <c r="CW693" s="1271" t="str">
        <f t="shared" si="82"/>
        <v/>
      </c>
      <c r="CX693" s="1271" t="str">
        <f t="shared" si="83"/>
        <v/>
      </c>
      <c r="CY693" s="1271" t="str">
        <f t="shared" si="84"/>
        <v/>
      </c>
      <c r="CZ693" s="1271" t="str">
        <f t="shared" si="85"/>
        <v/>
      </c>
      <c r="DA693" s="1271" t="str">
        <f t="shared" si="86"/>
        <v/>
      </c>
      <c r="DB693" s="1271" t="str">
        <f t="shared" si="87"/>
        <v/>
      </c>
      <c r="DC693" s="1271" t="str">
        <f t="shared" si="88"/>
        <v/>
      </c>
      <c r="DD693" s="1271" t="str">
        <f t="shared" si="89"/>
        <v/>
      </c>
      <c r="DE693" s="1271" t="str">
        <f t="shared" si="90"/>
        <v/>
      </c>
      <c r="DF693" s="1271" t="str">
        <f t="shared" si="91"/>
        <v/>
      </c>
      <c r="DG693" s="1271" t="str">
        <f t="shared" si="92"/>
        <v/>
      </c>
      <c r="DH693" s="1271" t="str">
        <f t="shared" si="93"/>
        <v/>
      </c>
      <c r="DI693" s="1271" t="str">
        <f t="shared" si="94"/>
        <v/>
      </c>
      <c r="DJ693" s="1271" t="str">
        <f t="shared" si="95"/>
        <v/>
      </c>
      <c r="DK693" s="1271" t="str">
        <f t="shared" si="96"/>
        <v/>
      </c>
      <c r="DL693" s="1271" t="str">
        <f t="shared" si="97"/>
        <v/>
      </c>
      <c r="DM693" s="1271" t="str">
        <f t="shared" si="98"/>
        <v/>
      </c>
      <c r="DN693" s="1271" t="str">
        <f t="shared" si="99"/>
        <v/>
      </c>
      <c r="DO693" s="1271" t="str">
        <f t="shared" si="100"/>
        <v/>
      </c>
      <c r="DP693" s="1271" t="str">
        <f t="shared" si="101"/>
        <v/>
      </c>
      <c r="DQ693" s="1271" t="str">
        <f t="shared" si="102"/>
        <v/>
      </c>
      <c r="DR693" s="1271" t="str">
        <f t="shared" si="103"/>
        <v/>
      </c>
      <c r="DS693" s="1271" t="str">
        <f t="shared" si="104"/>
        <v/>
      </c>
      <c r="DT693" s="1271" t="str">
        <f t="shared" si="105"/>
        <v/>
      </c>
      <c r="DU693" s="1271" t="str">
        <f t="shared" si="106"/>
        <v/>
      </c>
      <c r="DV693" s="1271" t="str">
        <f t="shared" si="107"/>
        <v/>
      </c>
      <c r="DW693" s="1271" t="str">
        <f t="shared" si="108"/>
        <v/>
      </c>
      <c r="DX693" s="1271" t="str">
        <f t="shared" si="109"/>
        <v/>
      </c>
      <c r="DY693" s="1271" t="str">
        <f t="shared" si="110"/>
        <v/>
      </c>
      <c r="DZ693" s="1271" t="str">
        <f t="shared" si="111"/>
        <v/>
      </c>
      <c r="EA693" s="1271" t="str">
        <f t="shared" si="112"/>
        <v/>
      </c>
      <c r="EB693" s="1271" t="str">
        <f t="shared" si="113"/>
        <v/>
      </c>
      <c r="EC693" s="1271" t="str">
        <f t="shared" si="114"/>
        <v/>
      </c>
      <c r="ED693" s="1271" t="str">
        <f t="shared" si="115"/>
        <v/>
      </c>
      <c r="EE693" s="1271" t="str">
        <f t="shared" si="116"/>
        <v/>
      </c>
      <c r="EF693" s="1271" t="str">
        <f t="shared" si="117"/>
        <v/>
      </c>
      <c r="EG693" s="1271" t="str">
        <f t="shared" si="118"/>
        <v/>
      </c>
      <c r="EH693" s="1271" t="str">
        <f t="shared" si="119"/>
        <v/>
      </c>
      <c r="EI693" s="1271" t="str">
        <f t="shared" si="120"/>
        <v/>
      </c>
      <c r="EJ693" s="1271" t="str">
        <f t="shared" si="121"/>
        <v/>
      </c>
      <c r="EK693" s="1271" t="str">
        <f t="shared" si="122"/>
        <v/>
      </c>
      <c r="EL693" s="1271" t="str">
        <f t="shared" si="123"/>
        <v/>
      </c>
      <c r="EM693" s="1271" t="str">
        <f t="shared" si="124"/>
        <v/>
      </c>
      <c r="EN693" s="1271" t="str">
        <f t="shared" si="125"/>
        <v/>
      </c>
      <c r="EO693" s="1271" t="str">
        <f t="shared" si="126"/>
        <v/>
      </c>
      <c r="EP693" s="1271" t="str">
        <f t="shared" si="127"/>
        <v/>
      </c>
      <c r="EQ693" s="1271" t="str">
        <f t="shared" si="128"/>
        <v/>
      </c>
      <c r="ER693" s="1271" t="str">
        <f t="shared" si="129"/>
        <v/>
      </c>
      <c r="ES693" s="1271" t="str">
        <f t="shared" si="130"/>
        <v/>
      </c>
      <c r="ET693" s="1271" t="str">
        <f t="shared" si="131"/>
        <v/>
      </c>
      <c r="EU693" s="1271" t="str">
        <f t="shared" si="132"/>
        <v/>
      </c>
      <c r="EV693" s="1271" t="str">
        <f t="shared" si="133"/>
        <v/>
      </c>
      <c r="EW693" s="1519" t="str">
        <f t="shared" si="134"/>
        <v/>
      </c>
      <c r="EX693" s="1519" t="str">
        <f t="shared" si="135"/>
        <v/>
      </c>
      <c r="EY693" s="1519" t="str">
        <f t="shared" si="136"/>
        <v/>
      </c>
      <c r="EZ693" s="1519" t="str">
        <f t="shared" si="137"/>
        <v/>
      </c>
      <c r="FA693" s="1519" t="str">
        <f t="shared" si="138"/>
        <v/>
      </c>
      <c r="FB693" s="1519" t="str">
        <f t="shared" si="139"/>
        <v/>
      </c>
      <c r="FC693" s="1519" t="str">
        <f t="shared" si="140"/>
        <v/>
      </c>
      <c r="FD693" s="1519" t="str">
        <f t="shared" si="141"/>
        <v/>
      </c>
      <c r="FE693" s="1519" t="str">
        <f t="shared" si="142"/>
        <v/>
      </c>
      <c r="FF693" s="1519" t="str">
        <f t="shared" si="143"/>
        <v/>
      </c>
      <c r="FG693" s="1519" t="str">
        <f t="shared" si="144"/>
        <v/>
      </c>
      <c r="FH693" s="1519" t="str">
        <f t="shared" si="145"/>
        <v/>
      </c>
      <c r="FI693" s="1519" t="str">
        <f t="shared" si="146"/>
        <v/>
      </c>
      <c r="FJ693" s="1519" t="str">
        <f t="shared" si="147"/>
        <v/>
      </c>
      <c r="FK693" s="1519" t="str">
        <f t="shared" si="148"/>
        <v/>
      </c>
      <c r="FL693" s="1519" t="str">
        <f t="shared" si="149"/>
        <v/>
      </c>
      <c r="FM693" s="1519" t="str">
        <f t="shared" si="150"/>
        <v/>
      </c>
      <c r="FN693" s="1519" t="str">
        <f t="shared" si="151"/>
        <v/>
      </c>
      <c r="FO693" s="1519" t="str">
        <f t="shared" si="152"/>
        <v/>
      </c>
      <c r="FP693" s="1519" t="str">
        <f t="shared" si="153"/>
        <v/>
      </c>
      <c r="FQ693" s="1519" t="str">
        <f t="shared" si="154"/>
        <v/>
      </c>
      <c r="FR693" s="1519" t="str">
        <f t="shared" si="155"/>
        <v/>
      </c>
      <c r="FS693" s="1519" t="str">
        <f t="shared" si="156"/>
        <v/>
      </c>
      <c r="FT693" s="1519" t="str">
        <f t="shared" si="157"/>
        <v/>
      </c>
      <c r="FU693" s="1519" t="str">
        <f t="shared" si="158"/>
        <v/>
      </c>
      <c r="FV693" s="1519" t="str">
        <f t="shared" si="159"/>
        <v/>
      </c>
      <c r="FW693" s="1519" t="str">
        <f t="shared" si="160"/>
        <v/>
      </c>
      <c r="FX693" s="1519" t="str">
        <f t="shared" si="161"/>
        <v/>
      </c>
      <c r="FY693" s="1519" t="str">
        <f t="shared" si="162"/>
        <v/>
      </c>
      <c r="FZ693" s="1519" t="str">
        <f t="shared" si="163"/>
        <v/>
      </c>
      <c r="GA693" s="1519" t="str">
        <f t="shared" si="164"/>
        <v/>
      </c>
      <c r="GB693" s="1519" t="str">
        <f t="shared" si="165"/>
        <v/>
      </c>
      <c r="GC693" s="1519" t="str">
        <f t="shared" si="166"/>
        <v/>
      </c>
      <c r="GD693" s="1519" t="str">
        <f t="shared" si="167"/>
        <v/>
      </c>
      <c r="GE693" s="1519" t="str">
        <f t="shared" si="168"/>
        <v/>
      </c>
      <c r="GF693" s="1519" t="str">
        <f t="shared" si="169"/>
        <v/>
      </c>
      <c r="GG693" s="1519" t="str">
        <f t="shared" si="170"/>
        <v/>
      </c>
      <c r="GH693" s="1519" t="str">
        <f t="shared" si="171"/>
        <v/>
      </c>
      <c r="GI693" s="1519" t="str">
        <f t="shared" si="172"/>
        <v/>
      </c>
      <c r="GJ693" s="1519" t="str">
        <f t="shared" si="173"/>
        <v/>
      </c>
      <c r="GK693" s="1519" t="str">
        <f t="shared" si="174"/>
        <v/>
      </c>
      <c r="GL693" s="1519" t="str">
        <f t="shared" si="175"/>
        <v/>
      </c>
      <c r="GM693" s="1519" t="str">
        <f t="shared" si="176"/>
        <v/>
      </c>
      <c r="GN693" s="1519" t="str">
        <f t="shared" si="177"/>
        <v/>
      </c>
      <c r="GO693" s="1519" t="str">
        <f t="shared" si="178"/>
        <v/>
      </c>
      <c r="GP693" s="1519" t="str">
        <f t="shared" si="179"/>
        <v/>
      </c>
      <c r="GQ693" s="1519" t="str">
        <f t="shared" si="180"/>
        <v/>
      </c>
      <c r="GR693" s="1519" t="str">
        <f t="shared" si="181"/>
        <v/>
      </c>
      <c r="GS693" s="1519" t="str">
        <f t="shared" si="182"/>
        <v/>
      </c>
      <c r="GT693" s="1519" t="str">
        <f t="shared" si="183"/>
        <v/>
      </c>
      <c r="GU693" s="1519" t="str">
        <f t="shared" si="184"/>
        <v/>
      </c>
      <c r="GV693" s="1519" t="str">
        <f t="shared" si="185"/>
        <v/>
      </c>
      <c r="GW693" s="1519" t="str">
        <f t="shared" si="186"/>
        <v/>
      </c>
      <c r="GX693" s="1519" t="str">
        <f t="shared" si="187"/>
        <v/>
      </c>
      <c r="GY693" s="1519" t="str">
        <f t="shared" si="188"/>
        <v/>
      </c>
      <c r="GZ693" s="1519" t="str">
        <f t="shared" si="189"/>
        <v/>
      </c>
      <c r="HA693" s="1519" t="str">
        <f t="shared" si="190"/>
        <v/>
      </c>
      <c r="HB693" s="1519" t="str">
        <f t="shared" si="191"/>
        <v/>
      </c>
      <c r="HC693" s="1519" t="str">
        <f t="shared" si="192"/>
        <v/>
      </c>
      <c r="HD693" s="1519" t="str">
        <f t="shared" si="193"/>
        <v/>
      </c>
      <c r="HE693" s="1519" t="str">
        <f t="shared" si="194"/>
        <v/>
      </c>
      <c r="HF693" s="1519" t="str">
        <f t="shared" si="195"/>
        <v/>
      </c>
      <c r="HG693" s="1519" t="str">
        <f t="shared" si="196"/>
        <v/>
      </c>
      <c r="HH693" s="1519" t="str">
        <f t="shared" si="197"/>
        <v/>
      </c>
      <c r="HI693" s="1519" t="str">
        <f t="shared" si="198"/>
        <v/>
      </c>
      <c r="HJ693" s="1519" t="str">
        <f t="shared" si="199"/>
        <v/>
      </c>
      <c r="HK693" s="1519" t="str">
        <f t="shared" si="200"/>
        <v/>
      </c>
      <c r="HL693" s="1519" t="str">
        <f t="shared" si="201"/>
        <v/>
      </c>
      <c r="HM693" s="1519" t="str">
        <f t="shared" si="202"/>
        <v/>
      </c>
      <c r="HN693" s="1519" t="str">
        <f t="shared" si="203"/>
        <v/>
      </c>
      <c r="HO693" s="1519" t="str">
        <f t="shared" si="204"/>
        <v/>
      </c>
      <c r="HP693" s="1519" t="str">
        <f t="shared" si="205"/>
        <v/>
      </c>
      <c r="HQ693" s="1519" t="str">
        <f t="shared" si="206"/>
        <v/>
      </c>
      <c r="HR693" s="1519" t="str">
        <f t="shared" si="207"/>
        <v/>
      </c>
      <c r="HS693" s="1519" t="str">
        <f t="shared" si="208"/>
        <v/>
      </c>
      <c r="HT693" s="1519" t="str">
        <f t="shared" si="209"/>
        <v/>
      </c>
      <c r="HU693" s="1519" t="str">
        <f t="shared" si="210"/>
        <v/>
      </c>
      <c r="HV693" s="1519" t="str">
        <f t="shared" si="211"/>
        <v/>
      </c>
      <c r="HW693" s="1519" t="str">
        <f t="shared" si="212"/>
        <v/>
      </c>
      <c r="HX693" s="1519" t="str">
        <f t="shared" si="213"/>
        <v/>
      </c>
      <c r="HY693" s="1519" t="str">
        <f t="shared" si="214"/>
        <v/>
      </c>
      <c r="HZ693" s="1519" t="str">
        <f t="shared" si="215"/>
        <v/>
      </c>
      <c r="IA693" s="1519" t="str">
        <f t="shared" si="216"/>
        <v/>
      </c>
      <c r="IB693" s="1519" t="str">
        <f t="shared" si="217"/>
        <v/>
      </c>
      <c r="IC693" s="1519" t="str">
        <f t="shared" si="218"/>
        <v/>
      </c>
      <c r="ID693" s="1520" t="str">
        <f t="shared" si="219"/>
        <v/>
      </c>
      <c r="IE693" s="1520" t="str">
        <f t="shared" si="220"/>
        <v/>
      </c>
      <c r="IF693" s="1520" t="str">
        <f t="shared" si="221"/>
        <v/>
      </c>
      <c r="IG693" s="1520" t="str">
        <f t="shared" si="222"/>
        <v/>
      </c>
      <c r="IH693" s="1520" t="str">
        <f t="shared" si="223"/>
        <v/>
      </c>
      <c r="II693" s="1271" t="str">
        <f t="shared" si="224"/>
        <v/>
      </c>
      <c r="IJ693" s="1271" t="str">
        <f t="shared" si="225"/>
        <v/>
      </c>
      <c r="IK693" s="1271" t="str">
        <f t="shared" si="226"/>
        <v/>
      </c>
      <c r="IL693" s="1271" t="str">
        <f t="shared" si="227"/>
        <v/>
      </c>
      <c r="IM693" s="1271" t="str">
        <f t="shared" si="228"/>
        <v/>
      </c>
      <c r="IN693" s="1271" t="str">
        <f t="shared" si="229"/>
        <v/>
      </c>
      <c r="IO693" s="1271" t="str">
        <f t="shared" si="230"/>
        <v/>
      </c>
      <c r="IP693" s="1271" t="str">
        <f t="shared" si="231"/>
        <v/>
      </c>
      <c r="IQ693" s="1271" t="str">
        <f t="shared" si="232"/>
        <v/>
      </c>
      <c r="IR693" s="1271" t="str">
        <f t="shared" si="233"/>
        <v/>
      </c>
      <c r="IS693" s="1271" t="str">
        <f t="shared" si="234"/>
        <v/>
      </c>
      <c r="IT693" s="1271" t="str">
        <f t="shared" si="235"/>
        <v/>
      </c>
      <c r="IU693" s="1271" t="str">
        <f t="shared" si="236"/>
        <v/>
      </c>
      <c r="IV693" s="1271" t="str">
        <f t="shared" si="237"/>
        <v/>
      </c>
      <c r="IW693" s="1271" t="str">
        <f t="shared" si="238"/>
        <v/>
      </c>
      <c r="IX693" s="1271" t="str">
        <f t="shared" si="239"/>
        <v/>
      </c>
      <c r="IY693" s="1271" t="str">
        <f t="shared" si="240"/>
        <v/>
      </c>
      <c r="IZ693" s="1271" t="str">
        <f t="shared" si="241"/>
        <v/>
      </c>
      <c r="JA693" s="1271" t="str">
        <f t="shared" si="242"/>
        <v/>
      </c>
      <c r="JB693" s="1271" t="str">
        <f t="shared" si="243"/>
        <v/>
      </c>
      <c r="JC693" s="1518">
        <f t="shared" si="244"/>
        <v>0</v>
      </c>
      <c r="JD693" s="1518">
        <f t="shared" si="245"/>
        <v>0</v>
      </c>
      <c r="JE693" s="1518">
        <f t="shared" si="246"/>
        <v>0</v>
      </c>
      <c r="JF693" s="1518">
        <f t="shared" si="247"/>
        <v>0</v>
      </c>
      <c r="JG693" s="1518">
        <f t="shared" si="248"/>
        <v>0</v>
      </c>
      <c r="JH693" s="1518">
        <f t="shared" si="249"/>
        <v>0</v>
      </c>
      <c r="JI693" s="1518">
        <f t="shared" si="250"/>
        <v>0</v>
      </c>
      <c r="JJ693" s="1518">
        <f t="shared" si="251"/>
        <v>0</v>
      </c>
      <c r="JK693" s="1518">
        <f t="shared" si="252"/>
        <v>0</v>
      </c>
      <c r="JL693" s="1518">
        <f t="shared" si="253"/>
        <v>0</v>
      </c>
      <c r="JM693" s="1518">
        <f t="shared" si="254"/>
        <v>0</v>
      </c>
      <c r="JN693" s="1518">
        <f t="shared" si="255"/>
        <v>0</v>
      </c>
      <c r="JO693" s="1518">
        <f t="shared" si="256"/>
        <v>0</v>
      </c>
      <c r="JP693" s="1518">
        <f t="shared" si="257"/>
        <v>0</v>
      </c>
      <c r="JQ693" s="1518">
        <f t="shared" si="258"/>
        <v>0</v>
      </c>
    </row>
    <row r="694" spans="1:277" ht="12" customHeight="1">
      <c r="A694" s="1687" t="str">
        <f t="shared" si="1"/>
        <v/>
      </c>
      <c r="B694" s="1702" t="str">
        <f>'Part VI-Revenues &amp; Expenses'!B33</f>
        <v>&lt;&lt;Select&gt;&gt;</v>
      </c>
      <c r="C694" s="1703">
        <f>'Part VI-Revenues &amp; Expenses'!C33</f>
        <v>0</v>
      </c>
      <c r="D694" s="1704">
        <f>'Part VI-Revenues &amp; Expenses'!D33</f>
        <v>0</v>
      </c>
      <c r="E694" s="1705">
        <f>'Part VI-Revenues &amp; Expenses'!E33</f>
        <v>0</v>
      </c>
      <c r="F694" s="1705">
        <f>'Part VI-Revenues &amp; Expenses'!F33</f>
        <v>0</v>
      </c>
      <c r="G694" s="1705">
        <f>'Part VI-Revenues &amp; Expenses'!G33</f>
        <v>0</v>
      </c>
      <c r="H694" s="1705">
        <f>'Part VI-Revenues &amp; Expenses'!H33</f>
        <v>0</v>
      </c>
      <c r="I694" s="1705">
        <f>'Part VI-Revenues &amp; Expenses'!I33</f>
        <v>0</v>
      </c>
      <c r="J694" s="1706">
        <f>'Part VI-Revenues &amp; Expenses'!J33</f>
        <v>0</v>
      </c>
      <c r="K694" s="1707">
        <f t="shared" si="2"/>
        <v>0</v>
      </c>
      <c r="L694" s="1707">
        <f t="shared" si="3"/>
        <v>0</v>
      </c>
      <c r="M694" s="1708">
        <f>'Part VI-Revenues &amp; Expenses'!M33</f>
        <v>0</v>
      </c>
      <c r="N694" s="1708">
        <f>'Part VI-Revenues &amp; Expenses'!N33</f>
        <v>0</v>
      </c>
      <c r="O694" s="1708">
        <f>'Part VI-Revenues &amp; Expenses'!O33</f>
        <v>0</v>
      </c>
      <c r="P694" s="1515">
        <f>'Part VI-Revenues &amp; Expenses'!P33</f>
        <v>0</v>
      </c>
      <c r="Q694" s="1709" t="str">
        <f>'Part VI-Revenues &amp; Expenses'!Q33</f>
        <v/>
      </c>
      <c r="R694" s="1710" t="str">
        <f>'Part VI-Revenues &amp; Expenses'!R33</f>
        <v/>
      </c>
      <c r="S694" s="1709">
        <f>'Part VI-Revenues &amp; Expenses'!S33</f>
        <v>0</v>
      </c>
      <c r="T694" s="1710">
        <f>'Part VI-Revenues &amp; Expenses'!T33</f>
        <v>0</v>
      </c>
      <c r="U694" s="1629"/>
      <c r="V694" s="1629"/>
      <c r="W694" s="1271" t="str">
        <f t="shared" si="4"/>
        <v/>
      </c>
      <c r="X694" s="1271" t="str">
        <f t="shared" si="5"/>
        <v/>
      </c>
      <c r="Y694" s="1271" t="str">
        <f t="shared" si="6"/>
        <v/>
      </c>
      <c r="Z694" s="1271" t="str">
        <f t="shared" si="7"/>
        <v/>
      </c>
      <c r="AA694" s="1271" t="str">
        <f t="shared" si="8"/>
        <v/>
      </c>
      <c r="AB694" s="1271" t="str">
        <f t="shared" si="9"/>
        <v/>
      </c>
      <c r="AC694" s="1271" t="str">
        <f t="shared" si="10"/>
        <v/>
      </c>
      <c r="AD694" s="1271" t="str">
        <f t="shared" si="11"/>
        <v/>
      </c>
      <c r="AE694" s="1271" t="str">
        <f t="shared" si="12"/>
        <v/>
      </c>
      <c r="AF694" s="1271" t="str">
        <f t="shared" si="13"/>
        <v/>
      </c>
      <c r="AG694" s="1271" t="str">
        <f t="shared" si="14"/>
        <v/>
      </c>
      <c r="AH694" s="1271" t="str">
        <f t="shared" si="15"/>
        <v/>
      </c>
      <c r="AI694" s="1271" t="str">
        <f t="shared" si="16"/>
        <v/>
      </c>
      <c r="AJ694" s="1271" t="str">
        <f t="shared" si="17"/>
        <v/>
      </c>
      <c r="AK694" s="1271" t="str">
        <f t="shared" si="18"/>
        <v/>
      </c>
      <c r="AL694" s="1271" t="str">
        <f t="shared" si="19"/>
        <v/>
      </c>
      <c r="AM694" s="1271" t="str">
        <f t="shared" si="20"/>
        <v/>
      </c>
      <c r="AN694" s="1271" t="str">
        <f t="shared" si="21"/>
        <v/>
      </c>
      <c r="AO694" s="1271" t="str">
        <f t="shared" si="22"/>
        <v/>
      </c>
      <c r="AP694" s="1271" t="str">
        <f t="shared" si="23"/>
        <v/>
      </c>
      <c r="AQ694" s="1271" t="str">
        <f t="shared" si="24"/>
        <v/>
      </c>
      <c r="AR694" s="1271" t="str">
        <f t="shared" si="25"/>
        <v/>
      </c>
      <c r="AS694" s="1271" t="str">
        <f t="shared" si="26"/>
        <v/>
      </c>
      <c r="AT694" s="1271" t="str">
        <f t="shared" si="27"/>
        <v/>
      </c>
      <c r="AU694" s="1271" t="str">
        <f t="shared" si="28"/>
        <v/>
      </c>
      <c r="AV694" s="1271" t="str">
        <f t="shared" si="29"/>
        <v/>
      </c>
      <c r="AW694" s="1271" t="str">
        <f t="shared" si="30"/>
        <v/>
      </c>
      <c r="AX694" s="1271" t="str">
        <f t="shared" si="31"/>
        <v/>
      </c>
      <c r="AY694" s="1271" t="str">
        <f t="shared" si="32"/>
        <v/>
      </c>
      <c r="AZ694" s="1271" t="str">
        <f t="shared" si="33"/>
        <v/>
      </c>
      <c r="BA694" s="1271" t="str">
        <f t="shared" si="34"/>
        <v/>
      </c>
      <c r="BB694" s="1271" t="str">
        <f t="shared" si="35"/>
        <v/>
      </c>
      <c r="BC694" s="1271" t="str">
        <f t="shared" si="36"/>
        <v/>
      </c>
      <c r="BD694" s="1271" t="str">
        <f t="shared" si="37"/>
        <v/>
      </c>
      <c r="BE694" s="1271" t="str">
        <f t="shared" si="38"/>
        <v/>
      </c>
      <c r="BF694" s="1271" t="str">
        <f t="shared" si="39"/>
        <v/>
      </c>
      <c r="BG694" s="1271" t="str">
        <f t="shared" si="40"/>
        <v/>
      </c>
      <c r="BH694" s="1271" t="str">
        <f t="shared" si="41"/>
        <v/>
      </c>
      <c r="BI694" s="1271" t="str">
        <f t="shared" si="42"/>
        <v/>
      </c>
      <c r="BJ694" s="1271" t="str">
        <f t="shared" si="43"/>
        <v/>
      </c>
      <c r="BK694" s="1271" t="str">
        <f t="shared" si="44"/>
        <v/>
      </c>
      <c r="BL694" s="1271" t="str">
        <f t="shared" si="45"/>
        <v/>
      </c>
      <c r="BM694" s="1271" t="str">
        <f t="shared" si="46"/>
        <v/>
      </c>
      <c r="BN694" s="1271" t="str">
        <f t="shared" si="47"/>
        <v/>
      </c>
      <c r="BO694" s="1271" t="str">
        <f t="shared" si="48"/>
        <v/>
      </c>
      <c r="BP694" s="1271" t="str">
        <f t="shared" si="49"/>
        <v/>
      </c>
      <c r="BQ694" s="1271" t="str">
        <f t="shared" si="50"/>
        <v/>
      </c>
      <c r="BR694" s="1271" t="str">
        <f t="shared" si="51"/>
        <v/>
      </c>
      <c r="BS694" s="1271" t="str">
        <f t="shared" si="52"/>
        <v/>
      </c>
      <c r="BT694" s="1271" t="str">
        <f t="shared" si="53"/>
        <v/>
      </c>
      <c r="BU694" s="1271" t="str">
        <f t="shared" si="54"/>
        <v/>
      </c>
      <c r="BV694" s="1271" t="str">
        <f t="shared" si="55"/>
        <v/>
      </c>
      <c r="BW694" s="1271" t="str">
        <f t="shared" si="56"/>
        <v/>
      </c>
      <c r="BX694" s="1271" t="str">
        <f t="shared" si="57"/>
        <v/>
      </c>
      <c r="BY694" s="1271" t="str">
        <f t="shared" si="58"/>
        <v/>
      </c>
      <c r="BZ694" s="1271" t="str">
        <f t="shared" si="59"/>
        <v/>
      </c>
      <c r="CA694" s="1271" t="str">
        <f t="shared" si="60"/>
        <v/>
      </c>
      <c r="CB694" s="1271" t="str">
        <f t="shared" si="61"/>
        <v/>
      </c>
      <c r="CC694" s="1271" t="str">
        <f t="shared" si="62"/>
        <v/>
      </c>
      <c r="CD694" s="1271" t="str">
        <f t="shared" si="63"/>
        <v/>
      </c>
      <c r="CE694" s="1271" t="str">
        <f t="shared" si="64"/>
        <v/>
      </c>
      <c r="CF694" s="1271" t="str">
        <f t="shared" si="65"/>
        <v/>
      </c>
      <c r="CG694" s="1271" t="str">
        <f t="shared" si="66"/>
        <v/>
      </c>
      <c r="CH694" s="1271" t="str">
        <f t="shared" si="67"/>
        <v/>
      </c>
      <c r="CI694" s="1271" t="str">
        <f t="shared" si="68"/>
        <v/>
      </c>
      <c r="CJ694" s="1271" t="str">
        <f t="shared" si="69"/>
        <v/>
      </c>
      <c r="CK694" s="1271" t="str">
        <f t="shared" si="70"/>
        <v/>
      </c>
      <c r="CL694" s="1271" t="str">
        <f t="shared" si="71"/>
        <v/>
      </c>
      <c r="CM694" s="1271" t="str">
        <f t="shared" si="72"/>
        <v/>
      </c>
      <c r="CN694" s="1271" t="str">
        <f t="shared" si="73"/>
        <v/>
      </c>
      <c r="CO694" s="1271" t="str">
        <f t="shared" si="74"/>
        <v/>
      </c>
      <c r="CP694" s="1271" t="str">
        <f t="shared" si="75"/>
        <v/>
      </c>
      <c r="CQ694" s="1271" t="str">
        <f t="shared" si="76"/>
        <v/>
      </c>
      <c r="CR694" s="1271" t="str">
        <f t="shared" si="77"/>
        <v/>
      </c>
      <c r="CS694" s="1271" t="str">
        <f t="shared" si="78"/>
        <v/>
      </c>
      <c r="CT694" s="1271" t="str">
        <f t="shared" si="79"/>
        <v/>
      </c>
      <c r="CU694" s="1271" t="str">
        <f t="shared" si="80"/>
        <v/>
      </c>
      <c r="CV694" s="1271" t="str">
        <f t="shared" si="81"/>
        <v/>
      </c>
      <c r="CW694" s="1271" t="str">
        <f t="shared" si="82"/>
        <v/>
      </c>
      <c r="CX694" s="1271" t="str">
        <f t="shared" si="83"/>
        <v/>
      </c>
      <c r="CY694" s="1271" t="str">
        <f t="shared" si="84"/>
        <v/>
      </c>
      <c r="CZ694" s="1271" t="str">
        <f t="shared" si="85"/>
        <v/>
      </c>
      <c r="DA694" s="1271" t="str">
        <f t="shared" si="86"/>
        <v/>
      </c>
      <c r="DB694" s="1271" t="str">
        <f t="shared" si="87"/>
        <v/>
      </c>
      <c r="DC694" s="1271" t="str">
        <f t="shared" si="88"/>
        <v/>
      </c>
      <c r="DD694" s="1271" t="str">
        <f t="shared" si="89"/>
        <v/>
      </c>
      <c r="DE694" s="1271" t="str">
        <f t="shared" si="90"/>
        <v/>
      </c>
      <c r="DF694" s="1271" t="str">
        <f t="shared" si="91"/>
        <v/>
      </c>
      <c r="DG694" s="1271" t="str">
        <f t="shared" si="92"/>
        <v/>
      </c>
      <c r="DH694" s="1271" t="str">
        <f t="shared" si="93"/>
        <v/>
      </c>
      <c r="DI694" s="1271" t="str">
        <f t="shared" si="94"/>
        <v/>
      </c>
      <c r="DJ694" s="1271" t="str">
        <f t="shared" si="95"/>
        <v/>
      </c>
      <c r="DK694" s="1271" t="str">
        <f t="shared" si="96"/>
        <v/>
      </c>
      <c r="DL694" s="1271" t="str">
        <f t="shared" si="97"/>
        <v/>
      </c>
      <c r="DM694" s="1271" t="str">
        <f t="shared" si="98"/>
        <v/>
      </c>
      <c r="DN694" s="1271" t="str">
        <f t="shared" si="99"/>
        <v/>
      </c>
      <c r="DO694" s="1271" t="str">
        <f t="shared" si="100"/>
        <v/>
      </c>
      <c r="DP694" s="1271" t="str">
        <f t="shared" si="101"/>
        <v/>
      </c>
      <c r="DQ694" s="1271" t="str">
        <f t="shared" si="102"/>
        <v/>
      </c>
      <c r="DR694" s="1271" t="str">
        <f t="shared" si="103"/>
        <v/>
      </c>
      <c r="DS694" s="1271" t="str">
        <f t="shared" si="104"/>
        <v/>
      </c>
      <c r="DT694" s="1271" t="str">
        <f t="shared" si="105"/>
        <v/>
      </c>
      <c r="DU694" s="1271" t="str">
        <f t="shared" si="106"/>
        <v/>
      </c>
      <c r="DV694" s="1271" t="str">
        <f t="shared" si="107"/>
        <v/>
      </c>
      <c r="DW694" s="1271" t="str">
        <f t="shared" si="108"/>
        <v/>
      </c>
      <c r="DX694" s="1271" t="str">
        <f t="shared" si="109"/>
        <v/>
      </c>
      <c r="DY694" s="1271" t="str">
        <f t="shared" si="110"/>
        <v/>
      </c>
      <c r="DZ694" s="1271" t="str">
        <f t="shared" si="111"/>
        <v/>
      </c>
      <c r="EA694" s="1271" t="str">
        <f t="shared" si="112"/>
        <v/>
      </c>
      <c r="EB694" s="1271" t="str">
        <f t="shared" si="113"/>
        <v/>
      </c>
      <c r="EC694" s="1271" t="str">
        <f t="shared" si="114"/>
        <v/>
      </c>
      <c r="ED694" s="1271" t="str">
        <f t="shared" si="115"/>
        <v/>
      </c>
      <c r="EE694" s="1271" t="str">
        <f t="shared" si="116"/>
        <v/>
      </c>
      <c r="EF694" s="1271" t="str">
        <f t="shared" si="117"/>
        <v/>
      </c>
      <c r="EG694" s="1271" t="str">
        <f t="shared" si="118"/>
        <v/>
      </c>
      <c r="EH694" s="1271" t="str">
        <f t="shared" si="119"/>
        <v/>
      </c>
      <c r="EI694" s="1271" t="str">
        <f t="shared" si="120"/>
        <v/>
      </c>
      <c r="EJ694" s="1271" t="str">
        <f t="shared" si="121"/>
        <v/>
      </c>
      <c r="EK694" s="1271" t="str">
        <f t="shared" si="122"/>
        <v/>
      </c>
      <c r="EL694" s="1271" t="str">
        <f t="shared" si="123"/>
        <v/>
      </c>
      <c r="EM694" s="1271" t="str">
        <f t="shared" si="124"/>
        <v/>
      </c>
      <c r="EN694" s="1271" t="str">
        <f t="shared" si="125"/>
        <v/>
      </c>
      <c r="EO694" s="1271" t="str">
        <f t="shared" si="126"/>
        <v/>
      </c>
      <c r="EP694" s="1271" t="str">
        <f t="shared" si="127"/>
        <v/>
      </c>
      <c r="EQ694" s="1271" t="str">
        <f t="shared" si="128"/>
        <v/>
      </c>
      <c r="ER694" s="1271" t="str">
        <f t="shared" si="129"/>
        <v/>
      </c>
      <c r="ES694" s="1271" t="str">
        <f t="shared" si="130"/>
        <v/>
      </c>
      <c r="ET694" s="1271" t="str">
        <f t="shared" si="131"/>
        <v/>
      </c>
      <c r="EU694" s="1271" t="str">
        <f t="shared" si="132"/>
        <v/>
      </c>
      <c r="EV694" s="1271" t="str">
        <f t="shared" si="133"/>
        <v/>
      </c>
      <c r="EW694" s="1519" t="str">
        <f t="shared" si="134"/>
        <v/>
      </c>
      <c r="EX694" s="1519" t="str">
        <f t="shared" si="135"/>
        <v/>
      </c>
      <c r="EY694" s="1519" t="str">
        <f t="shared" si="136"/>
        <v/>
      </c>
      <c r="EZ694" s="1519" t="str">
        <f t="shared" si="137"/>
        <v/>
      </c>
      <c r="FA694" s="1519" t="str">
        <f t="shared" si="138"/>
        <v/>
      </c>
      <c r="FB694" s="1519" t="str">
        <f t="shared" si="139"/>
        <v/>
      </c>
      <c r="FC694" s="1519" t="str">
        <f t="shared" si="140"/>
        <v/>
      </c>
      <c r="FD694" s="1519" t="str">
        <f t="shared" si="141"/>
        <v/>
      </c>
      <c r="FE694" s="1519" t="str">
        <f t="shared" si="142"/>
        <v/>
      </c>
      <c r="FF694" s="1519" t="str">
        <f t="shared" si="143"/>
        <v/>
      </c>
      <c r="FG694" s="1519" t="str">
        <f t="shared" si="144"/>
        <v/>
      </c>
      <c r="FH694" s="1519" t="str">
        <f t="shared" si="145"/>
        <v/>
      </c>
      <c r="FI694" s="1519" t="str">
        <f t="shared" si="146"/>
        <v/>
      </c>
      <c r="FJ694" s="1519" t="str">
        <f t="shared" si="147"/>
        <v/>
      </c>
      <c r="FK694" s="1519" t="str">
        <f t="shared" si="148"/>
        <v/>
      </c>
      <c r="FL694" s="1519" t="str">
        <f t="shared" si="149"/>
        <v/>
      </c>
      <c r="FM694" s="1519" t="str">
        <f t="shared" si="150"/>
        <v/>
      </c>
      <c r="FN694" s="1519" t="str">
        <f t="shared" si="151"/>
        <v/>
      </c>
      <c r="FO694" s="1519" t="str">
        <f t="shared" si="152"/>
        <v/>
      </c>
      <c r="FP694" s="1519" t="str">
        <f t="shared" si="153"/>
        <v/>
      </c>
      <c r="FQ694" s="1519" t="str">
        <f t="shared" si="154"/>
        <v/>
      </c>
      <c r="FR694" s="1519" t="str">
        <f t="shared" si="155"/>
        <v/>
      </c>
      <c r="FS694" s="1519" t="str">
        <f t="shared" si="156"/>
        <v/>
      </c>
      <c r="FT694" s="1519" t="str">
        <f t="shared" si="157"/>
        <v/>
      </c>
      <c r="FU694" s="1519" t="str">
        <f t="shared" si="158"/>
        <v/>
      </c>
      <c r="FV694" s="1519" t="str">
        <f t="shared" si="159"/>
        <v/>
      </c>
      <c r="FW694" s="1519" t="str">
        <f t="shared" si="160"/>
        <v/>
      </c>
      <c r="FX694" s="1519" t="str">
        <f t="shared" si="161"/>
        <v/>
      </c>
      <c r="FY694" s="1519" t="str">
        <f t="shared" si="162"/>
        <v/>
      </c>
      <c r="FZ694" s="1519" t="str">
        <f t="shared" si="163"/>
        <v/>
      </c>
      <c r="GA694" s="1519" t="str">
        <f t="shared" si="164"/>
        <v/>
      </c>
      <c r="GB694" s="1519" t="str">
        <f t="shared" si="165"/>
        <v/>
      </c>
      <c r="GC694" s="1519" t="str">
        <f t="shared" si="166"/>
        <v/>
      </c>
      <c r="GD694" s="1519" t="str">
        <f t="shared" si="167"/>
        <v/>
      </c>
      <c r="GE694" s="1519" t="str">
        <f t="shared" si="168"/>
        <v/>
      </c>
      <c r="GF694" s="1519" t="str">
        <f t="shared" si="169"/>
        <v/>
      </c>
      <c r="GG694" s="1519" t="str">
        <f t="shared" si="170"/>
        <v/>
      </c>
      <c r="GH694" s="1519" t="str">
        <f t="shared" si="171"/>
        <v/>
      </c>
      <c r="GI694" s="1519" t="str">
        <f t="shared" si="172"/>
        <v/>
      </c>
      <c r="GJ694" s="1519" t="str">
        <f t="shared" si="173"/>
        <v/>
      </c>
      <c r="GK694" s="1519" t="str">
        <f t="shared" si="174"/>
        <v/>
      </c>
      <c r="GL694" s="1519" t="str">
        <f t="shared" si="175"/>
        <v/>
      </c>
      <c r="GM694" s="1519" t="str">
        <f t="shared" si="176"/>
        <v/>
      </c>
      <c r="GN694" s="1519" t="str">
        <f t="shared" si="177"/>
        <v/>
      </c>
      <c r="GO694" s="1519" t="str">
        <f t="shared" si="178"/>
        <v/>
      </c>
      <c r="GP694" s="1519" t="str">
        <f t="shared" si="179"/>
        <v/>
      </c>
      <c r="GQ694" s="1519" t="str">
        <f t="shared" si="180"/>
        <v/>
      </c>
      <c r="GR694" s="1519" t="str">
        <f t="shared" si="181"/>
        <v/>
      </c>
      <c r="GS694" s="1519" t="str">
        <f t="shared" si="182"/>
        <v/>
      </c>
      <c r="GT694" s="1519" t="str">
        <f t="shared" si="183"/>
        <v/>
      </c>
      <c r="GU694" s="1519" t="str">
        <f t="shared" si="184"/>
        <v/>
      </c>
      <c r="GV694" s="1519" t="str">
        <f t="shared" si="185"/>
        <v/>
      </c>
      <c r="GW694" s="1519" t="str">
        <f t="shared" si="186"/>
        <v/>
      </c>
      <c r="GX694" s="1519" t="str">
        <f t="shared" si="187"/>
        <v/>
      </c>
      <c r="GY694" s="1519" t="str">
        <f t="shared" si="188"/>
        <v/>
      </c>
      <c r="GZ694" s="1519" t="str">
        <f t="shared" si="189"/>
        <v/>
      </c>
      <c r="HA694" s="1519" t="str">
        <f t="shared" si="190"/>
        <v/>
      </c>
      <c r="HB694" s="1519" t="str">
        <f t="shared" si="191"/>
        <v/>
      </c>
      <c r="HC694" s="1519" t="str">
        <f t="shared" si="192"/>
        <v/>
      </c>
      <c r="HD694" s="1519" t="str">
        <f t="shared" si="193"/>
        <v/>
      </c>
      <c r="HE694" s="1519" t="str">
        <f t="shared" si="194"/>
        <v/>
      </c>
      <c r="HF694" s="1519" t="str">
        <f t="shared" si="195"/>
        <v/>
      </c>
      <c r="HG694" s="1519" t="str">
        <f t="shared" si="196"/>
        <v/>
      </c>
      <c r="HH694" s="1519" t="str">
        <f t="shared" si="197"/>
        <v/>
      </c>
      <c r="HI694" s="1519" t="str">
        <f t="shared" si="198"/>
        <v/>
      </c>
      <c r="HJ694" s="1519" t="str">
        <f t="shared" si="199"/>
        <v/>
      </c>
      <c r="HK694" s="1519" t="str">
        <f t="shared" si="200"/>
        <v/>
      </c>
      <c r="HL694" s="1519" t="str">
        <f t="shared" si="201"/>
        <v/>
      </c>
      <c r="HM694" s="1519" t="str">
        <f t="shared" si="202"/>
        <v/>
      </c>
      <c r="HN694" s="1519" t="str">
        <f t="shared" si="203"/>
        <v/>
      </c>
      <c r="HO694" s="1519" t="str">
        <f t="shared" si="204"/>
        <v/>
      </c>
      <c r="HP694" s="1519" t="str">
        <f t="shared" si="205"/>
        <v/>
      </c>
      <c r="HQ694" s="1519" t="str">
        <f t="shared" si="206"/>
        <v/>
      </c>
      <c r="HR694" s="1519" t="str">
        <f t="shared" si="207"/>
        <v/>
      </c>
      <c r="HS694" s="1519" t="str">
        <f t="shared" si="208"/>
        <v/>
      </c>
      <c r="HT694" s="1519" t="str">
        <f t="shared" si="209"/>
        <v/>
      </c>
      <c r="HU694" s="1519" t="str">
        <f t="shared" si="210"/>
        <v/>
      </c>
      <c r="HV694" s="1519" t="str">
        <f t="shared" si="211"/>
        <v/>
      </c>
      <c r="HW694" s="1519" t="str">
        <f t="shared" si="212"/>
        <v/>
      </c>
      <c r="HX694" s="1519" t="str">
        <f t="shared" si="213"/>
        <v/>
      </c>
      <c r="HY694" s="1519" t="str">
        <f t="shared" si="214"/>
        <v/>
      </c>
      <c r="HZ694" s="1519" t="str">
        <f t="shared" si="215"/>
        <v/>
      </c>
      <c r="IA694" s="1519" t="str">
        <f t="shared" si="216"/>
        <v/>
      </c>
      <c r="IB694" s="1519" t="str">
        <f t="shared" si="217"/>
        <v/>
      </c>
      <c r="IC694" s="1519" t="str">
        <f t="shared" si="218"/>
        <v/>
      </c>
      <c r="ID694" s="1520" t="str">
        <f t="shared" si="219"/>
        <v/>
      </c>
      <c r="IE694" s="1520" t="str">
        <f t="shared" si="220"/>
        <v/>
      </c>
      <c r="IF694" s="1520" t="str">
        <f t="shared" si="221"/>
        <v/>
      </c>
      <c r="IG694" s="1520" t="str">
        <f t="shared" si="222"/>
        <v/>
      </c>
      <c r="IH694" s="1520" t="str">
        <f t="shared" si="223"/>
        <v/>
      </c>
      <c r="II694" s="1271" t="str">
        <f t="shared" si="224"/>
        <v/>
      </c>
      <c r="IJ694" s="1271" t="str">
        <f t="shared" si="225"/>
        <v/>
      </c>
      <c r="IK694" s="1271" t="str">
        <f t="shared" si="226"/>
        <v/>
      </c>
      <c r="IL694" s="1271" t="str">
        <f t="shared" si="227"/>
        <v/>
      </c>
      <c r="IM694" s="1271" t="str">
        <f t="shared" si="228"/>
        <v/>
      </c>
      <c r="IN694" s="1271" t="str">
        <f t="shared" si="229"/>
        <v/>
      </c>
      <c r="IO694" s="1271" t="str">
        <f t="shared" si="230"/>
        <v/>
      </c>
      <c r="IP694" s="1271" t="str">
        <f t="shared" si="231"/>
        <v/>
      </c>
      <c r="IQ694" s="1271" t="str">
        <f t="shared" si="232"/>
        <v/>
      </c>
      <c r="IR694" s="1271" t="str">
        <f t="shared" si="233"/>
        <v/>
      </c>
      <c r="IS694" s="1271" t="str">
        <f t="shared" si="234"/>
        <v/>
      </c>
      <c r="IT694" s="1271" t="str">
        <f t="shared" si="235"/>
        <v/>
      </c>
      <c r="IU694" s="1271" t="str">
        <f t="shared" si="236"/>
        <v/>
      </c>
      <c r="IV694" s="1271" t="str">
        <f t="shared" si="237"/>
        <v/>
      </c>
      <c r="IW694" s="1271" t="str">
        <f t="shared" si="238"/>
        <v/>
      </c>
      <c r="IX694" s="1271" t="str">
        <f t="shared" si="239"/>
        <v/>
      </c>
      <c r="IY694" s="1271" t="str">
        <f t="shared" si="240"/>
        <v/>
      </c>
      <c r="IZ694" s="1271" t="str">
        <f t="shared" si="241"/>
        <v/>
      </c>
      <c r="JA694" s="1271" t="str">
        <f t="shared" si="242"/>
        <v/>
      </c>
      <c r="JB694" s="1271" t="str">
        <f t="shared" si="243"/>
        <v/>
      </c>
      <c r="JC694" s="1518">
        <f t="shared" si="244"/>
        <v>0</v>
      </c>
      <c r="JD694" s="1518">
        <f t="shared" si="245"/>
        <v>0</v>
      </c>
      <c r="JE694" s="1518">
        <f t="shared" si="246"/>
        <v>0</v>
      </c>
      <c r="JF694" s="1518">
        <f t="shared" si="247"/>
        <v>0</v>
      </c>
      <c r="JG694" s="1518">
        <f t="shared" si="248"/>
        <v>0</v>
      </c>
      <c r="JH694" s="1518">
        <f t="shared" si="249"/>
        <v>0</v>
      </c>
      <c r="JI694" s="1518">
        <f t="shared" si="250"/>
        <v>0</v>
      </c>
      <c r="JJ694" s="1518">
        <f t="shared" si="251"/>
        <v>0</v>
      </c>
      <c r="JK694" s="1518">
        <f t="shared" si="252"/>
        <v>0</v>
      </c>
      <c r="JL694" s="1518">
        <f t="shared" si="253"/>
        <v>0</v>
      </c>
      <c r="JM694" s="1518">
        <f t="shared" si="254"/>
        <v>0</v>
      </c>
      <c r="JN694" s="1518">
        <f t="shared" si="255"/>
        <v>0</v>
      </c>
      <c r="JO694" s="1518">
        <f t="shared" si="256"/>
        <v>0</v>
      </c>
      <c r="JP694" s="1518">
        <f t="shared" si="257"/>
        <v>0</v>
      </c>
      <c r="JQ694" s="1518">
        <f t="shared" si="258"/>
        <v>0</v>
      </c>
    </row>
    <row r="695" spans="1:277" ht="12" customHeight="1">
      <c r="A695" s="1687" t="str">
        <f t="shared" si="1"/>
        <v/>
      </c>
      <c r="B695" s="1702" t="str">
        <f>'Part VI-Revenues &amp; Expenses'!B34</f>
        <v>&lt;&lt;Select&gt;&gt;</v>
      </c>
      <c r="C695" s="1703">
        <f>'Part VI-Revenues &amp; Expenses'!C34</f>
        <v>0</v>
      </c>
      <c r="D695" s="1704">
        <f>'Part VI-Revenues &amp; Expenses'!D34</f>
        <v>0</v>
      </c>
      <c r="E695" s="1705">
        <f>'Part VI-Revenues &amp; Expenses'!E34</f>
        <v>0</v>
      </c>
      <c r="F695" s="1705">
        <f>'Part VI-Revenues &amp; Expenses'!F34</f>
        <v>0</v>
      </c>
      <c r="G695" s="1705">
        <f>'Part VI-Revenues &amp; Expenses'!G34</f>
        <v>0</v>
      </c>
      <c r="H695" s="1705">
        <f>'Part VI-Revenues &amp; Expenses'!H34</f>
        <v>0</v>
      </c>
      <c r="I695" s="1705">
        <f>'Part VI-Revenues &amp; Expenses'!I34</f>
        <v>0</v>
      </c>
      <c r="J695" s="1706">
        <f>'Part VI-Revenues &amp; Expenses'!J34</f>
        <v>0</v>
      </c>
      <c r="K695" s="1707">
        <f t="shared" si="2"/>
        <v>0</v>
      </c>
      <c r="L695" s="1707">
        <f t="shared" si="3"/>
        <v>0</v>
      </c>
      <c r="M695" s="1708">
        <f>'Part VI-Revenues &amp; Expenses'!M34</f>
        <v>0</v>
      </c>
      <c r="N695" s="1708">
        <f>'Part VI-Revenues &amp; Expenses'!N34</f>
        <v>0</v>
      </c>
      <c r="O695" s="1708">
        <f>'Part VI-Revenues &amp; Expenses'!O34</f>
        <v>0</v>
      </c>
      <c r="P695" s="1515">
        <f>'Part VI-Revenues &amp; Expenses'!P34</f>
        <v>0</v>
      </c>
      <c r="Q695" s="1709" t="str">
        <f>'Part VI-Revenues &amp; Expenses'!Q34</f>
        <v/>
      </c>
      <c r="R695" s="1710" t="str">
        <f>'Part VI-Revenues &amp; Expenses'!R34</f>
        <v/>
      </c>
      <c r="S695" s="1709">
        <f>'Part VI-Revenues &amp; Expenses'!S34</f>
        <v>0</v>
      </c>
      <c r="T695" s="1710">
        <f>'Part VI-Revenues &amp; Expenses'!T34</f>
        <v>0</v>
      </c>
      <c r="U695" s="1629"/>
      <c r="V695" s="1629"/>
      <c r="W695" s="1271" t="str">
        <f t="shared" si="4"/>
        <v/>
      </c>
      <c r="X695" s="1271" t="str">
        <f t="shared" si="5"/>
        <v/>
      </c>
      <c r="Y695" s="1271" t="str">
        <f t="shared" si="6"/>
        <v/>
      </c>
      <c r="Z695" s="1271" t="str">
        <f t="shared" si="7"/>
        <v/>
      </c>
      <c r="AA695" s="1271" t="str">
        <f t="shared" si="8"/>
        <v/>
      </c>
      <c r="AB695" s="1271" t="str">
        <f t="shared" si="9"/>
        <v/>
      </c>
      <c r="AC695" s="1271" t="str">
        <f t="shared" si="10"/>
        <v/>
      </c>
      <c r="AD695" s="1271" t="str">
        <f t="shared" si="11"/>
        <v/>
      </c>
      <c r="AE695" s="1271" t="str">
        <f t="shared" si="12"/>
        <v/>
      </c>
      <c r="AF695" s="1271" t="str">
        <f t="shared" si="13"/>
        <v/>
      </c>
      <c r="AG695" s="1271" t="str">
        <f t="shared" si="14"/>
        <v/>
      </c>
      <c r="AH695" s="1271" t="str">
        <f t="shared" si="15"/>
        <v/>
      </c>
      <c r="AI695" s="1271" t="str">
        <f t="shared" si="16"/>
        <v/>
      </c>
      <c r="AJ695" s="1271" t="str">
        <f t="shared" si="17"/>
        <v/>
      </c>
      <c r="AK695" s="1271" t="str">
        <f t="shared" si="18"/>
        <v/>
      </c>
      <c r="AL695" s="1271" t="str">
        <f t="shared" si="19"/>
        <v/>
      </c>
      <c r="AM695" s="1271" t="str">
        <f t="shared" si="20"/>
        <v/>
      </c>
      <c r="AN695" s="1271" t="str">
        <f t="shared" si="21"/>
        <v/>
      </c>
      <c r="AO695" s="1271" t="str">
        <f t="shared" si="22"/>
        <v/>
      </c>
      <c r="AP695" s="1271" t="str">
        <f t="shared" si="23"/>
        <v/>
      </c>
      <c r="AQ695" s="1271" t="str">
        <f t="shared" si="24"/>
        <v/>
      </c>
      <c r="AR695" s="1271" t="str">
        <f t="shared" si="25"/>
        <v/>
      </c>
      <c r="AS695" s="1271" t="str">
        <f t="shared" si="26"/>
        <v/>
      </c>
      <c r="AT695" s="1271" t="str">
        <f t="shared" si="27"/>
        <v/>
      </c>
      <c r="AU695" s="1271" t="str">
        <f t="shared" si="28"/>
        <v/>
      </c>
      <c r="AV695" s="1271" t="str">
        <f t="shared" si="29"/>
        <v/>
      </c>
      <c r="AW695" s="1271" t="str">
        <f t="shared" si="30"/>
        <v/>
      </c>
      <c r="AX695" s="1271" t="str">
        <f t="shared" si="31"/>
        <v/>
      </c>
      <c r="AY695" s="1271" t="str">
        <f t="shared" si="32"/>
        <v/>
      </c>
      <c r="AZ695" s="1271" t="str">
        <f t="shared" si="33"/>
        <v/>
      </c>
      <c r="BA695" s="1271" t="str">
        <f t="shared" si="34"/>
        <v/>
      </c>
      <c r="BB695" s="1271" t="str">
        <f t="shared" si="35"/>
        <v/>
      </c>
      <c r="BC695" s="1271" t="str">
        <f t="shared" si="36"/>
        <v/>
      </c>
      <c r="BD695" s="1271" t="str">
        <f t="shared" si="37"/>
        <v/>
      </c>
      <c r="BE695" s="1271" t="str">
        <f t="shared" si="38"/>
        <v/>
      </c>
      <c r="BF695" s="1271" t="str">
        <f t="shared" si="39"/>
        <v/>
      </c>
      <c r="BG695" s="1271" t="str">
        <f t="shared" si="40"/>
        <v/>
      </c>
      <c r="BH695" s="1271" t="str">
        <f t="shared" si="41"/>
        <v/>
      </c>
      <c r="BI695" s="1271" t="str">
        <f t="shared" si="42"/>
        <v/>
      </c>
      <c r="BJ695" s="1271" t="str">
        <f t="shared" si="43"/>
        <v/>
      </c>
      <c r="BK695" s="1271" t="str">
        <f t="shared" si="44"/>
        <v/>
      </c>
      <c r="BL695" s="1271" t="str">
        <f t="shared" si="45"/>
        <v/>
      </c>
      <c r="BM695" s="1271" t="str">
        <f t="shared" si="46"/>
        <v/>
      </c>
      <c r="BN695" s="1271" t="str">
        <f t="shared" si="47"/>
        <v/>
      </c>
      <c r="BO695" s="1271" t="str">
        <f t="shared" si="48"/>
        <v/>
      </c>
      <c r="BP695" s="1271" t="str">
        <f t="shared" si="49"/>
        <v/>
      </c>
      <c r="BQ695" s="1271" t="str">
        <f t="shared" si="50"/>
        <v/>
      </c>
      <c r="BR695" s="1271" t="str">
        <f t="shared" si="51"/>
        <v/>
      </c>
      <c r="BS695" s="1271" t="str">
        <f t="shared" si="52"/>
        <v/>
      </c>
      <c r="BT695" s="1271" t="str">
        <f t="shared" si="53"/>
        <v/>
      </c>
      <c r="BU695" s="1271" t="str">
        <f t="shared" si="54"/>
        <v/>
      </c>
      <c r="BV695" s="1271" t="str">
        <f t="shared" si="55"/>
        <v/>
      </c>
      <c r="BW695" s="1271" t="str">
        <f t="shared" si="56"/>
        <v/>
      </c>
      <c r="BX695" s="1271" t="str">
        <f t="shared" si="57"/>
        <v/>
      </c>
      <c r="BY695" s="1271" t="str">
        <f t="shared" si="58"/>
        <v/>
      </c>
      <c r="BZ695" s="1271" t="str">
        <f t="shared" si="59"/>
        <v/>
      </c>
      <c r="CA695" s="1271" t="str">
        <f t="shared" si="60"/>
        <v/>
      </c>
      <c r="CB695" s="1271" t="str">
        <f t="shared" si="61"/>
        <v/>
      </c>
      <c r="CC695" s="1271" t="str">
        <f t="shared" si="62"/>
        <v/>
      </c>
      <c r="CD695" s="1271" t="str">
        <f t="shared" si="63"/>
        <v/>
      </c>
      <c r="CE695" s="1271" t="str">
        <f t="shared" si="64"/>
        <v/>
      </c>
      <c r="CF695" s="1271" t="str">
        <f t="shared" si="65"/>
        <v/>
      </c>
      <c r="CG695" s="1271" t="str">
        <f t="shared" si="66"/>
        <v/>
      </c>
      <c r="CH695" s="1271" t="str">
        <f t="shared" si="67"/>
        <v/>
      </c>
      <c r="CI695" s="1271" t="str">
        <f t="shared" si="68"/>
        <v/>
      </c>
      <c r="CJ695" s="1271" t="str">
        <f t="shared" si="69"/>
        <v/>
      </c>
      <c r="CK695" s="1271" t="str">
        <f t="shared" si="70"/>
        <v/>
      </c>
      <c r="CL695" s="1271" t="str">
        <f t="shared" si="71"/>
        <v/>
      </c>
      <c r="CM695" s="1271" t="str">
        <f t="shared" si="72"/>
        <v/>
      </c>
      <c r="CN695" s="1271" t="str">
        <f t="shared" si="73"/>
        <v/>
      </c>
      <c r="CO695" s="1271" t="str">
        <f t="shared" si="74"/>
        <v/>
      </c>
      <c r="CP695" s="1271" t="str">
        <f t="shared" si="75"/>
        <v/>
      </c>
      <c r="CQ695" s="1271" t="str">
        <f t="shared" si="76"/>
        <v/>
      </c>
      <c r="CR695" s="1271" t="str">
        <f t="shared" si="77"/>
        <v/>
      </c>
      <c r="CS695" s="1271" t="str">
        <f t="shared" si="78"/>
        <v/>
      </c>
      <c r="CT695" s="1271" t="str">
        <f t="shared" si="79"/>
        <v/>
      </c>
      <c r="CU695" s="1271" t="str">
        <f t="shared" si="80"/>
        <v/>
      </c>
      <c r="CV695" s="1271" t="str">
        <f t="shared" si="81"/>
        <v/>
      </c>
      <c r="CW695" s="1271" t="str">
        <f t="shared" si="82"/>
        <v/>
      </c>
      <c r="CX695" s="1271" t="str">
        <f t="shared" si="83"/>
        <v/>
      </c>
      <c r="CY695" s="1271" t="str">
        <f t="shared" si="84"/>
        <v/>
      </c>
      <c r="CZ695" s="1271" t="str">
        <f t="shared" si="85"/>
        <v/>
      </c>
      <c r="DA695" s="1271" t="str">
        <f t="shared" si="86"/>
        <v/>
      </c>
      <c r="DB695" s="1271" t="str">
        <f t="shared" si="87"/>
        <v/>
      </c>
      <c r="DC695" s="1271" t="str">
        <f t="shared" si="88"/>
        <v/>
      </c>
      <c r="DD695" s="1271" t="str">
        <f t="shared" si="89"/>
        <v/>
      </c>
      <c r="DE695" s="1271" t="str">
        <f t="shared" si="90"/>
        <v/>
      </c>
      <c r="DF695" s="1271" t="str">
        <f t="shared" si="91"/>
        <v/>
      </c>
      <c r="DG695" s="1271" t="str">
        <f t="shared" si="92"/>
        <v/>
      </c>
      <c r="DH695" s="1271" t="str">
        <f t="shared" si="93"/>
        <v/>
      </c>
      <c r="DI695" s="1271" t="str">
        <f t="shared" si="94"/>
        <v/>
      </c>
      <c r="DJ695" s="1271" t="str">
        <f t="shared" si="95"/>
        <v/>
      </c>
      <c r="DK695" s="1271" t="str">
        <f t="shared" si="96"/>
        <v/>
      </c>
      <c r="DL695" s="1271" t="str">
        <f t="shared" si="97"/>
        <v/>
      </c>
      <c r="DM695" s="1271" t="str">
        <f t="shared" si="98"/>
        <v/>
      </c>
      <c r="DN695" s="1271" t="str">
        <f t="shared" si="99"/>
        <v/>
      </c>
      <c r="DO695" s="1271" t="str">
        <f t="shared" si="100"/>
        <v/>
      </c>
      <c r="DP695" s="1271" t="str">
        <f t="shared" si="101"/>
        <v/>
      </c>
      <c r="DQ695" s="1271" t="str">
        <f t="shared" si="102"/>
        <v/>
      </c>
      <c r="DR695" s="1271" t="str">
        <f t="shared" si="103"/>
        <v/>
      </c>
      <c r="DS695" s="1271" t="str">
        <f t="shared" si="104"/>
        <v/>
      </c>
      <c r="DT695" s="1271" t="str">
        <f t="shared" si="105"/>
        <v/>
      </c>
      <c r="DU695" s="1271" t="str">
        <f t="shared" si="106"/>
        <v/>
      </c>
      <c r="DV695" s="1271" t="str">
        <f t="shared" si="107"/>
        <v/>
      </c>
      <c r="DW695" s="1271" t="str">
        <f t="shared" si="108"/>
        <v/>
      </c>
      <c r="DX695" s="1271" t="str">
        <f t="shared" si="109"/>
        <v/>
      </c>
      <c r="DY695" s="1271" t="str">
        <f t="shared" si="110"/>
        <v/>
      </c>
      <c r="DZ695" s="1271" t="str">
        <f t="shared" si="111"/>
        <v/>
      </c>
      <c r="EA695" s="1271" t="str">
        <f t="shared" si="112"/>
        <v/>
      </c>
      <c r="EB695" s="1271" t="str">
        <f t="shared" si="113"/>
        <v/>
      </c>
      <c r="EC695" s="1271" t="str">
        <f t="shared" si="114"/>
        <v/>
      </c>
      <c r="ED695" s="1271" t="str">
        <f t="shared" si="115"/>
        <v/>
      </c>
      <c r="EE695" s="1271" t="str">
        <f t="shared" si="116"/>
        <v/>
      </c>
      <c r="EF695" s="1271" t="str">
        <f t="shared" si="117"/>
        <v/>
      </c>
      <c r="EG695" s="1271" t="str">
        <f t="shared" si="118"/>
        <v/>
      </c>
      <c r="EH695" s="1271" t="str">
        <f t="shared" si="119"/>
        <v/>
      </c>
      <c r="EI695" s="1271" t="str">
        <f t="shared" si="120"/>
        <v/>
      </c>
      <c r="EJ695" s="1271" t="str">
        <f t="shared" si="121"/>
        <v/>
      </c>
      <c r="EK695" s="1271" t="str">
        <f t="shared" si="122"/>
        <v/>
      </c>
      <c r="EL695" s="1271" t="str">
        <f t="shared" si="123"/>
        <v/>
      </c>
      <c r="EM695" s="1271" t="str">
        <f t="shared" si="124"/>
        <v/>
      </c>
      <c r="EN695" s="1271" t="str">
        <f t="shared" si="125"/>
        <v/>
      </c>
      <c r="EO695" s="1271" t="str">
        <f t="shared" si="126"/>
        <v/>
      </c>
      <c r="EP695" s="1271" t="str">
        <f t="shared" si="127"/>
        <v/>
      </c>
      <c r="EQ695" s="1271" t="str">
        <f t="shared" si="128"/>
        <v/>
      </c>
      <c r="ER695" s="1271" t="str">
        <f t="shared" si="129"/>
        <v/>
      </c>
      <c r="ES695" s="1271" t="str">
        <f t="shared" si="130"/>
        <v/>
      </c>
      <c r="ET695" s="1271" t="str">
        <f t="shared" si="131"/>
        <v/>
      </c>
      <c r="EU695" s="1271" t="str">
        <f t="shared" si="132"/>
        <v/>
      </c>
      <c r="EV695" s="1271" t="str">
        <f t="shared" si="133"/>
        <v/>
      </c>
      <c r="EW695" s="1519" t="str">
        <f t="shared" si="134"/>
        <v/>
      </c>
      <c r="EX695" s="1519" t="str">
        <f t="shared" si="135"/>
        <v/>
      </c>
      <c r="EY695" s="1519" t="str">
        <f t="shared" si="136"/>
        <v/>
      </c>
      <c r="EZ695" s="1519" t="str">
        <f t="shared" si="137"/>
        <v/>
      </c>
      <c r="FA695" s="1519" t="str">
        <f t="shared" si="138"/>
        <v/>
      </c>
      <c r="FB695" s="1519" t="str">
        <f t="shared" si="139"/>
        <v/>
      </c>
      <c r="FC695" s="1519" t="str">
        <f t="shared" si="140"/>
        <v/>
      </c>
      <c r="FD695" s="1519" t="str">
        <f t="shared" si="141"/>
        <v/>
      </c>
      <c r="FE695" s="1519" t="str">
        <f t="shared" si="142"/>
        <v/>
      </c>
      <c r="FF695" s="1519" t="str">
        <f t="shared" si="143"/>
        <v/>
      </c>
      <c r="FG695" s="1519" t="str">
        <f t="shared" si="144"/>
        <v/>
      </c>
      <c r="FH695" s="1519" t="str">
        <f t="shared" si="145"/>
        <v/>
      </c>
      <c r="FI695" s="1519" t="str">
        <f t="shared" si="146"/>
        <v/>
      </c>
      <c r="FJ695" s="1519" t="str">
        <f t="shared" si="147"/>
        <v/>
      </c>
      <c r="FK695" s="1519" t="str">
        <f t="shared" si="148"/>
        <v/>
      </c>
      <c r="FL695" s="1519" t="str">
        <f t="shared" si="149"/>
        <v/>
      </c>
      <c r="FM695" s="1519" t="str">
        <f t="shared" si="150"/>
        <v/>
      </c>
      <c r="FN695" s="1519" t="str">
        <f t="shared" si="151"/>
        <v/>
      </c>
      <c r="FO695" s="1519" t="str">
        <f t="shared" si="152"/>
        <v/>
      </c>
      <c r="FP695" s="1519" t="str">
        <f t="shared" si="153"/>
        <v/>
      </c>
      <c r="FQ695" s="1519" t="str">
        <f t="shared" si="154"/>
        <v/>
      </c>
      <c r="FR695" s="1519" t="str">
        <f t="shared" si="155"/>
        <v/>
      </c>
      <c r="FS695" s="1519" t="str">
        <f t="shared" si="156"/>
        <v/>
      </c>
      <c r="FT695" s="1519" t="str">
        <f t="shared" si="157"/>
        <v/>
      </c>
      <c r="FU695" s="1519" t="str">
        <f t="shared" si="158"/>
        <v/>
      </c>
      <c r="FV695" s="1519" t="str">
        <f t="shared" si="159"/>
        <v/>
      </c>
      <c r="FW695" s="1519" t="str">
        <f t="shared" si="160"/>
        <v/>
      </c>
      <c r="FX695" s="1519" t="str">
        <f t="shared" si="161"/>
        <v/>
      </c>
      <c r="FY695" s="1519" t="str">
        <f t="shared" si="162"/>
        <v/>
      </c>
      <c r="FZ695" s="1519" t="str">
        <f t="shared" si="163"/>
        <v/>
      </c>
      <c r="GA695" s="1519" t="str">
        <f t="shared" si="164"/>
        <v/>
      </c>
      <c r="GB695" s="1519" t="str">
        <f t="shared" si="165"/>
        <v/>
      </c>
      <c r="GC695" s="1519" t="str">
        <f t="shared" si="166"/>
        <v/>
      </c>
      <c r="GD695" s="1519" t="str">
        <f t="shared" si="167"/>
        <v/>
      </c>
      <c r="GE695" s="1519" t="str">
        <f t="shared" si="168"/>
        <v/>
      </c>
      <c r="GF695" s="1519" t="str">
        <f t="shared" si="169"/>
        <v/>
      </c>
      <c r="GG695" s="1519" t="str">
        <f t="shared" si="170"/>
        <v/>
      </c>
      <c r="GH695" s="1519" t="str">
        <f t="shared" si="171"/>
        <v/>
      </c>
      <c r="GI695" s="1519" t="str">
        <f t="shared" si="172"/>
        <v/>
      </c>
      <c r="GJ695" s="1519" t="str">
        <f t="shared" si="173"/>
        <v/>
      </c>
      <c r="GK695" s="1519" t="str">
        <f t="shared" si="174"/>
        <v/>
      </c>
      <c r="GL695" s="1519" t="str">
        <f t="shared" si="175"/>
        <v/>
      </c>
      <c r="GM695" s="1519" t="str">
        <f t="shared" si="176"/>
        <v/>
      </c>
      <c r="GN695" s="1519" t="str">
        <f t="shared" si="177"/>
        <v/>
      </c>
      <c r="GO695" s="1519" t="str">
        <f t="shared" si="178"/>
        <v/>
      </c>
      <c r="GP695" s="1519" t="str">
        <f t="shared" si="179"/>
        <v/>
      </c>
      <c r="GQ695" s="1519" t="str">
        <f t="shared" si="180"/>
        <v/>
      </c>
      <c r="GR695" s="1519" t="str">
        <f t="shared" si="181"/>
        <v/>
      </c>
      <c r="GS695" s="1519" t="str">
        <f t="shared" si="182"/>
        <v/>
      </c>
      <c r="GT695" s="1519" t="str">
        <f t="shared" si="183"/>
        <v/>
      </c>
      <c r="GU695" s="1519" t="str">
        <f t="shared" si="184"/>
        <v/>
      </c>
      <c r="GV695" s="1519" t="str">
        <f t="shared" si="185"/>
        <v/>
      </c>
      <c r="GW695" s="1519" t="str">
        <f t="shared" si="186"/>
        <v/>
      </c>
      <c r="GX695" s="1519" t="str">
        <f t="shared" si="187"/>
        <v/>
      </c>
      <c r="GY695" s="1519" t="str">
        <f t="shared" si="188"/>
        <v/>
      </c>
      <c r="GZ695" s="1519" t="str">
        <f t="shared" si="189"/>
        <v/>
      </c>
      <c r="HA695" s="1519" t="str">
        <f t="shared" si="190"/>
        <v/>
      </c>
      <c r="HB695" s="1519" t="str">
        <f t="shared" si="191"/>
        <v/>
      </c>
      <c r="HC695" s="1519" t="str">
        <f t="shared" si="192"/>
        <v/>
      </c>
      <c r="HD695" s="1519" t="str">
        <f t="shared" si="193"/>
        <v/>
      </c>
      <c r="HE695" s="1519" t="str">
        <f t="shared" si="194"/>
        <v/>
      </c>
      <c r="HF695" s="1519" t="str">
        <f t="shared" si="195"/>
        <v/>
      </c>
      <c r="HG695" s="1519" t="str">
        <f t="shared" si="196"/>
        <v/>
      </c>
      <c r="HH695" s="1519" t="str">
        <f t="shared" si="197"/>
        <v/>
      </c>
      <c r="HI695" s="1519" t="str">
        <f t="shared" si="198"/>
        <v/>
      </c>
      <c r="HJ695" s="1519" t="str">
        <f t="shared" si="199"/>
        <v/>
      </c>
      <c r="HK695" s="1519" t="str">
        <f t="shared" si="200"/>
        <v/>
      </c>
      <c r="HL695" s="1519" t="str">
        <f t="shared" si="201"/>
        <v/>
      </c>
      <c r="HM695" s="1519" t="str">
        <f t="shared" si="202"/>
        <v/>
      </c>
      <c r="HN695" s="1519" t="str">
        <f t="shared" si="203"/>
        <v/>
      </c>
      <c r="HO695" s="1519" t="str">
        <f t="shared" si="204"/>
        <v/>
      </c>
      <c r="HP695" s="1519" t="str">
        <f t="shared" si="205"/>
        <v/>
      </c>
      <c r="HQ695" s="1519" t="str">
        <f t="shared" si="206"/>
        <v/>
      </c>
      <c r="HR695" s="1519" t="str">
        <f t="shared" si="207"/>
        <v/>
      </c>
      <c r="HS695" s="1519" t="str">
        <f t="shared" si="208"/>
        <v/>
      </c>
      <c r="HT695" s="1519" t="str">
        <f t="shared" si="209"/>
        <v/>
      </c>
      <c r="HU695" s="1519" t="str">
        <f t="shared" si="210"/>
        <v/>
      </c>
      <c r="HV695" s="1519" t="str">
        <f t="shared" si="211"/>
        <v/>
      </c>
      <c r="HW695" s="1519" t="str">
        <f t="shared" si="212"/>
        <v/>
      </c>
      <c r="HX695" s="1519" t="str">
        <f t="shared" si="213"/>
        <v/>
      </c>
      <c r="HY695" s="1519" t="str">
        <f t="shared" si="214"/>
        <v/>
      </c>
      <c r="HZ695" s="1519" t="str">
        <f t="shared" si="215"/>
        <v/>
      </c>
      <c r="IA695" s="1519" t="str">
        <f t="shared" si="216"/>
        <v/>
      </c>
      <c r="IB695" s="1519" t="str">
        <f t="shared" si="217"/>
        <v/>
      </c>
      <c r="IC695" s="1519" t="str">
        <f t="shared" si="218"/>
        <v/>
      </c>
      <c r="ID695" s="1520" t="str">
        <f t="shared" si="219"/>
        <v/>
      </c>
      <c r="IE695" s="1520" t="str">
        <f t="shared" si="220"/>
        <v/>
      </c>
      <c r="IF695" s="1520" t="str">
        <f t="shared" si="221"/>
        <v/>
      </c>
      <c r="IG695" s="1520" t="str">
        <f t="shared" si="222"/>
        <v/>
      </c>
      <c r="IH695" s="1520" t="str">
        <f t="shared" si="223"/>
        <v/>
      </c>
      <c r="II695" s="1271" t="str">
        <f t="shared" si="224"/>
        <v/>
      </c>
      <c r="IJ695" s="1271" t="str">
        <f t="shared" si="225"/>
        <v/>
      </c>
      <c r="IK695" s="1271" t="str">
        <f t="shared" si="226"/>
        <v/>
      </c>
      <c r="IL695" s="1271" t="str">
        <f t="shared" si="227"/>
        <v/>
      </c>
      <c r="IM695" s="1271" t="str">
        <f t="shared" si="228"/>
        <v/>
      </c>
      <c r="IN695" s="1271" t="str">
        <f t="shared" si="229"/>
        <v/>
      </c>
      <c r="IO695" s="1271" t="str">
        <f t="shared" si="230"/>
        <v/>
      </c>
      <c r="IP695" s="1271" t="str">
        <f t="shared" si="231"/>
        <v/>
      </c>
      <c r="IQ695" s="1271" t="str">
        <f t="shared" si="232"/>
        <v/>
      </c>
      <c r="IR695" s="1271" t="str">
        <f t="shared" si="233"/>
        <v/>
      </c>
      <c r="IS695" s="1271" t="str">
        <f t="shared" si="234"/>
        <v/>
      </c>
      <c r="IT695" s="1271" t="str">
        <f t="shared" si="235"/>
        <v/>
      </c>
      <c r="IU695" s="1271" t="str">
        <f t="shared" si="236"/>
        <v/>
      </c>
      <c r="IV695" s="1271" t="str">
        <f t="shared" si="237"/>
        <v/>
      </c>
      <c r="IW695" s="1271" t="str">
        <f t="shared" si="238"/>
        <v/>
      </c>
      <c r="IX695" s="1271" t="str">
        <f t="shared" si="239"/>
        <v/>
      </c>
      <c r="IY695" s="1271" t="str">
        <f t="shared" si="240"/>
        <v/>
      </c>
      <c r="IZ695" s="1271" t="str">
        <f t="shared" si="241"/>
        <v/>
      </c>
      <c r="JA695" s="1271" t="str">
        <f t="shared" si="242"/>
        <v/>
      </c>
      <c r="JB695" s="1271" t="str">
        <f t="shared" si="243"/>
        <v/>
      </c>
      <c r="JC695" s="1518">
        <f t="shared" si="244"/>
        <v>0</v>
      </c>
      <c r="JD695" s="1518">
        <f t="shared" si="245"/>
        <v>0</v>
      </c>
      <c r="JE695" s="1518">
        <f t="shared" si="246"/>
        <v>0</v>
      </c>
      <c r="JF695" s="1518">
        <f t="shared" si="247"/>
        <v>0</v>
      </c>
      <c r="JG695" s="1518">
        <f t="shared" si="248"/>
        <v>0</v>
      </c>
      <c r="JH695" s="1518">
        <f t="shared" si="249"/>
        <v>0</v>
      </c>
      <c r="JI695" s="1518">
        <f t="shared" si="250"/>
        <v>0</v>
      </c>
      <c r="JJ695" s="1518">
        <f t="shared" si="251"/>
        <v>0</v>
      </c>
      <c r="JK695" s="1518">
        <f t="shared" si="252"/>
        <v>0</v>
      </c>
      <c r="JL695" s="1518">
        <f t="shared" si="253"/>
        <v>0</v>
      </c>
      <c r="JM695" s="1518">
        <f t="shared" si="254"/>
        <v>0</v>
      </c>
      <c r="JN695" s="1518">
        <f t="shared" si="255"/>
        <v>0</v>
      </c>
      <c r="JO695" s="1518">
        <f t="shared" si="256"/>
        <v>0</v>
      </c>
      <c r="JP695" s="1518">
        <f t="shared" si="257"/>
        <v>0</v>
      </c>
      <c r="JQ695" s="1518">
        <f t="shared" si="258"/>
        <v>0</v>
      </c>
    </row>
    <row r="696" spans="1:277" ht="12" customHeight="1">
      <c r="A696" s="1687" t="str">
        <f t="shared" si="1"/>
        <v/>
      </c>
      <c r="B696" s="1702" t="str">
        <f>'Part VI-Revenues &amp; Expenses'!B35</f>
        <v>&lt;&lt;Select&gt;&gt;</v>
      </c>
      <c r="C696" s="1703">
        <f>'Part VI-Revenues &amp; Expenses'!C35</f>
        <v>0</v>
      </c>
      <c r="D696" s="1704">
        <f>'Part VI-Revenues &amp; Expenses'!D35</f>
        <v>0</v>
      </c>
      <c r="E696" s="1705">
        <f>'Part VI-Revenues &amp; Expenses'!E35</f>
        <v>0</v>
      </c>
      <c r="F696" s="1705">
        <f>'Part VI-Revenues &amp; Expenses'!F35</f>
        <v>0</v>
      </c>
      <c r="G696" s="1705">
        <f>'Part VI-Revenues &amp; Expenses'!G35</f>
        <v>0</v>
      </c>
      <c r="H696" s="1705">
        <f>'Part VI-Revenues &amp; Expenses'!H35</f>
        <v>0</v>
      </c>
      <c r="I696" s="1705">
        <f>'Part VI-Revenues &amp; Expenses'!I35</f>
        <v>0</v>
      </c>
      <c r="J696" s="1706">
        <f>'Part VI-Revenues &amp; Expenses'!J35</f>
        <v>0</v>
      </c>
      <c r="K696" s="1707">
        <f t="shared" si="2"/>
        <v>0</v>
      </c>
      <c r="L696" s="1707">
        <f t="shared" si="3"/>
        <v>0</v>
      </c>
      <c r="M696" s="1708">
        <f>'Part VI-Revenues &amp; Expenses'!M35</f>
        <v>0</v>
      </c>
      <c r="N696" s="1708">
        <f>'Part VI-Revenues &amp; Expenses'!N35</f>
        <v>0</v>
      </c>
      <c r="O696" s="1708">
        <f>'Part VI-Revenues &amp; Expenses'!O35</f>
        <v>0</v>
      </c>
      <c r="P696" s="1515">
        <f>'Part VI-Revenues &amp; Expenses'!P35</f>
        <v>0</v>
      </c>
      <c r="Q696" s="1709" t="str">
        <f>'Part VI-Revenues &amp; Expenses'!Q35</f>
        <v/>
      </c>
      <c r="R696" s="1710" t="str">
        <f>'Part VI-Revenues &amp; Expenses'!R35</f>
        <v/>
      </c>
      <c r="S696" s="1709">
        <f>'Part VI-Revenues &amp; Expenses'!S35</f>
        <v>0</v>
      </c>
      <c r="T696" s="1710">
        <f>'Part VI-Revenues &amp; Expenses'!T35</f>
        <v>0</v>
      </c>
      <c r="U696" s="1629"/>
      <c r="V696" s="1629"/>
      <c r="W696" s="1271" t="str">
        <f t="shared" si="4"/>
        <v/>
      </c>
      <c r="X696" s="1271" t="str">
        <f t="shared" si="5"/>
        <v/>
      </c>
      <c r="Y696" s="1271" t="str">
        <f t="shared" si="6"/>
        <v/>
      </c>
      <c r="Z696" s="1271" t="str">
        <f t="shared" si="7"/>
        <v/>
      </c>
      <c r="AA696" s="1271" t="str">
        <f t="shared" si="8"/>
        <v/>
      </c>
      <c r="AB696" s="1271" t="str">
        <f t="shared" si="9"/>
        <v/>
      </c>
      <c r="AC696" s="1271" t="str">
        <f t="shared" si="10"/>
        <v/>
      </c>
      <c r="AD696" s="1271" t="str">
        <f t="shared" si="11"/>
        <v/>
      </c>
      <c r="AE696" s="1271" t="str">
        <f t="shared" si="12"/>
        <v/>
      </c>
      <c r="AF696" s="1271" t="str">
        <f t="shared" si="13"/>
        <v/>
      </c>
      <c r="AG696" s="1271" t="str">
        <f t="shared" si="14"/>
        <v/>
      </c>
      <c r="AH696" s="1271" t="str">
        <f t="shared" si="15"/>
        <v/>
      </c>
      <c r="AI696" s="1271" t="str">
        <f t="shared" si="16"/>
        <v/>
      </c>
      <c r="AJ696" s="1271" t="str">
        <f t="shared" si="17"/>
        <v/>
      </c>
      <c r="AK696" s="1271" t="str">
        <f t="shared" si="18"/>
        <v/>
      </c>
      <c r="AL696" s="1271" t="str">
        <f t="shared" si="19"/>
        <v/>
      </c>
      <c r="AM696" s="1271" t="str">
        <f t="shared" si="20"/>
        <v/>
      </c>
      <c r="AN696" s="1271" t="str">
        <f t="shared" si="21"/>
        <v/>
      </c>
      <c r="AO696" s="1271" t="str">
        <f t="shared" si="22"/>
        <v/>
      </c>
      <c r="AP696" s="1271" t="str">
        <f t="shared" si="23"/>
        <v/>
      </c>
      <c r="AQ696" s="1271" t="str">
        <f t="shared" si="24"/>
        <v/>
      </c>
      <c r="AR696" s="1271" t="str">
        <f t="shared" si="25"/>
        <v/>
      </c>
      <c r="AS696" s="1271" t="str">
        <f t="shared" si="26"/>
        <v/>
      </c>
      <c r="AT696" s="1271" t="str">
        <f t="shared" si="27"/>
        <v/>
      </c>
      <c r="AU696" s="1271" t="str">
        <f t="shared" si="28"/>
        <v/>
      </c>
      <c r="AV696" s="1271" t="str">
        <f t="shared" si="29"/>
        <v/>
      </c>
      <c r="AW696" s="1271" t="str">
        <f t="shared" si="30"/>
        <v/>
      </c>
      <c r="AX696" s="1271" t="str">
        <f t="shared" si="31"/>
        <v/>
      </c>
      <c r="AY696" s="1271" t="str">
        <f t="shared" si="32"/>
        <v/>
      </c>
      <c r="AZ696" s="1271" t="str">
        <f t="shared" si="33"/>
        <v/>
      </c>
      <c r="BA696" s="1271" t="str">
        <f t="shared" si="34"/>
        <v/>
      </c>
      <c r="BB696" s="1271" t="str">
        <f t="shared" si="35"/>
        <v/>
      </c>
      <c r="BC696" s="1271" t="str">
        <f t="shared" si="36"/>
        <v/>
      </c>
      <c r="BD696" s="1271" t="str">
        <f t="shared" si="37"/>
        <v/>
      </c>
      <c r="BE696" s="1271" t="str">
        <f t="shared" si="38"/>
        <v/>
      </c>
      <c r="BF696" s="1271" t="str">
        <f t="shared" si="39"/>
        <v/>
      </c>
      <c r="BG696" s="1271" t="str">
        <f t="shared" si="40"/>
        <v/>
      </c>
      <c r="BH696" s="1271" t="str">
        <f t="shared" si="41"/>
        <v/>
      </c>
      <c r="BI696" s="1271" t="str">
        <f t="shared" si="42"/>
        <v/>
      </c>
      <c r="BJ696" s="1271" t="str">
        <f t="shared" si="43"/>
        <v/>
      </c>
      <c r="BK696" s="1271" t="str">
        <f t="shared" si="44"/>
        <v/>
      </c>
      <c r="BL696" s="1271" t="str">
        <f t="shared" si="45"/>
        <v/>
      </c>
      <c r="BM696" s="1271" t="str">
        <f t="shared" si="46"/>
        <v/>
      </c>
      <c r="BN696" s="1271" t="str">
        <f t="shared" si="47"/>
        <v/>
      </c>
      <c r="BO696" s="1271" t="str">
        <f t="shared" si="48"/>
        <v/>
      </c>
      <c r="BP696" s="1271" t="str">
        <f t="shared" si="49"/>
        <v/>
      </c>
      <c r="BQ696" s="1271" t="str">
        <f t="shared" si="50"/>
        <v/>
      </c>
      <c r="BR696" s="1271" t="str">
        <f t="shared" si="51"/>
        <v/>
      </c>
      <c r="BS696" s="1271" t="str">
        <f t="shared" si="52"/>
        <v/>
      </c>
      <c r="BT696" s="1271" t="str">
        <f t="shared" si="53"/>
        <v/>
      </c>
      <c r="BU696" s="1271" t="str">
        <f t="shared" si="54"/>
        <v/>
      </c>
      <c r="BV696" s="1271" t="str">
        <f t="shared" si="55"/>
        <v/>
      </c>
      <c r="BW696" s="1271" t="str">
        <f t="shared" si="56"/>
        <v/>
      </c>
      <c r="BX696" s="1271" t="str">
        <f t="shared" si="57"/>
        <v/>
      </c>
      <c r="BY696" s="1271" t="str">
        <f t="shared" si="58"/>
        <v/>
      </c>
      <c r="BZ696" s="1271" t="str">
        <f t="shared" si="59"/>
        <v/>
      </c>
      <c r="CA696" s="1271" t="str">
        <f t="shared" si="60"/>
        <v/>
      </c>
      <c r="CB696" s="1271" t="str">
        <f t="shared" si="61"/>
        <v/>
      </c>
      <c r="CC696" s="1271" t="str">
        <f t="shared" si="62"/>
        <v/>
      </c>
      <c r="CD696" s="1271" t="str">
        <f t="shared" si="63"/>
        <v/>
      </c>
      <c r="CE696" s="1271" t="str">
        <f t="shared" si="64"/>
        <v/>
      </c>
      <c r="CF696" s="1271" t="str">
        <f t="shared" si="65"/>
        <v/>
      </c>
      <c r="CG696" s="1271" t="str">
        <f t="shared" si="66"/>
        <v/>
      </c>
      <c r="CH696" s="1271" t="str">
        <f t="shared" si="67"/>
        <v/>
      </c>
      <c r="CI696" s="1271" t="str">
        <f t="shared" si="68"/>
        <v/>
      </c>
      <c r="CJ696" s="1271" t="str">
        <f t="shared" si="69"/>
        <v/>
      </c>
      <c r="CK696" s="1271" t="str">
        <f t="shared" si="70"/>
        <v/>
      </c>
      <c r="CL696" s="1271" t="str">
        <f t="shared" si="71"/>
        <v/>
      </c>
      <c r="CM696" s="1271" t="str">
        <f t="shared" si="72"/>
        <v/>
      </c>
      <c r="CN696" s="1271" t="str">
        <f t="shared" si="73"/>
        <v/>
      </c>
      <c r="CO696" s="1271" t="str">
        <f t="shared" si="74"/>
        <v/>
      </c>
      <c r="CP696" s="1271" t="str">
        <f t="shared" si="75"/>
        <v/>
      </c>
      <c r="CQ696" s="1271" t="str">
        <f t="shared" si="76"/>
        <v/>
      </c>
      <c r="CR696" s="1271" t="str">
        <f t="shared" si="77"/>
        <v/>
      </c>
      <c r="CS696" s="1271" t="str">
        <f t="shared" si="78"/>
        <v/>
      </c>
      <c r="CT696" s="1271" t="str">
        <f t="shared" si="79"/>
        <v/>
      </c>
      <c r="CU696" s="1271" t="str">
        <f t="shared" si="80"/>
        <v/>
      </c>
      <c r="CV696" s="1271" t="str">
        <f t="shared" si="81"/>
        <v/>
      </c>
      <c r="CW696" s="1271" t="str">
        <f t="shared" si="82"/>
        <v/>
      </c>
      <c r="CX696" s="1271" t="str">
        <f t="shared" si="83"/>
        <v/>
      </c>
      <c r="CY696" s="1271" t="str">
        <f t="shared" si="84"/>
        <v/>
      </c>
      <c r="CZ696" s="1271" t="str">
        <f t="shared" si="85"/>
        <v/>
      </c>
      <c r="DA696" s="1271" t="str">
        <f t="shared" si="86"/>
        <v/>
      </c>
      <c r="DB696" s="1271" t="str">
        <f t="shared" si="87"/>
        <v/>
      </c>
      <c r="DC696" s="1271" t="str">
        <f t="shared" si="88"/>
        <v/>
      </c>
      <c r="DD696" s="1271" t="str">
        <f t="shared" si="89"/>
        <v/>
      </c>
      <c r="DE696" s="1271" t="str">
        <f t="shared" si="90"/>
        <v/>
      </c>
      <c r="DF696" s="1271" t="str">
        <f t="shared" si="91"/>
        <v/>
      </c>
      <c r="DG696" s="1271" t="str">
        <f t="shared" si="92"/>
        <v/>
      </c>
      <c r="DH696" s="1271" t="str">
        <f t="shared" si="93"/>
        <v/>
      </c>
      <c r="DI696" s="1271" t="str">
        <f t="shared" si="94"/>
        <v/>
      </c>
      <c r="DJ696" s="1271" t="str">
        <f t="shared" si="95"/>
        <v/>
      </c>
      <c r="DK696" s="1271" t="str">
        <f t="shared" si="96"/>
        <v/>
      </c>
      <c r="DL696" s="1271" t="str">
        <f t="shared" si="97"/>
        <v/>
      </c>
      <c r="DM696" s="1271" t="str">
        <f t="shared" si="98"/>
        <v/>
      </c>
      <c r="DN696" s="1271" t="str">
        <f t="shared" si="99"/>
        <v/>
      </c>
      <c r="DO696" s="1271" t="str">
        <f t="shared" si="100"/>
        <v/>
      </c>
      <c r="DP696" s="1271" t="str">
        <f t="shared" si="101"/>
        <v/>
      </c>
      <c r="DQ696" s="1271" t="str">
        <f t="shared" si="102"/>
        <v/>
      </c>
      <c r="DR696" s="1271" t="str">
        <f t="shared" si="103"/>
        <v/>
      </c>
      <c r="DS696" s="1271" t="str">
        <f t="shared" si="104"/>
        <v/>
      </c>
      <c r="DT696" s="1271" t="str">
        <f t="shared" si="105"/>
        <v/>
      </c>
      <c r="DU696" s="1271" t="str">
        <f t="shared" si="106"/>
        <v/>
      </c>
      <c r="DV696" s="1271" t="str">
        <f t="shared" si="107"/>
        <v/>
      </c>
      <c r="DW696" s="1271" t="str">
        <f t="shared" si="108"/>
        <v/>
      </c>
      <c r="DX696" s="1271" t="str">
        <f t="shared" si="109"/>
        <v/>
      </c>
      <c r="DY696" s="1271" t="str">
        <f t="shared" si="110"/>
        <v/>
      </c>
      <c r="DZ696" s="1271" t="str">
        <f t="shared" si="111"/>
        <v/>
      </c>
      <c r="EA696" s="1271" t="str">
        <f t="shared" si="112"/>
        <v/>
      </c>
      <c r="EB696" s="1271" t="str">
        <f t="shared" si="113"/>
        <v/>
      </c>
      <c r="EC696" s="1271" t="str">
        <f t="shared" si="114"/>
        <v/>
      </c>
      <c r="ED696" s="1271" t="str">
        <f t="shared" si="115"/>
        <v/>
      </c>
      <c r="EE696" s="1271" t="str">
        <f t="shared" si="116"/>
        <v/>
      </c>
      <c r="EF696" s="1271" t="str">
        <f t="shared" si="117"/>
        <v/>
      </c>
      <c r="EG696" s="1271" t="str">
        <f t="shared" si="118"/>
        <v/>
      </c>
      <c r="EH696" s="1271" t="str">
        <f t="shared" si="119"/>
        <v/>
      </c>
      <c r="EI696" s="1271" t="str">
        <f t="shared" si="120"/>
        <v/>
      </c>
      <c r="EJ696" s="1271" t="str">
        <f t="shared" si="121"/>
        <v/>
      </c>
      <c r="EK696" s="1271" t="str">
        <f t="shared" si="122"/>
        <v/>
      </c>
      <c r="EL696" s="1271" t="str">
        <f t="shared" si="123"/>
        <v/>
      </c>
      <c r="EM696" s="1271" t="str">
        <f t="shared" si="124"/>
        <v/>
      </c>
      <c r="EN696" s="1271" t="str">
        <f t="shared" si="125"/>
        <v/>
      </c>
      <c r="EO696" s="1271" t="str">
        <f t="shared" si="126"/>
        <v/>
      </c>
      <c r="EP696" s="1271" t="str">
        <f t="shared" si="127"/>
        <v/>
      </c>
      <c r="EQ696" s="1271" t="str">
        <f t="shared" si="128"/>
        <v/>
      </c>
      <c r="ER696" s="1271" t="str">
        <f t="shared" si="129"/>
        <v/>
      </c>
      <c r="ES696" s="1271" t="str">
        <f t="shared" si="130"/>
        <v/>
      </c>
      <c r="ET696" s="1271" t="str">
        <f t="shared" si="131"/>
        <v/>
      </c>
      <c r="EU696" s="1271" t="str">
        <f t="shared" si="132"/>
        <v/>
      </c>
      <c r="EV696" s="1271" t="str">
        <f t="shared" si="133"/>
        <v/>
      </c>
      <c r="EW696" s="1519" t="str">
        <f t="shared" si="134"/>
        <v/>
      </c>
      <c r="EX696" s="1519" t="str">
        <f t="shared" si="135"/>
        <v/>
      </c>
      <c r="EY696" s="1519" t="str">
        <f t="shared" si="136"/>
        <v/>
      </c>
      <c r="EZ696" s="1519" t="str">
        <f t="shared" si="137"/>
        <v/>
      </c>
      <c r="FA696" s="1519" t="str">
        <f t="shared" si="138"/>
        <v/>
      </c>
      <c r="FB696" s="1519" t="str">
        <f t="shared" si="139"/>
        <v/>
      </c>
      <c r="FC696" s="1519" t="str">
        <f t="shared" si="140"/>
        <v/>
      </c>
      <c r="FD696" s="1519" t="str">
        <f t="shared" si="141"/>
        <v/>
      </c>
      <c r="FE696" s="1519" t="str">
        <f t="shared" si="142"/>
        <v/>
      </c>
      <c r="FF696" s="1519" t="str">
        <f t="shared" si="143"/>
        <v/>
      </c>
      <c r="FG696" s="1519" t="str">
        <f t="shared" si="144"/>
        <v/>
      </c>
      <c r="FH696" s="1519" t="str">
        <f t="shared" si="145"/>
        <v/>
      </c>
      <c r="FI696" s="1519" t="str">
        <f t="shared" si="146"/>
        <v/>
      </c>
      <c r="FJ696" s="1519" t="str">
        <f t="shared" si="147"/>
        <v/>
      </c>
      <c r="FK696" s="1519" t="str">
        <f t="shared" si="148"/>
        <v/>
      </c>
      <c r="FL696" s="1519" t="str">
        <f t="shared" si="149"/>
        <v/>
      </c>
      <c r="FM696" s="1519" t="str">
        <f t="shared" si="150"/>
        <v/>
      </c>
      <c r="FN696" s="1519" t="str">
        <f t="shared" si="151"/>
        <v/>
      </c>
      <c r="FO696" s="1519" t="str">
        <f t="shared" si="152"/>
        <v/>
      </c>
      <c r="FP696" s="1519" t="str">
        <f t="shared" si="153"/>
        <v/>
      </c>
      <c r="FQ696" s="1519" t="str">
        <f t="shared" si="154"/>
        <v/>
      </c>
      <c r="FR696" s="1519" t="str">
        <f t="shared" si="155"/>
        <v/>
      </c>
      <c r="FS696" s="1519" t="str">
        <f t="shared" si="156"/>
        <v/>
      </c>
      <c r="FT696" s="1519" t="str">
        <f t="shared" si="157"/>
        <v/>
      </c>
      <c r="FU696" s="1519" t="str">
        <f t="shared" si="158"/>
        <v/>
      </c>
      <c r="FV696" s="1519" t="str">
        <f t="shared" si="159"/>
        <v/>
      </c>
      <c r="FW696" s="1519" t="str">
        <f t="shared" si="160"/>
        <v/>
      </c>
      <c r="FX696" s="1519" t="str">
        <f t="shared" si="161"/>
        <v/>
      </c>
      <c r="FY696" s="1519" t="str">
        <f t="shared" si="162"/>
        <v/>
      </c>
      <c r="FZ696" s="1519" t="str">
        <f t="shared" si="163"/>
        <v/>
      </c>
      <c r="GA696" s="1519" t="str">
        <f t="shared" si="164"/>
        <v/>
      </c>
      <c r="GB696" s="1519" t="str">
        <f t="shared" si="165"/>
        <v/>
      </c>
      <c r="GC696" s="1519" t="str">
        <f t="shared" si="166"/>
        <v/>
      </c>
      <c r="GD696" s="1519" t="str">
        <f t="shared" si="167"/>
        <v/>
      </c>
      <c r="GE696" s="1519" t="str">
        <f t="shared" si="168"/>
        <v/>
      </c>
      <c r="GF696" s="1519" t="str">
        <f t="shared" si="169"/>
        <v/>
      </c>
      <c r="GG696" s="1519" t="str">
        <f t="shared" si="170"/>
        <v/>
      </c>
      <c r="GH696" s="1519" t="str">
        <f t="shared" si="171"/>
        <v/>
      </c>
      <c r="GI696" s="1519" t="str">
        <f t="shared" si="172"/>
        <v/>
      </c>
      <c r="GJ696" s="1519" t="str">
        <f t="shared" si="173"/>
        <v/>
      </c>
      <c r="GK696" s="1519" t="str">
        <f t="shared" si="174"/>
        <v/>
      </c>
      <c r="GL696" s="1519" t="str">
        <f t="shared" si="175"/>
        <v/>
      </c>
      <c r="GM696" s="1519" t="str">
        <f t="shared" si="176"/>
        <v/>
      </c>
      <c r="GN696" s="1519" t="str">
        <f t="shared" si="177"/>
        <v/>
      </c>
      <c r="GO696" s="1519" t="str">
        <f t="shared" si="178"/>
        <v/>
      </c>
      <c r="GP696" s="1519" t="str">
        <f t="shared" si="179"/>
        <v/>
      </c>
      <c r="GQ696" s="1519" t="str">
        <f t="shared" si="180"/>
        <v/>
      </c>
      <c r="GR696" s="1519" t="str">
        <f t="shared" si="181"/>
        <v/>
      </c>
      <c r="GS696" s="1519" t="str">
        <f t="shared" si="182"/>
        <v/>
      </c>
      <c r="GT696" s="1519" t="str">
        <f t="shared" si="183"/>
        <v/>
      </c>
      <c r="GU696" s="1519" t="str">
        <f t="shared" si="184"/>
        <v/>
      </c>
      <c r="GV696" s="1519" t="str">
        <f t="shared" si="185"/>
        <v/>
      </c>
      <c r="GW696" s="1519" t="str">
        <f t="shared" si="186"/>
        <v/>
      </c>
      <c r="GX696" s="1519" t="str">
        <f t="shared" si="187"/>
        <v/>
      </c>
      <c r="GY696" s="1519" t="str">
        <f t="shared" si="188"/>
        <v/>
      </c>
      <c r="GZ696" s="1519" t="str">
        <f t="shared" si="189"/>
        <v/>
      </c>
      <c r="HA696" s="1519" t="str">
        <f t="shared" si="190"/>
        <v/>
      </c>
      <c r="HB696" s="1519" t="str">
        <f t="shared" si="191"/>
        <v/>
      </c>
      <c r="HC696" s="1519" t="str">
        <f t="shared" si="192"/>
        <v/>
      </c>
      <c r="HD696" s="1519" t="str">
        <f t="shared" si="193"/>
        <v/>
      </c>
      <c r="HE696" s="1519" t="str">
        <f t="shared" si="194"/>
        <v/>
      </c>
      <c r="HF696" s="1519" t="str">
        <f t="shared" si="195"/>
        <v/>
      </c>
      <c r="HG696" s="1519" t="str">
        <f t="shared" si="196"/>
        <v/>
      </c>
      <c r="HH696" s="1519" t="str">
        <f t="shared" si="197"/>
        <v/>
      </c>
      <c r="HI696" s="1519" t="str">
        <f t="shared" si="198"/>
        <v/>
      </c>
      <c r="HJ696" s="1519" t="str">
        <f t="shared" si="199"/>
        <v/>
      </c>
      <c r="HK696" s="1519" t="str">
        <f t="shared" si="200"/>
        <v/>
      </c>
      <c r="HL696" s="1519" t="str">
        <f t="shared" si="201"/>
        <v/>
      </c>
      <c r="HM696" s="1519" t="str">
        <f t="shared" si="202"/>
        <v/>
      </c>
      <c r="HN696" s="1519" t="str">
        <f t="shared" si="203"/>
        <v/>
      </c>
      <c r="HO696" s="1519" t="str">
        <f t="shared" si="204"/>
        <v/>
      </c>
      <c r="HP696" s="1519" t="str">
        <f t="shared" si="205"/>
        <v/>
      </c>
      <c r="HQ696" s="1519" t="str">
        <f t="shared" si="206"/>
        <v/>
      </c>
      <c r="HR696" s="1519" t="str">
        <f t="shared" si="207"/>
        <v/>
      </c>
      <c r="HS696" s="1519" t="str">
        <f t="shared" si="208"/>
        <v/>
      </c>
      <c r="HT696" s="1519" t="str">
        <f t="shared" si="209"/>
        <v/>
      </c>
      <c r="HU696" s="1519" t="str">
        <f t="shared" si="210"/>
        <v/>
      </c>
      <c r="HV696" s="1519" t="str">
        <f t="shared" si="211"/>
        <v/>
      </c>
      <c r="HW696" s="1519" t="str">
        <f t="shared" si="212"/>
        <v/>
      </c>
      <c r="HX696" s="1519" t="str">
        <f t="shared" si="213"/>
        <v/>
      </c>
      <c r="HY696" s="1519" t="str">
        <f t="shared" si="214"/>
        <v/>
      </c>
      <c r="HZ696" s="1519" t="str">
        <f t="shared" si="215"/>
        <v/>
      </c>
      <c r="IA696" s="1519" t="str">
        <f t="shared" si="216"/>
        <v/>
      </c>
      <c r="IB696" s="1519" t="str">
        <f t="shared" si="217"/>
        <v/>
      </c>
      <c r="IC696" s="1519" t="str">
        <f t="shared" si="218"/>
        <v/>
      </c>
      <c r="ID696" s="1520" t="str">
        <f t="shared" si="219"/>
        <v/>
      </c>
      <c r="IE696" s="1520" t="str">
        <f t="shared" si="220"/>
        <v/>
      </c>
      <c r="IF696" s="1520" t="str">
        <f t="shared" si="221"/>
        <v/>
      </c>
      <c r="IG696" s="1520" t="str">
        <f t="shared" si="222"/>
        <v/>
      </c>
      <c r="IH696" s="1520" t="str">
        <f t="shared" si="223"/>
        <v/>
      </c>
      <c r="II696" s="1271" t="str">
        <f t="shared" si="224"/>
        <v/>
      </c>
      <c r="IJ696" s="1271" t="str">
        <f t="shared" si="225"/>
        <v/>
      </c>
      <c r="IK696" s="1271" t="str">
        <f t="shared" si="226"/>
        <v/>
      </c>
      <c r="IL696" s="1271" t="str">
        <f t="shared" si="227"/>
        <v/>
      </c>
      <c r="IM696" s="1271" t="str">
        <f t="shared" si="228"/>
        <v/>
      </c>
      <c r="IN696" s="1271" t="str">
        <f t="shared" si="229"/>
        <v/>
      </c>
      <c r="IO696" s="1271" t="str">
        <f t="shared" si="230"/>
        <v/>
      </c>
      <c r="IP696" s="1271" t="str">
        <f t="shared" si="231"/>
        <v/>
      </c>
      <c r="IQ696" s="1271" t="str">
        <f t="shared" si="232"/>
        <v/>
      </c>
      <c r="IR696" s="1271" t="str">
        <f t="shared" si="233"/>
        <v/>
      </c>
      <c r="IS696" s="1271" t="str">
        <f t="shared" si="234"/>
        <v/>
      </c>
      <c r="IT696" s="1271" t="str">
        <f t="shared" si="235"/>
        <v/>
      </c>
      <c r="IU696" s="1271" t="str">
        <f t="shared" si="236"/>
        <v/>
      </c>
      <c r="IV696" s="1271" t="str">
        <f t="shared" si="237"/>
        <v/>
      </c>
      <c r="IW696" s="1271" t="str">
        <f t="shared" si="238"/>
        <v/>
      </c>
      <c r="IX696" s="1271" t="str">
        <f t="shared" si="239"/>
        <v/>
      </c>
      <c r="IY696" s="1271" t="str">
        <f t="shared" si="240"/>
        <v/>
      </c>
      <c r="IZ696" s="1271" t="str">
        <f t="shared" si="241"/>
        <v/>
      </c>
      <c r="JA696" s="1271" t="str">
        <f t="shared" si="242"/>
        <v/>
      </c>
      <c r="JB696" s="1271" t="str">
        <f t="shared" si="243"/>
        <v/>
      </c>
      <c r="JC696" s="1518">
        <f t="shared" si="244"/>
        <v>0</v>
      </c>
      <c r="JD696" s="1518">
        <f t="shared" si="245"/>
        <v>0</v>
      </c>
      <c r="JE696" s="1518">
        <f t="shared" si="246"/>
        <v>0</v>
      </c>
      <c r="JF696" s="1518">
        <f t="shared" si="247"/>
        <v>0</v>
      </c>
      <c r="JG696" s="1518">
        <f t="shared" si="248"/>
        <v>0</v>
      </c>
      <c r="JH696" s="1518">
        <f t="shared" si="249"/>
        <v>0</v>
      </c>
      <c r="JI696" s="1518">
        <f t="shared" si="250"/>
        <v>0</v>
      </c>
      <c r="JJ696" s="1518">
        <f t="shared" si="251"/>
        <v>0</v>
      </c>
      <c r="JK696" s="1518">
        <f t="shared" si="252"/>
        <v>0</v>
      </c>
      <c r="JL696" s="1518">
        <f t="shared" si="253"/>
        <v>0</v>
      </c>
      <c r="JM696" s="1518">
        <f t="shared" si="254"/>
        <v>0</v>
      </c>
      <c r="JN696" s="1518">
        <f t="shared" si="255"/>
        <v>0</v>
      </c>
      <c r="JO696" s="1518">
        <f t="shared" si="256"/>
        <v>0</v>
      </c>
      <c r="JP696" s="1518">
        <f t="shared" si="257"/>
        <v>0</v>
      </c>
      <c r="JQ696" s="1518">
        <f t="shared" si="258"/>
        <v>0</v>
      </c>
    </row>
    <row r="697" spans="1:277" ht="12" customHeight="1">
      <c r="A697" s="1687" t="str">
        <f t="shared" si="1"/>
        <v/>
      </c>
      <c r="B697" s="1702" t="str">
        <f>'Part VI-Revenues &amp; Expenses'!B36</f>
        <v>&lt;&lt;Select&gt;&gt;</v>
      </c>
      <c r="C697" s="1703">
        <f>'Part VI-Revenues &amp; Expenses'!C36</f>
        <v>0</v>
      </c>
      <c r="D697" s="1704">
        <f>'Part VI-Revenues &amp; Expenses'!D36</f>
        <v>0</v>
      </c>
      <c r="E697" s="1705">
        <f>'Part VI-Revenues &amp; Expenses'!E36</f>
        <v>0</v>
      </c>
      <c r="F697" s="1705">
        <f>'Part VI-Revenues &amp; Expenses'!F36</f>
        <v>0</v>
      </c>
      <c r="G697" s="1705">
        <f>'Part VI-Revenues &amp; Expenses'!G36</f>
        <v>0</v>
      </c>
      <c r="H697" s="1705">
        <f>'Part VI-Revenues &amp; Expenses'!H36</f>
        <v>0</v>
      </c>
      <c r="I697" s="1705">
        <f>'Part VI-Revenues &amp; Expenses'!I36</f>
        <v>0</v>
      </c>
      <c r="J697" s="1706">
        <f>'Part VI-Revenues &amp; Expenses'!J36</f>
        <v>0</v>
      </c>
      <c r="K697" s="1707">
        <f t="shared" si="2"/>
        <v>0</v>
      </c>
      <c r="L697" s="1707">
        <f t="shared" si="3"/>
        <v>0</v>
      </c>
      <c r="M697" s="1708">
        <f>'Part VI-Revenues &amp; Expenses'!M36</f>
        <v>0</v>
      </c>
      <c r="N697" s="1708">
        <f>'Part VI-Revenues &amp; Expenses'!N36</f>
        <v>0</v>
      </c>
      <c r="O697" s="1708">
        <f>'Part VI-Revenues &amp; Expenses'!O36</f>
        <v>0</v>
      </c>
      <c r="P697" s="1515">
        <f>'Part VI-Revenues &amp; Expenses'!P36</f>
        <v>0</v>
      </c>
      <c r="Q697" s="1709" t="str">
        <f>'Part VI-Revenues &amp; Expenses'!Q36</f>
        <v/>
      </c>
      <c r="R697" s="1710" t="str">
        <f>'Part VI-Revenues &amp; Expenses'!R36</f>
        <v/>
      </c>
      <c r="S697" s="1709">
        <f>'Part VI-Revenues &amp; Expenses'!S36</f>
        <v>0</v>
      </c>
      <c r="T697" s="1710">
        <f>'Part VI-Revenues &amp; Expenses'!T36</f>
        <v>0</v>
      </c>
      <c r="U697" s="1629"/>
      <c r="V697" s="1629"/>
      <c r="W697" s="1271" t="str">
        <f t="shared" si="4"/>
        <v/>
      </c>
      <c r="X697" s="1271" t="str">
        <f t="shared" si="5"/>
        <v/>
      </c>
      <c r="Y697" s="1271" t="str">
        <f t="shared" si="6"/>
        <v/>
      </c>
      <c r="Z697" s="1271" t="str">
        <f t="shared" si="7"/>
        <v/>
      </c>
      <c r="AA697" s="1271" t="str">
        <f t="shared" si="8"/>
        <v/>
      </c>
      <c r="AB697" s="1271" t="str">
        <f t="shared" si="9"/>
        <v/>
      </c>
      <c r="AC697" s="1271" t="str">
        <f t="shared" si="10"/>
        <v/>
      </c>
      <c r="AD697" s="1271" t="str">
        <f t="shared" si="11"/>
        <v/>
      </c>
      <c r="AE697" s="1271" t="str">
        <f t="shared" si="12"/>
        <v/>
      </c>
      <c r="AF697" s="1271" t="str">
        <f t="shared" si="13"/>
        <v/>
      </c>
      <c r="AG697" s="1271" t="str">
        <f t="shared" si="14"/>
        <v/>
      </c>
      <c r="AH697" s="1271" t="str">
        <f t="shared" si="15"/>
        <v/>
      </c>
      <c r="AI697" s="1271" t="str">
        <f t="shared" si="16"/>
        <v/>
      </c>
      <c r="AJ697" s="1271" t="str">
        <f t="shared" si="17"/>
        <v/>
      </c>
      <c r="AK697" s="1271" t="str">
        <f t="shared" si="18"/>
        <v/>
      </c>
      <c r="AL697" s="1271" t="str">
        <f t="shared" si="19"/>
        <v/>
      </c>
      <c r="AM697" s="1271" t="str">
        <f t="shared" si="20"/>
        <v/>
      </c>
      <c r="AN697" s="1271" t="str">
        <f t="shared" si="21"/>
        <v/>
      </c>
      <c r="AO697" s="1271" t="str">
        <f t="shared" si="22"/>
        <v/>
      </c>
      <c r="AP697" s="1271" t="str">
        <f t="shared" si="23"/>
        <v/>
      </c>
      <c r="AQ697" s="1271" t="str">
        <f t="shared" si="24"/>
        <v/>
      </c>
      <c r="AR697" s="1271" t="str">
        <f t="shared" si="25"/>
        <v/>
      </c>
      <c r="AS697" s="1271" t="str">
        <f t="shared" si="26"/>
        <v/>
      </c>
      <c r="AT697" s="1271" t="str">
        <f t="shared" si="27"/>
        <v/>
      </c>
      <c r="AU697" s="1271" t="str">
        <f t="shared" si="28"/>
        <v/>
      </c>
      <c r="AV697" s="1271" t="str">
        <f t="shared" si="29"/>
        <v/>
      </c>
      <c r="AW697" s="1271" t="str">
        <f t="shared" si="30"/>
        <v/>
      </c>
      <c r="AX697" s="1271" t="str">
        <f t="shared" si="31"/>
        <v/>
      </c>
      <c r="AY697" s="1271" t="str">
        <f t="shared" si="32"/>
        <v/>
      </c>
      <c r="AZ697" s="1271" t="str">
        <f t="shared" si="33"/>
        <v/>
      </c>
      <c r="BA697" s="1271" t="str">
        <f t="shared" si="34"/>
        <v/>
      </c>
      <c r="BB697" s="1271" t="str">
        <f t="shared" si="35"/>
        <v/>
      </c>
      <c r="BC697" s="1271" t="str">
        <f t="shared" si="36"/>
        <v/>
      </c>
      <c r="BD697" s="1271" t="str">
        <f t="shared" si="37"/>
        <v/>
      </c>
      <c r="BE697" s="1271" t="str">
        <f t="shared" si="38"/>
        <v/>
      </c>
      <c r="BF697" s="1271" t="str">
        <f t="shared" si="39"/>
        <v/>
      </c>
      <c r="BG697" s="1271" t="str">
        <f t="shared" si="40"/>
        <v/>
      </c>
      <c r="BH697" s="1271" t="str">
        <f t="shared" si="41"/>
        <v/>
      </c>
      <c r="BI697" s="1271" t="str">
        <f t="shared" si="42"/>
        <v/>
      </c>
      <c r="BJ697" s="1271" t="str">
        <f t="shared" si="43"/>
        <v/>
      </c>
      <c r="BK697" s="1271" t="str">
        <f t="shared" si="44"/>
        <v/>
      </c>
      <c r="BL697" s="1271" t="str">
        <f t="shared" si="45"/>
        <v/>
      </c>
      <c r="BM697" s="1271" t="str">
        <f t="shared" si="46"/>
        <v/>
      </c>
      <c r="BN697" s="1271" t="str">
        <f t="shared" si="47"/>
        <v/>
      </c>
      <c r="BO697" s="1271" t="str">
        <f t="shared" si="48"/>
        <v/>
      </c>
      <c r="BP697" s="1271" t="str">
        <f t="shared" si="49"/>
        <v/>
      </c>
      <c r="BQ697" s="1271" t="str">
        <f t="shared" si="50"/>
        <v/>
      </c>
      <c r="BR697" s="1271" t="str">
        <f t="shared" si="51"/>
        <v/>
      </c>
      <c r="BS697" s="1271" t="str">
        <f t="shared" si="52"/>
        <v/>
      </c>
      <c r="BT697" s="1271" t="str">
        <f t="shared" si="53"/>
        <v/>
      </c>
      <c r="BU697" s="1271" t="str">
        <f t="shared" si="54"/>
        <v/>
      </c>
      <c r="BV697" s="1271" t="str">
        <f t="shared" si="55"/>
        <v/>
      </c>
      <c r="BW697" s="1271" t="str">
        <f t="shared" si="56"/>
        <v/>
      </c>
      <c r="BX697" s="1271" t="str">
        <f t="shared" si="57"/>
        <v/>
      </c>
      <c r="BY697" s="1271" t="str">
        <f t="shared" si="58"/>
        <v/>
      </c>
      <c r="BZ697" s="1271" t="str">
        <f t="shared" si="59"/>
        <v/>
      </c>
      <c r="CA697" s="1271" t="str">
        <f t="shared" si="60"/>
        <v/>
      </c>
      <c r="CB697" s="1271" t="str">
        <f t="shared" si="61"/>
        <v/>
      </c>
      <c r="CC697" s="1271" t="str">
        <f t="shared" si="62"/>
        <v/>
      </c>
      <c r="CD697" s="1271" t="str">
        <f t="shared" si="63"/>
        <v/>
      </c>
      <c r="CE697" s="1271" t="str">
        <f t="shared" si="64"/>
        <v/>
      </c>
      <c r="CF697" s="1271" t="str">
        <f t="shared" si="65"/>
        <v/>
      </c>
      <c r="CG697" s="1271" t="str">
        <f t="shared" si="66"/>
        <v/>
      </c>
      <c r="CH697" s="1271" t="str">
        <f t="shared" si="67"/>
        <v/>
      </c>
      <c r="CI697" s="1271" t="str">
        <f t="shared" si="68"/>
        <v/>
      </c>
      <c r="CJ697" s="1271" t="str">
        <f t="shared" si="69"/>
        <v/>
      </c>
      <c r="CK697" s="1271" t="str">
        <f t="shared" si="70"/>
        <v/>
      </c>
      <c r="CL697" s="1271" t="str">
        <f t="shared" si="71"/>
        <v/>
      </c>
      <c r="CM697" s="1271" t="str">
        <f t="shared" si="72"/>
        <v/>
      </c>
      <c r="CN697" s="1271" t="str">
        <f t="shared" si="73"/>
        <v/>
      </c>
      <c r="CO697" s="1271" t="str">
        <f t="shared" si="74"/>
        <v/>
      </c>
      <c r="CP697" s="1271" t="str">
        <f t="shared" si="75"/>
        <v/>
      </c>
      <c r="CQ697" s="1271" t="str">
        <f t="shared" si="76"/>
        <v/>
      </c>
      <c r="CR697" s="1271" t="str">
        <f t="shared" si="77"/>
        <v/>
      </c>
      <c r="CS697" s="1271" t="str">
        <f t="shared" si="78"/>
        <v/>
      </c>
      <c r="CT697" s="1271" t="str">
        <f t="shared" si="79"/>
        <v/>
      </c>
      <c r="CU697" s="1271" t="str">
        <f t="shared" si="80"/>
        <v/>
      </c>
      <c r="CV697" s="1271" t="str">
        <f t="shared" si="81"/>
        <v/>
      </c>
      <c r="CW697" s="1271" t="str">
        <f t="shared" si="82"/>
        <v/>
      </c>
      <c r="CX697" s="1271" t="str">
        <f t="shared" si="83"/>
        <v/>
      </c>
      <c r="CY697" s="1271" t="str">
        <f t="shared" si="84"/>
        <v/>
      </c>
      <c r="CZ697" s="1271" t="str">
        <f t="shared" si="85"/>
        <v/>
      </c>
      <c r="DA697" s="1271" t="str">
        <f t="shared" si="86"/>
        <v/>
      </c>
      <c r="DB697" s="1271" t="str">
        <f t="shared" si="87"/>
        <v/>
      </c>
      <c r="DC697" s="1271" t="str">
        <f t="shared" si="88"/>
        <v/>
      </c>
      <c r="DD697" s="1271" t="str">
        <f t="shared" si="89"/>
        <v/>
      </c>
      <c r="DE697" s="1271" t="str">
        <f t="shared" si="90"/>
        <v/>
      </c>
      <c r="DF697" s="1271" t="str">
        <f t="shared" si="91"/>
        <v/>
      </c>
      <c r="DG697" s="1271" t="str">
        <f t="shared" si="92"/>
        <v/>
      </c>
      <c r="DH697" s="1271" t="str">
        <f t="shared" si="93"/>
        <v/>
      </c>
      <c r="DI697" s="1271" t="str">
        <f t="shared" si="94"/>
        <v/>
      </c>
      <c r="DJ697" s="1271" t="str">
        <f t="shared" si="95"/>
        <v/>
      </c>
      <c r="DK697" s="1271" t="str">
        <f t="shared" si="96"/>
        <v/>
      </c>
      <c r="DL697" s="1271" t="str">
        <f t="shared" si="97"/>
        <v/>
      </c>
      <c r="DM697" s="1271" t="str">
        <f t="shared" si="98"/>
        <v/>
      </c>
      <c r="DN697" s="1271" t="str">
        <f t="shared" si="99"/>
        <v/>
      </c>
      <c r="DO697" s="1271" t="str">
        <f t="shared" si="100"/>
        <v/>
      </c>
      <c r="DP697" s="1271" t="str">
        <f t="shared" si="101"/>
        <v/>
      </c>
      <c r="DQ697" s="1271" t="str">
        <f t="shared" si="102"/>
        <v/>
      </c>
      <c r="DR697" s="1271" t="str">
        <f t="shared" si="103"/>
        <v/>
      </c>
      <c r="DS697" s="1271" t="str">
        <f t="shared" si="104"/>
        <v/>
      </c>
      <c r="DT697" s="1271" t="str">
        <f t="shared" si="105"/>
        <v/>
      </c>
      <c r="DU697" s="1271" t="str">
        <f t="shared" si="106"/>
        <v/>
      </c>
      <c r="DV697" s="1271" t="str">
        <f t="shared" si="107"/>
        <v/>
      </c>
      <c r="DW697" s="1271" t="str">
        <f t="shared" si="108"/>
        <v/>
      </c>
      <c r="DX697" s="1271" t="str">
        <f t="shared" si="109"/>
        <v/>
      </c>
      <c r="DY697" s="1271" t="str">
        <f t="shared" si="110"/>
        <v/>
      </c>
      <c r="DZ697" s="1271" t="str">
        <f t="shared" si="111"/>
        <v/>
      </c>
      <c r="EA697" s="1271" t="str">
        <f t="shared" si="112"/>
        <v/>
      </c>
      <c r="EB697" s="1271" t="str">
        <f t="shared" si="113"/>
        <v/>
      </c>
      <c r="EC697" s="1271" t="str">
        <f t="shared" si="114"/>
        <v/>
      </c>
      <c r="ED697" s="1271" t="str">
        <f t="shared" si="115"/>
        <v/>
      </c>
      <c r="EE697" s="1271" t="str">
        <f t="shared" si="116"/>
        <v/>
      </c>
      <c r="EF697" s="1271" t="str">
        <f t="shared" si="117"/>
        <v/>
      </c>
      <c r="EG697" s="1271" t="str">
        <f t="shared" si="118"/>
        <v/>
      </c>
      <c r="EH697" s="1271" t="str">
        <f t="shared" si="119"/>
        <v/>
      </c>
      <c r="EI697" s="1271" t="str">
        <f t="shared" si="120"/>
        <v/>
      </c>
      <c r="EJ697" s="1271" t="str">
        <f t="shared" si="121"/>
        <v/>
      </c>
      <c r="EK697" s="1271" t="str">
        <f t="shared" si="122"/>
        <v/>
      </c>
      <c r="EL697" s="1271" t="str">
        <f t="shared" si="123"/>
        <v/>
      </c>
      <c r="EM697" s="1271" t="str">
        <f t="shared" si="124"/>
        <v/>
      </c>
      <c r="EN697" s="1271" t="str">
        <f t="shared" si="125"/>
        <v/>
      </c>
      <c r="EO697" s="1271" t="str">
        <f t="shared" si="126"/>
        <v/>
      </c>
      <c r="EP697" s="1271" t="str">
        <f t="shared" si="127"/>
        <v/>
      </c>
      <c r="EQ697" s="1271" t="str">
        <f t="shared" si="128"/>
        <v/>
      </c>
      <c r="ER697" s="1271" t="str">
        <f t="shared" si="129"/>
        <v/>
      </c>
      <c r="ES697" s="1271" t="str">
        <f t="shared" si="130"/>
        <v/>
      </c>
      <c r="ET697" s="1271" t="str">
        <f t="shared" si="131"/>
        <v/>
      </c>
      <c r="EU697" s="1271" t="str">
        <f t="shared" si="132"/>
        <v/>
      </c>
      <c r="EV697" s="1271" t="str">
        <f t="shared" si="133"/>
        <v/>
      </c>
      <c r="EW697" s="1519" t="str">
        <f t="shared" si="134"/>
        <v/>
      </c>
      <c r="EX697" s="1519" t="str">
        <f t="shared" si="135"/>
        <v/>
      </c>
      <c r="EY697" s="1519" t="str">
        <f t="shared" si="136"/>
        <v/>
      </c>
      <c r="EZ697" s="1519" t="str">
        <f t="shared" si="137"/>
        <v/>
      </c>
      <c r="FA697" s="1519" t="str">
        <f t="shared" si="138"/>
        <v/>
      </c>
      <c r="FB697" s="1519" t="str">
        <f t="shared" si="139"/>
        <v/>
      </c>
      <c r="FC697" s="1519" t="str">
        <f t="shared" si="140"/>
        <v/>
      </c>
      <c r="FD697" s="1519" t="str">
        <f t="shared" si="141"/>
        <v/>
      </c>
      <c r="FE697" s="1519" t="str">
        <f t="shared" si="142"/>
        <v/>
      </c>
      <c r="FF697" s="1519" t="str">
        <f t="shared" si="143"/>
        <v/>
      </c>
      <c r="FG697" s="1519" t="str">
        <f t="shared" si="144"/>
        <v/>
      </c>
      <c r="FH697" s="1519" t="str">
        <f t="shared" si="145"/>
        <v/>
      </c>
      <c r="FI697" s="1519" t="str">
        <f t="shared" si="146"/>
        <v/>
      </c>
      <c r="FJ697" s="1519" t="str">
        <f t="shared" si="147"/>
        <v/>
      </c>
      <c r="FK697" s="1519" t="str">
        <f t="shared" si="148"/>
        <v/>
      </c>
      <c r="FL697" s="1519" t="str">
        <f t="shared" si="149"/>
        <v/>
      </c>
      <c r="FM697" s="1519" t="str">
        <f t="shared" si="150"/>
        <v/>
      </c>
      <c r="FN697" s="1519" t="str">
        <f t="shared" si="151"/>
        <v/>
      </c>
      <c r="FO697" s="1519" t="str">
        <f t="shared" si="152"/>
        <v/>
      </c>
      <c r="FP697" s="1519" t="str">
        <f t="shared" si="153"/>
        <v/>
      </c>
      <c r="FQ697" s="1519" t="str">
        <f t="shared" si="154"/>
        <v/>
      </c>
      <c r="FR697" s="1519" t="str">
        <f t="shared" si="155"/>
        <v/>
      </c>
      <c r="FS697" s="1519" t="str">
        <f t="shared" si="156"/>
        <v/>
      </c>
      <c r="FT697" s="1519" t="str">
        <f t="shared" si="157"/>
        <v/>
      </c>
      <c r="FU697" s="1519" t="str">
        <f t="shared" si="158"/>
        <v/>
      </c>
      <c r="FV697" s="1519" t="str">
        <f t="shared" si="159"/>
        <v/>
      </c>
      <c r="FW697" s="1519" t="str">
        <f t="shared" si="160"/>
        <v/>
      </c>
      <c r="FX697" s="1519" t="str">
        <f t="shared" si="161"/>
        <v/>
      </c>
      <c r="FY697" s="1519" t="str">
        <f t="shared" si="162"/>
        <v/>
      </c>
      <c r="FZ697" s="1519" t="str">
        <f t="shared" si="163"/>
        <v/>
      </c>
      <c r="GA697" s="1519" t="str">
        <f t="shared" si="164"/>
        <v/>
      </c>
      <c r="GB697" s="1519" t="str">
        <f t="shared" si="165"/>
        <v/>
      </c>
      <c r="GC697" s="1519" t="str">
        <f t="shared" si="166"/>
        <v/>
      </c>
      <c r="GD697" s="1519" t="str">
        <f t="shared" si="167"/>
        <v/>
      </c>
      <c r="GE697" s="1519" t="str">
        <f t="shared" si="168"/>
        <v/>
      </c>
      <c r="GF697" s="1519" t="str">
        <f t="shared" si="169"/>
        <v/>
      </c>
      <c r="GG697" s="1519" t="str">
        <f t="shared" si="170"/>
        <v/>
      </c>
      <c r="GH697" s="1519" t="str">
        <f t="shared" si="171"/>
        <v/>
      </c>
      <c r="GI697" s="1519" t="str">
        <f t="shared" si="172"/>
        <v/>
      </c>
      <c r="GJ697" s="1519" t="str">
        <f t="shared" si="173"/>
        <v/>
      </c>
      <c r="GK697" s="1519" t="str">
        <f t="shared" si="174"/>
        <v/>
      </c>
      <c r="GL697" s="1519" t="str">
        <f t="shared" si="175"/>
        <v/>
      </c>
      <c r="GM697" s="1519" t="str">
        <f t="shared" si="176"/>
        <v/>
      </c>
      <c r="GN697" s="1519" t="str">
        <f t="shared" si="177"/>
        <v/>
      </c>
      <c r="GO697" s="1519" t="str">
        <f t="shared" si="178"/>
        <v/>
      </c>
      <c r="GP697" s="1519" t="str">
        <f t="shared" si="179"/>
        <v/>
      </c>
      <c r="GQ697" s="1519" t="str">
        <f t="shared" si="180"/>
        <v/>
      </c>
      <c r="GR697" s="1519" t="str">
        <f t="shared" si="181"/>
        <v/>
      </c>
      <c r="GS697" s="1519" t="str">
        <f t="shared" si="182"/>
        <v/>
      </c>
      <c r="GT697" s="1519" t="str">
        <f t="shared" si="183"/>
        <v/>
      </c>
      <c r="GU697" s="1519" t="str">
        <f t="shared" si="184"/>
        <v/>
      </c>
      <c r="GV697" s="1519" t="str">
        <f t="shared" si="185"/>
        <v/>
      </c>
      <c r="GW697" s="1519" t="str">
        <f t="shared" si="186"/>
        <v/>
      </c>
      <c r="GX697" s="1519" t="str">
        <f t="shared" si="187"/>
        <v/>
      </c>
      <c r="GY697" s="1519" t="str">
        <f t="shared" si="188"/>
        <v/>
      </c>
      <c r="GZ697" s="1519" t="str">
        <f t="shared" si="189"/>
        <v/>
      </c>
      <c r="HA697" s="1519" t="str">
        <f t="shared" si="190"/>
        <v/>
      </c>
      <c r="HB697" s="1519" t="str">
        <f t="shared" si="191"/>
        <v/>
      </c>
      <c r="HC697" s="1519" t="str">
        <f t="shared" si="192"/>
        <v/>
      </c>
      <c r="HD697" s="1519" t="str">
        <f t="shared" si="193"/>
        <v/>
      </c>
      <c r="HE697" s="1519" t="str">
        <f t="shared" si="194"/>
        <v/>
      </c>
      <c r="HF697" s="1519" t="str">
        <f t="shared" si="195"/>
        <v/>
      </c>
      <c r="HG697" s="1519" t="str">
        <f t="shared" si="196"/>
        <v/>
      </c>
      <c r="HH697" s="1519" t="str">
        <f t="shared" si="197"/>
        <v/>
      </c>
      <c r="HI697" s="1519" t="str">
        <f t="shared" si="198"/>
        <v/>
      </c>
      <c r="HJ697" s="1519" t="str">
        <f t="shared" si="199"/>
        <v/>
      </c>
      <c r="HK697" s="1519" t="str">
        <f t="shared" si="200"/>
        <v/>
      </c>
      <c r="HL697" s="1519" t="str">
        <f t="shared" si="201"/>
        <v/>
      </c>
      <c r="HM697" s="1519" t="str">
        <f t="shared" si="202"/>
        <v/>
      </c>
      <c r="HN697" s="1519" t="str">
        <f t="shared" si="203"/>
        <v/>
      </c>
      <c r="HO697" s="1519" t="str">
        <f t="shared" si="204"/>
        <v/>
      </c>
      <c r="HP697" s="1519" t="str">
        <f t="shared" si="205"/>
        <v/>
      </c>
      <c r="HQ697" s="1519" t="str">
        <f t="shared" si="206"/>
        <v/>
      </c>
      <c r="HR697" s="1519" t="str">
        <f t="shared" si="207"/>
        <v/>
      </c>
      <c r="HS697" s="1519" t="str">
        <f t="shared" si="208"/>
        <v/>
      </c>
      <c r="HT697" s="1519" t="str">
        <f t="shared" si="209"/>
        <v/>
      </c>
      <c r="HU697" s="1519" t="str">
        <f t="shared" si="210"/>
        <v/>
      </c>
      <c r="HV697" s="1519" t="str">
        <f t="shared" si="211"/>
        <v/>
      </c>
      <c r="HW697" s="1519" t="str">
        <f t="shared" si="212"/>
        <v/>
      </c>
      <c r="HX697" s="1519" t="str">
        <f t="shared" si="213"/>
        <v/>
      </c>
      <c r="HY697" s="1519" t="str">
        <f t="shared" si="214"/>
        <v/>
      </c>
      <c r="HZ697" s="1519" t="str">
        <f t="shared" si="215"/>
        <v/>
      </c>
      <c r="IA697" s="1519" t="str">
        <f t="shared" si="216"/>
        <v/>
      </c>
      <c r="IB697" s="1519" t="str">
        <f t="shared" si="217"/>
        <v/>
      </c>
      <c r="IC697" s="1519" t="str">
        <f t="shared" si="218"/>
        <v/>
      </c>
      <c r="ID697" s="1520" t="str">
        <f t="shared" si="219"/>
        <v/>
      </c>
      <c r="IE697" s="1520" t="str">
        <f t="shared" si="220"/>
        <v/>
      </c>
      <c r="IF697" s="1520" t="str">
        <f t="shared" si="221"/>
        <v/>
      </c>
      <c r="IG697" s="1520" t="str">
        <f t="shared" si="222"/>
        <v/>
      </c>
      <c r="IH697" s="1520" t="str">
        <f t="shared" si="223"/>
        <v/>
      </c>
      <c r="II697" s="1271" t="str">
        <f t="shared" si="224"/>
        <v/>
      </c>
      <c r="IJ697" s="1271" t="str">
        <f t="shared" si="225"/>
        <v/>
      </c>
      <c r="IK697" s="1271" t="str">
        <f t="shared" si="226"/>
        <v/>
      </c>
      <c r="IL697" s="1271" t="str">
        <f t="shared" si="227"/>
        <v/>
      </c>
      <c r="IM697" s="1271" t="str">
        <f t="shared" si="228"/>
        <v/>
      </c>
      <c r="IN697" s="1271" t="str">
        <f t="shared" si="229"/>
        <v/>
      </c>
      <c r="IO697" s="1271" t="str">
        <f t="shared" si="230"/>
        <v/>
      </c>
      <c r="IP697" s="1271" t="str">
        <f t="shared" si="231"/>
        <v/>
      </c>
      <c r="IQ697" s="1271" t="str">
        <f t="shared" si="232"/>
        <v/>
      </c>
      <c r="IR697" s="1271" t="str">
        <f t="shared" si="233"/>
        <v/>
      </c>
      <c r="IS697" s="1271" t="str">
        <f t="shared" si="234"/>
        <v/>
      </c>
      <c r="IT697" s="1271" t="str">
        <f t="shared" si="235"/>
        <v/>
      </c>
      <c r="IU697" s="1271" t="str">
        <f t="shared" si="236"/>
        <v/>
      </c>
      <c r="IV697" s="1271" t="str">
        <f t="shared" si="237"/>
        <v/>
      </c>
      <c r="IW697" s="1271" t="str">
        <f t="shared" si="238"/>
        <v/>
      </c>
      <c r="IX697" s="1271" t="str">
        <f t="shared" si="239"/>
        <v/>
      </c>
      <c r="IY697" s="1271" t="str">
        <f t="shared" si="240"/>
        <v/>
      </c>
      <c r="IZ697" s="1271" t="str">
        <f t="shared" si="241"/>
        <v/>
      </c>
      <c r="JA697" s="1271" t="str">
        <f t="shared" si="242"/>
        <v/>
      </c>
      <c r="JB697" s="1271" t="str">
        <f t="shared" si="243"/>
        <v/>
      </c>
      <c r="JC697" s="1518">
        <f t="shared" si="244"/>
        <v>0</v>
      </c>
      <c r="JD697" s="1518">
        <f t="shared" si="245"/>
        <v>0</v>
      </c>
      <c r="JE697" s="1518">
        <f t="shared" si="246"/>
        <v>0</v>
      </c>
      <c r="JF697" s="1518">
        <f t="shared" si="247"/>
        <v>0</v>
      </c>
      <c r="JG697" s="1518">
        <f t="shared" si="248"/>
        <v>0</v>
      </c>
      <c r="JH697" s="1518">
        <f t="shared" si="249"/>
        <v>0</v>
      </c>
      <c r="JI697" s="1518">
        <f t="shared" si="250"/>
        <v>0</v>
      </c>
      <c r="JJ697" s="1518">
        <f t="shared" si="251"/>
        <v>0</v>
      </c>
      <c r="JK697" s="1518">
        <f t="shared" si="252"/>
        <v>0</v>
      </c>
      <c r="JL697" s="1518">
        <f t="shared" si="253"/>
        <v>0</v>
      </c>
      <c r="JM697" s="1518">
        <f t="shared" si="254"/>
        <v>0</v>
      </c>
      <c r="JN697" s="1518">
        <f t="shared" si="255"/>
        <v>0</v>
      </c>
      <c r="JO697" s="1518">
        <f t="shared" si="256"/>
        <v>0</v>
      </c>
      <c r="JP697" s="1518">
        <f t="shared" si="257"/>
        <v>0</v>
      </c>
      <c r="JQ697" s="1518">
        <f t="shared" si="258"/>
        <v>0</v>
      </c>
    </row>
    <row r="698" spans="1:277" ht="12" customHeight="1">
      <c r="A698" s="1687" t="str">
        <f t="shared" si="1"/>
        <v/>
      </c>
      <c r="B698" s="1702" t="str">
        <f>'Part VI-Revenues &amp; Expenses'!B37</f>
        <v>&lt;&lt;Select&gt;&gt;</v>
      </c>
      <c r="C698" s="1703">
        <f>'Part VI-Revenues &amp; Expenses'!C37</f>
        <v>0</v>
      </c>
      <c r="D698" s="1704">
        <f>'Part VI-Revenues &amp; Expenses'!D37</f>
        <v>0</v>
      </c>
      <c r="E698" s="1705">
        <f>'Part VI-Revenues &amp; Expenses'!E37</f>
        <v>0</v>
      </c>
      <c r="F698" s="1705">
        <f>'Part VI-Revenues &amp; Expenses'!F37</f>
        <v>0</v>
      </c>
      <c r="G698" s="1705">
        <f>'Part VI-Revenues &amp; Expenses'!G37</f>
        <v>0</v>
      </c>
      <c r="H698" s="1705">
        <f>'Part VI-Revenues &amp; Expenses'!H37</f>
        <v>0</v>
      </c>
      <c r="I698" s="1705">
        <f>'Part VI-Revenues &amp; Expenses'!I37</f>
        <v>0</v>
      </c>
      <c r="J698" s="1706">
        <f>'Part VI-Revenues &amp; Expenses'!J37</f>
        <v>0</v>
      </c>
      <c r="K698" s="1707">
        <f t="shared" si="2"/>
        <v>0</v>
      </c>
      <c r="L698" s="1707">
        <f t="shared" si="3"/>
        <v>0</v>
      </c>
      <c r="M698" s="1708">
        <f>'Part VI-Revenues &amp; Expenses'!M37</f>
        <v>0</v>
      </c>
      <c r="N698" s="1708">
        <f>'Part VI-Revenues &amp; Expenses'!N37</f>
        <v>0</v>
      </c>
      <c r="O698" s="1708">
        <f>'Part VI-Revenues &amp; Expenses'!O37</f>
        <v>0</v>
      </c>
      <c r="P698" s="1515">
        <f>'Part VI-Revenues &amp; Expenses'!P37</f>
        <v>0</v>
      </c>
      <c r="Q698" s="1709" t="str">
        <f>'Part VI-Revenues &amp; Expenses'!Q37</f>
        <v/>
      </c>
      <c r="R698" s="1710" t="str">
        <f>'Part VI-Revenues &amp; Expenses'!R37</f>
        <v/>
      </c>
      <c r="S698" s="1709">
        <f>'Part VI-Revenues &amp; Expenses'!S37</f>
        <v>0</v>
      </c>
      <c r="T698" s="1710">
        <f>'Part VI-Revenues &amp; Expenses'!T37</f>
        <v>0</v>
      </c>
      <c r="U698" s="1629"/>
      <c r="V698" s="1629"/>
      <c r="W698" s="1271" t="str">
        <f t="shared" si="4"/>
        <v/>
      </c>
      <c r="X698" s="1271" t="str">
        <f t="shared" si="5"/>
        <v/>
      </c>
      <c r="Y698" s="1271" t="str">
        <f t="shared" si="6"/>
        <v/>
      </c>
      <c r="Z698" s="1271" t="str">
        <f t="shared" si="7"/>
        <v/>
      </c>
      <c r="AA698" s="1271" t="str">
        <f t="shared" si="8"/>
        <v/>
      </c>
      <c r="AB698" s="1271" t="str">
        <f t="shared" si="9"/>
        <v/>
      </c>
      <c r="AC698" s="1271" t="str">
        <f t="shared" si="10"/>
        <v/>
      </c>
      <c r="AD698" s="1271" t="str">
        <f t="shared" si="11"/>
        <v/>
      </c>
      <c r="AE698" s="1271" t="str">
        <f t="shared" si="12"/>
        <v/>
      </c>
      <c r="AF698" s="1271" t="str">
        <f t="shared" si="13"/>
        <v/>
      </c>
      <c r="AG698" s="1271" t="str">
        <f t="shared" si="14"/>
        <v/>
      </c>
      <c r="AH698" s="1271" t="str">
        <f t="shared" si="15"/>
        <v/>
      </c>
      <c r="AI698" s="1271" t="str">
        <f t="shared" si="16"/>
        <v/>
      </c>
      <c r="AJ698" s="1271" t="str">
        <f t="shared" si="17"/>
        <v/>
      </c>
      <c r="AK698" s="1271" t="str">
        <f t="shared" si="18"/>
        <v/>
      </c>
      <c r="AL698" s="1271" t="str">
        <f t="shared" si="19"/>
        <v/>
      </c>
      <c r="AM698" s="1271" t="str">
        <f t="shared" si="20"/>
        <v/>
      </c>
      <c r="AN698" s="1271" t="str">
        <f t="shared" si="21"/>
        <v/>
      </c>
      <c r="AO698" s="1271" t="str">
        <f t="shared" si="22"/>
        <v/>
      </c>
      <c r="AP698" s="1271" t="str">
        <f t="shared" si="23"/>
        <v/>
      </c>
      <c r="AQ698" s="1271" t="str">
        <f t="shared" si="24"/>
        <v/>
      </c>
      <c r="AR698" s="1271" t="str">
        <f t="shared" si="25"/>
        <v/>
      </c>
      <c r="AS698" s="1271" t="str">
        <f t="shared" si="26"/>
        <v/>
      </c>
      <c r="AT698" s="1271" t="str">
        <f t="shared" si="27"/>
        <v/>
      </c>
      <c r="AU698" s="1271" t="str">
        <f t="shared" si="28"/>
        <v/>
      </c>
      <c r="AV698" s="1271" t="str">
        <f t="shared" si="29"/>
        <v/>
      </c>
      <c r="AW698" s="1271" t="str">
        <f t="shared" si="30"/>
        <v/>
      </c>
      <c r="AX698" s="1271" t="str">
        <f t="shared" si="31"/>
        <v/>
      </c>
      <c r="AY698" s="1271" t="str">
        <f t="shared" si="32"/>
        <v/>
      </c>
      <c r="AZ698" s="1271" t="str">
        <f t="shared" si="33"/>
        <v/>
      </c>
      <c r="BA698" s="1271" t="str">
        <f t="shared" si="34"/>
        <v/>
      </c>
      <c r="BB698" s="1271" t="str">
        <f t="shared" si="35"/>
        <v/>
      </c>
      <c r="BC698" s="1271" t="str">
        <f t="shared" si="36"/>
        <v/>
      </c>
      <c r="BD698" s="1271" t="str">
        <f t="shared" si="37"/>
        <v/>
      </c>
      <c r="BE698" s="1271" t="str">
        <f t="shared" si="38"/>
        <v/>
      </c>
      <c r="BF698" s="1271" t="str">
        <f t="shared" si="39"/>
        <v/>
      </c>
      <c r="BG698" s="1271" t="str">
        <f t="shared" si="40"/>
        <v/>
      </c>
      <c r="BH698" s="1271" t="str">
        <f t="shared" si="41"/>
        <v/>
      </c>
      <c r="BI698" s="1271" t="str">
        <f t="shared" si="42"/>
        <v/>
      </c>
      <c r="BJ698" s="1271" t="str">
        <f t="shared" si="43"/>
        <v/>
      </c>
      <c r="BK698" s="1271" t="str">
        <f t="shared" si="44"/>
        <v/>
      </c>
      <c r="BL698" s="1271" t="str">
        <f t="shared" si="45"/>
        <v/>
      </c>
      <c r="BM698" s="1271" t="str">
        <f t="shared" si="46"/>
        <v/>
      </c>
      <c r="BN698" s="1271" t="str">
        <f t="shared" si="47"/>
        <v/>
      </c>
      <c r="BO698" s="1271" t="str">
        <f t="shared" si="48"/>
        <v/>
      </c>
      <c r="BP698" s="1271" t="str">
        <f t="shared" si="49"/>
        <v/>
      </c>
      <c r="BQ698" s="1271" t="str">
        <f t="shared" si="50"/>
        <v/>
      </c>
      <c r="BR698" s="1271" t="str">
        <f t="shared" si="51"/>
        <v/>
      </c>
      <c r="BS698" s="1271" t="str">
        <f t="shared" si="52"/>
        <v/>
      </c>
      <c r="BT698" s="1271" t="str">
        <f t="shared" si="53"/>
        <v/>
      </c>
      <c r="BU698" s="1271" t="str">
        <f t="shared" si="54"/>
        <v/>
      </c>
      <c r="BV698" s="1271" t="str">
        <f t="shared" si="55"/>
        <v/>
      </c>
      <c r="BW698" s="1271" t="str">
        <f t="shared" si="56"/>
        <v/>
      </c>
      <c r="BX698" s="1271" t="str">
        <f t="shared" si="57"/>
        <v/>
      </c>
      <c r="BY698" s="1271" t="str">
        <f t="shared" si="58"/>
        <v/>
      </c>
      <c r="BZ698" s="1271" t="str">
        <f t="shared" si="59"/>
        <v/>
      </c>
      <c r="CA698" s="1271" t="str">
        <f t="shared" si="60"/>
        <v/>
      </c>
      <c r="CB698" s="1271" t="str">
        <f t="shared" si="61"/>
        <v/>
      </c>
      <c r="CC698" s="1271" t="str">
        <f t="shared" si="62"/>
        <v/>
      </c>
      <c r="CD698" s="1271" t="str">
        <f t="shared" si="63"/>
        <v/>
      </c>
      <c r="CE698" s="1271" t="str">
        <f t="shared" si="64"/>
        <v/>
      </c>
      <c r="CF698" s="1271" t="str">
        <f t="shared" si="65"/>
        <v/>
      </c>
      <c r="CG698" s="1271" t="str">
        <f t="shared" si="66"/>
        <v/>
      </c>
      <c r="CH698" s="1271" t="str">
        <f t="shared" si="67"/>
        <v/>
      </c>
      <c r="CI698" s="1271" t="str">
        <f t="shared" si="68"/>
        <v/>
      </c>
      <c r="CJ698" s="1271" t="str">
        <f t="shared" si="69"/>
        <v/>
      </c>
      <c r="CK698" s="1271" t="str">
        <f t="shared" si="70"/>
        <v/>
      </c>
      <c r="CL698" s="1271" t="str">
        <f t="shared" si="71"/>
        <v/>
      </c>
      <c r="CM698" s="1271" t="str">
        <f t="shared" si="72"/>
        <v/>
      </c>
      <c r="CN698" s="1271" t="str">
        <f t="shared" si="73"/>
        <v/>
      </c>
      <c r="CO698" s="1271" t="str">
        <f t="shared" si="74"/>
        <v/>
      </c>
      <c r="CP698" s="1271" t="str">
        <f t="shared" si="75"/>
        <v/>
      </c>
      <c r="CQ698" s="1271" t="str">
        <f t="shared" si="76"/>
        <v/>
      </c>
      <c r="CR698" s="1271" t="str">
        <f t="shared" si="77"/>
        <v/>
      </c>
      <c r="CS698" s="1271" t="str">
        <f t="shared" si="78"/>
        <v/>
      </c>
      <c r="CT698" s="1271" t="str">
        <f t="shared" si="79"/>
        <v/>
      </c>
      <c r="CU698" s="1271" t="str">
        <f t="shared" si="80"/>
        <v/>
      </c>
      <c r="CV698" s="1271" t="str">
        <f t="shared" si="81"/>
        <v/>
      </c>
      <c r="CW698" s="1271" t="str">
        <f t="shared" si="82"/>
        <v/>
      </c>
      <c r="CX698" s="1271" t="str">
        <f t="shared" si="83"/>
        <v/>
      </c>
      <c r="CY698" s="1271" t="str">
        <f t="shared" si="84"/>
        <v/>
      </c>
      <c r="CZ698" s="1271" t="str">
        <f t="shared" si="85"/>
        <v/>
      </c>
      <c r="DA698" s="1271" t="str">
        <f t="shared" si="86"/>
        <v/>
      </c>
      <c r="DB698" s="1271" t="str">
        <f t="shared" si="87"/>
        <v/>
      </c>
      <c r="DC698" s="1271" t="str">
        <f t="shared" si="88"/>
        <v/>
      </c>
      <c r="DD698" s="1271" t="str">
        <f t="shared" si="89"/>
        <v/>
      </c>
      <c r="DE698" s="1271" t="str">
        <f t="shared" si="90"/>
        <v/>
      </c>
      <c r="DF698" s="1271" t="str">
        <f t="shared" si="91"/>
        <v/>
      </c>
      <c r="DG698" s="1271" t="str">
        <f t="shared" si="92"/>
        <v/>
      </c>
      <c r="DH698" s="1271" t="str">
        <f t="shared" si="93"/>
        <v/>
      </c>
      <c r="DI698" s="1271" t="str">
        <f t="shared" si="94"/>
        <v/>
      </c>
      <c r="DJ698" s="1271" t="str">
        <f t="shared" si="95"/>
        <v/>
      </c>
      <c r="DK698" s="1271" t="str">
        <f t="shared" si="96"/>
        <v/>
      </c>
      <c r="DL698" s="1271" t="str">
        <f t="shared" si="97"/>
        <v/>
      </c>
      <c r="DM698" s="1271" t="str">
        <f t="shared" si="98"/>
        <v/>
      </c>
      <c r="DN698" s="1271" t="str">
        <f t="shared" si="99"/>
        <v/>
      </c>
      <c r="DO698" s="1271" t="str">
        <f t="shared" si="100"/>
        <v/>
      </c>
      <c r="DP698" s="1271" t="str">
        <f t="shared" si="101"/>
        <v/>
      </c>
      <c r="DQ698" s="1271" t="str">
        <f t="shared" si="102"/>
        <v/>
      </c>
      <c r="DR698" s="1271" t="str">
        <f t="shared" si="103"/>
        <v/>
      </c>
      <c r="DS698" s="1271" t="str">
        <f t="shared" si="104"/>
        <v/>
      </c>
      <c r="DT698" s="1271" t="str">
        <f t="shared" si="105"/>
        <v/>
      </c>
      <c r="DU698" s="1271" t="str">
        <f t="shared" si="106"/>
        <v/>
      </c>
      <c r="DV698" s="1271" t="str">
        <f t="shared" si="107"/>
        <v/>
      </c>
      <c r="DW698" s="1271" t="str">
        <f t="shared" si="108"/>
        <v/>
      </c>
      <c r="DX698" s="1271" t="str">
        <f t="shared" si="109"/>
        <v/>
      </c>
      <c r="DY698" s="1271" t="str">
        <f t="shared" si="110"/>
        <v/>
      </c>
      <c r="DZ698" s="1271" t="str">
        <f t="shared" si="111"/>
        <v/>
      </c>
      <c r="EA698" s="1271" t="str">
        <f t="shared" si="112"/>
        <v/>
      </c>
      <c r="EB698" s="1271" t="str">
        <f t="shared" si="113"/>
        <v/>
      </c>
      <c r="EC698" s="1271" t="str">
        <f t="shared" si="114"/>
        <v/>
      </c>
      <c r="ED698" s="1271" t="str">
        <f t="shared" si="115"/>
        <v/>
      </c>
      <c r="EE698" s="1271" t="str">
        <f t="shared" si="116"/>
        <v/>
      </c>
      <c r="EF698" s="1271" t="str">
        <f t="shared" si="117"/>
        <v/>
      </c>
      <c r="EG698" s="1271" t="str">
        <f t="shared" si="118"/>
        <v/>
      </c>
      <c r="EH698" s="1271" t="str">
        <f t="shared" si="119"/>
        <v/>
      </c>
      <c r="EI698" s="1271" t="str">
        <f t="shared" si="120"/>
        <v/>
      </c>
      <c r="EJ698" s="1271" t="str">
        <f t="shared" si="121"/>
        <v/>
      </c>
      <c r="EK698" s="1271" t="str">
        <f t="shared" si="122"/>
        <v/>
      </c>
      <c r="EL698" s="1271" t="str">
        <f t="shared" si="123"/>
        <v/>
      </c>
      <c r="EM698" s="1271" t="str">
        <f t="shared" si="124"/>
        <v/>
      </c>
      <c r="EN698" s="1271" t="str">
        <f t="shared" si="125"/>
        <v/>
      </c>
      <c r="EO698" s="1271" t="str">
        <f t="shared" si="126"/>
        <v/>
      </c>
      <c r="EP698" s="1271" t="str">
        <f t="shared" si="127"/>
        <v/>
      </c>
      <c r="EQ698" s="1271" t="str">
        <f t="shared" si="128"/>
        <v/>
      </c>
      <c r="ER698" s="1271" t="str">
        <f t="shared" si="129"/>
        <v/>
      </c>
      <c r="ES698" s="1271" t="str">
        <f t="shared" si="130"/>
        <v/>
      </c>
      <c r="ET698" s="1271" t="str">
        <f t="shared" si="131"/>
        <v/>
      </c>
      <c r="EU698" s="1271" t="str">
        <f t="shared" si="132"/>
        <v/>
      </c>
      <c r="EV698" s="1271" t="str">
        <f t="shared" si="133"/>
        <v/>
      </c>
      <c r="EW698" s="1519" t="str">
        <f t="shared" si="134"/>
        <v/>
      </c>
      <c r="EX698" s="1519" t="str">
        <f t="shared" si="135"/>
        <v/>
      </c>
      <c r="EY698" s="1519" t="str">
        <f t="shared" si="136"/>
        <v/>
      </c>
      <c r="EZ698" s="1519" t="str">
        <f t="shared" si="137"/>
        <v/>
      </c>
      <c r="FA698" s="1519" t="str">
        <f t="shared" si="138"/>
        <v/>
      </c>
      <c r="FB698" s="1519" t="str">
        <f t="shared" si="139"/>
        <v/>
      </c>
      <c r="FC698" s="1519" t="str">
        <f t="shared" si="140"/>
        <v/>
      </c>
      <c r="FD698" s="1519" t="str">
        <f t="shared" si="141"/>
        <v/>
      </c>
      <c r="FE698" s="1519" t="str">
        <f t="shared" si="142"/>
        <v/>
      </c>
      <c r="FF698" s="1519" t="str">
        <f t="shared" si="143"/>
        <v/>
      </c>
      <c r="FG698" s="1519" t="str">
        <f t="shared" si="144"/>
        <v/>
      </c>
      <c r="FH698" s="1519" t="str">
        <f t="shared" si="145"/>
        <v/>
      </c>
      <c r="FI698" s="1519" t="str">
        <f t="shared" si="146"/>
        <v/>
      </c>
      <c r="FJ698" s="1519" t="str">
        <f t="shared" si="147"/>
        <v/>
      </c>
      <c r="FK698" s="1519" t="str">
        <f t="shared" si="148"/>
        <v/>
      </c>
      <c r="FL698" s="1519" t="str">
        <f t="shared" si="149"/>
        <v/>
      </c>
      <c r="FM698" s="1519" t="str">
        <f t="shared" si="150"/>
        <v/>
      </c>
      <c r="FN698" s="1519" t="str">
        <f t="shared" si="151"/>
        <v/>
      </c>
      <c r="FO698" s="1519" t="str">
        <f t="shared" si="152"/>
        <v/>
      </c>
      <c r="FP698" s="1519" t="str">
        <f t="shared" si="153"/>
        <v/>
      </c>
      <c r="FQ698" s="1519" t="str">
        <f t="shared" si="154"/>
        <v/>
      </c>
      <c r="FR698" s="1519" t="str">
        <f t="shared" si="155"/>
        <v/>
      </c>
      <c r="FS698" s="1519" t="str">
        <f t="shared" si="156"/>
        <v/>
      </c>
      <c r="FT698" s="1519" t="str">
        <f t="shared" si="157"/>
        <v/>
      </c>
      <c r="FU698" s="1519" t="str">
        <f t="shared" si="158"/>
        <v/>
      </c>
      <c r="FV698" s="1519" t="str">
        <f t="shared" si="159"/>
        <v/>
      </c>
      <c r="FW698" s="1519" t="str">
        <f t="shared" si="160"/>
        <v/>
      </c>
      <c r="FX698" s="1519" t="str">
        <f t="shared" si="161"/>
        <v/>
      </c>
      <c r="FY698" s="1519" t="str">
        <f t="shared" si="162"/>
        <v/>
      </c>
      <c r="FZ698" s="1519" t="str">
        <f t="shared" si="163"/>
        <v/>
      </c>
      <c r="GA698" s="1519" t="str">
        <f t="shared" si="164"/>
        <v/>
      </c>
      <c r="GB698" s="1519" t="str">
        <f t="shared" si="165"/>
        <v/>
      </c>
      <c r="GC698" s="1519" t="str">
        <f t="shared" si="166"/>
        <v/>
      </c>
      <c r="GD698" s="1519" t="str">
        <f t="shared" si="167"/>
        <v/>
      </c>
      <c r="GE698" s="1519" t="str">
        <f t="shared" si="168"/>
        <v/>
      </c>
      <c r="GF698" s="1519" t="str">
        <f t="shared" si="169"/>
        <v/>
      </c>
      <c r="GG698" s="1519" t="str">
        <f t="shared" si="170"/>
        <v/>
      </c>
      <c r="GH698" s="1519" t="str">
        <f t="shared" si="171"/>
        <v/>
      </c>
      <c r="GI698" s="1519" t="str">
        <f t="shared" si="172"/>
        <v/>
      </c>
      <c r="GJ698" s="1519" t="str">
        <f t="shared" si="173"/>
        <v/>
      </c>
      <c r="GK698" s="1519" t="str">
        <f t="shared" si="174"/>
        <v/>
      </c>
      <c r="GL698" s="1519" t="str">
        <f t="shared" si="175"/>
        <v/>
      </c>
      <c r="GM698" s="1519" t="str">
        <f t="shared" si="176"/>
        <v/>
      </c>
      <c r="GN698" s="1519" t="str">
        <f t="shared" si="177"/>
        <v/>
      </c>
      <c r="GO698" s="1519" t="str">
        <f t="shared" si="178"/>
        <v/>
      </c>
      <c r="GP698" s="1519" t="str">
        <f t="shared" si="179"/>
        <v/>
      </c>
      <c r="GQ698" s="1519" t="str">
        <f t="shared" si="180"/>
        <v/>
      </c>
      <c r="GR698" s="1519" t="str">
        <f t="shared" si="181"/>
        <v/>
      </c>
      <c r="GS698" s="1519" t="str">
        <f t="shared" si="182"/>
        <v/>
      </c>
      <c r="GT698" s="1519" t="str">
        <f t="shared" si="183"/>
        <v/>
      </c>
      <c r="GU698" s="1519" t="str">
        <f t="shared" si="184"/>
        <v/>
      </c>
      <c r="GV698" s="1519" t="str">
        <f t="shared" si="185"/>
        <v/>
      </c>
      <c r="GW698" s="1519" t="str">
        <f t="shared" si="186"/>
        <v/>
      </c>
      <c r="GX698" s="1519" t="str">
        <f t="shared" si="187"/>
        <v/>
      </c>
      <c r="GY698" s="1519" t="str">
        <f t="shared" si="188"/>
        <v/>
      </c>
      <c r="GZ698" s="1519" t="str">
        <f t="shared" si="189"/>
        <v/>
      </c>
      <c r="HA698" s="1519" t="str">
        <f t="shared" si="190"/>
        <v/>
      </c>
      <c r="HB698" s="1519" t="str">
        <f t="shared" si="191"/>
        <v/>
      </c>
      <c r="HC698" s="1519" t="str">
        <f t="shared" si="192"/>
        <v/>
      </c>
      <c r="HD698" s="1519" t="str">
        <f t="shared" si="193"/>
        <v/>
      </c>
      <c r="HE698" s="1519" t="str">
        <f t="shared" si="194"/>
        <v/>
      </c>
      <c r="HF698" s="1519" t="str">
        <f t="shared" si="195"/>
        <v/>
      </c>
      <c r="HG698" s="1519" t="str">
        <f t="shared" si="196"/>
        <v/>
      </c>
      <c r="HH698" s="1519" t="str">
        <f t="shared" si="197"/>
        <v/>
      </c>
      <c r="HI698" s="1519" t="str">
        <f t="shared" si="198"/>
        <v/>
      </c>
      <c r="HJ698" s="1519" t="str">
        <f t="shared" si="199"/>
        <v/>
      </c>
      <c r="HK698" s="1519" t="str">
        <f t="shared" si="200"/>
        <v/>
      </c>
      <c r="HL698" s="1519" t="str">
        <f t="shared" si="201"/>
        <v/>
      </c>
      <c r="HM698" s="1519" t="str">
        <f t="shared" si="202"/>
        <v/>
      </c>
      <c r="HN698" s="1519" t="str">
        <f t="shared" si="203"/>
        <v/>
      </c>
      <c r="HO698" s="1519" t="str">
        <f t="shared" si="204"/>
        <v/>
      </c>
      <c r="HP698" s="1519" t="str">
        <f t="shared" si="205"/>
        <v/>
      </c>
      <c r="HQ698" s="1519" t="str">
        <f t="shared" si="206"/>
        <v/>
      </c>
      <c r="HR698" s="1519" t="str">
        <f t="shared" si="207"/>
        <v/>
      </c>
      <c r="HS698" s="1519" t="str">
        <f t="shared" si="208"/>
        <v/>
      </c>
      <c r="HT698" s="1519" t="str">
        <f t="shared" si="209"/>
        <v/>
      </c>
      <c r="HU698" s="1519" t="str">
        <f t="shared" si="210"/>
        <v/>
      </c>
      <c r="HV698" s="1519" t="str">
        <f t="shared" si="211"/>
        <v/>
      </c>
      <c r="HW698" s="1519" t="str">
        <f t="shared" si="212"/>
        <v/>
      </c>
      <c r="HX698" s="1519" t="str">
        <f t="shared" si="213"/>
        <v/>
      </c>
      <c r="HY698" s="1519" t="str">
        <f t="shared" si="214"/>
        <v/>
      </c>
      <c r="HZ698" s="1519" t="str">
        <f t="shared" si="215"/>
        <v/>
      </c>
      <c r="IA698" s="1519" t="str">
        <f t="shared" si="216"/>
        <v/>
      </c>
      <c r="IB698" s="1519" t="str">
        <f t="shared" si="217"/>
        <v/>
      </c>
      <c r="IC698" s="1519" t="str">
        <f t="shared" si="218"/>
        <v/>
      </c>
      <c r="ID698" s="1520" t="str">
        <f t="shared" si="219"/>
        <v/>
      </c>
      <c r="IE698" s="1520" t="str">
        <f t="shared" si="220"/>
        <v/>
      </c>
      <c r="IF698" s="1520" t="str">
        <f t="shared" si="221"/>
        <v/>
      </c>
      <c r="IG698" s="1520" t="str">
        <f t="shared" si="222"/>
        <v/>
      </c>
      <c r="IH698" s="1520" t="str">
        <f t="shared" si="223"/>
        <v/>
      </c>
      <c r="II698" s="1271" t="str">
        <f t="shared" si="224"/>
        <v/>
      </c>
      <c r="IJ698" s="1271" t="str">
        <f t="shared" si="225"/>
        <v/>
      </c>
      <c r="IK698" s="1271" t="str">
        <f t="shared" si="226"/>
        <v/>
      </c>
      <c r="IL698" s="1271" t="str">
        <f t="shared" si="227"/>
        <v/>
      </c>
      <c r="IM698" s="1271" t="str">
        <f t="shared" si="228"/>
        <v/>
      </c>
      <c r="IN698" s="1271" t="str">
        <f t="shared" si="229"/>
        <v/>
      </c>
      <c r="IO698" s="1271" t="str">
        <f t="shared" si="230"/>
        <v/>
      </c>
      <c r="IP698" s="1271" t="str">
        <f t="shared" si="231"/>
        <v/>
      </c>
      <c r="IQ698" s="1271" t="str">
        <f t="shared" si="232"/>
        <v/>
      </c>
      <c r="IR698" s="1271" t="str">
        <f t="shared" si="233"/>
        <v/>
      </c>
      <c r="IS698" s="1271" t="str">
        <f t="shared" si="234"/>
        <v/>
      </c>
      <c r="IT698" s="1271" t="str">
        <f t="shared" si="235"/>
        <v/>
      </c>
      <c r="IU698" s="1271" t="str">
        <f t="shared" si="236"/>
        <v/>
      </c>
      <c r="IV698" s="1271" t="str">
        <f t="shared" si="237"/>
        <v/>
      </c>
      <c r="IW698" s="1271" t="str">
        <f t="shared" si="238"/>
        <v/>
      </c>
      <c r="IX698" s="1271" t="str">
        <f t="shared" si="239"/>
        <v/>
      </c>
      <c r="IY698" s="1271" t="str">
        <f t="shared" si="240"/>
        <v/>
      </c>
      <c r="IZ698" s="1271" t="str">
        <f t="shared" si="241"/>
        <v/>
      </c>
      <c r="JA698" s="1271" t="str">
        <f t="shared" si="242"/>
        <v/>
      </c>
      <c r="JB698" s="1271" t="str">
        <f t="shared" si="243"/>
        <v/>
      </c>
      <c r="JC698" s="1518">
        <f t="shared" si="244"/>
        <v>0</v>
      </c>
      <c r="JD698" s="1518">
        <f t="shared" si="245"/>
        <v>0</v>
      </c>
      <c r="JE698" s="1518">
        <f t="shared" si="246"/>
        <v>0</v>
      </c>
      <c r="JF698" s="1518">
        <f t="shared" si="247"/>
        <v>0</v>
      </c>
      <c r="JG698" s="1518">
        <f t="shared" si="248"/>
        <v>0</v>
      </c>
      <c r="JH698" s="1518">
        <f t="shared" si="249"/>
        <v>0</v>
      </c>
      <c r="JI698" s="1518">
        <f t="shared" si="250"/>
        <v>0</v>
      </c>
      <c r="JJ698" s="1518">
        <f t="shared" si="251"/>
        <v>0</v>
      </c>
      <c r="JK698" s="1518">
        <f t="shared" si="252"/>
        <v>0</v>
      </c>
      <c r="JL698" s="1518">
        <f t="shared" si="253"/>
        <v>0</v>
      </c>
      <c r="JM698" s="1518">
        <f t="shared" si="254"/>
        <v>0</v>
      </c>
      <c r="JN698" s="1518">
        <f t="shared" si="255"/>
        <v>0</v>
      </c>
      <c r="JO698" s="1518">
        <f t="shared" si="256"/>
        <v>0</v>
      </c>
      <c r="JP698" s="1518">
        <f t="shared" si="257"/>
        <v>0</v>
      </c>
      <c r="JQ698" s="1518">
        <f t="shared" si="258"/>
        <v>0</v>
      </c>
    </row>
    <row r="699" spans="1:277" ht="12" customHeight="1">
      <c r="A699" s="1687" t="str">
        <f t="shared" si="1"/>
        <v/>
      </c>
      <c r="B699" s="1702" t="str">
        <f>'Part VI-Revenues &amp; Expenses'!B38</f>
        <v>&lt;&lt;Select&gt;&gt;</v>
      </c>
      <c r="C699" s="1703">
        <f>'Part VI-Revenues &amp; Expenses'!C38</f>
        <v>0</v>
      </c>
      <c r="D699" s="1704">
        <f>'Part VI-Revenues &amp; Expenses'!D38</f>
        <v>0</v>
      </c>
      <c r="E699" s="1705">
        <f>'Part VI-Revenues &amp; Expenses'!E38</f>
        <v>0</v>
      </c>
      <c r="F699" s="1705">
        <f>'Part VI-Revenues &amp; Expenses'!F38</f>
        <v>0</v>
      </c>
      <c r="G699" s="1705">
        <f>'Part VI-Revenues &amp; Expenses'!G38</f>
        <v>0</v>
      </c>
      <c r="H699" s="1705">
        <f>'Part VI-Revenues &amp; Expenses'!H38</f>
        <v>0</v>
      </c>
      <c r="I699" s="1705">
        <f>'Part VI-Revenues &amp; Expenses'!I38</f>
        <v>0</v>
      </c>
      <c r="J699" s="1706">
        <f>'Part VI-Revenues &amp; Expenses'!J38</f>
        <v>0</v>
      </c>
      <c r="K699" s="1707">
        <f t="shared" si="2"/>
        <v>0</v>
      </c>
      <c r="L699" s="1707">
        <f t="shared" si="3"/>
        <v>0</v>
      </c>
      <c r="M699" s="1708">
        <f>'Part VI-Revenues &amp; Expenses'!M38</f>
        <v>0</v>
      </c>
      <c r="N699" s="1708">
        <f>'Part VI-Revenues &amp; Expenses'!N38</f>
        <v>0</v>
      </c>
      <c r="O699" s="1708">
        <f>'Part VI-Revenues &amp; Expenses'!O38</f>
        <v>0</v>
      </c>
      <c r="P699" s="1515">
        <f>'Part VI-Revenues &amp; Expenses'!P38</f>
        <v>0</v>
      </c>
      <c r="Q699" s="1709" t="str">
        <f>'Part VI-Revenues &amp; Expenses'!Q38</f>
        <v/>
      </c>
      <c r="R699" s="1710" t="str">
        <f>'Part VI-Revenues &amp; Expenses'!R38</f>
        <v/>
      </c>
      <c r="S699" s="1709">
        <f>'Part VI-Revenues &amp; Expenses'!S38</f>
        <v>0</v>
      </c>
      <c r="T699" s="1710">
        <f>'Part VI-Revenues &amp; Expenses'!T38</f>
        <v>0</v>
      </c>
      <c r="U699" s="1629"/>
      <c r="V699" s="1629"/>
      <c r="W699" s="1271" t="str">
        <f t="shared" si="4"/>
        <v/>
      </c>
      <c r="X699" s="1271" t="str">
        <f t="shared" si="5"/>
        <v/>
      </c>
      <c r="Y699" s="1271" t="str">
        <f t="shared" si="6"/>
        <v/>
      </c>
      <c r="Z699" s="1271" t="str">
        <f t="shared" si="7"/>
        <v/>
      </c>
      <c r="AA699" s="1271" t="str">
        <f t="shared" si="8"/>
        <v/>
      </c>
      <c r="AB699" s="1271" t="str">
        <f t="shared" si="9"/>
        <v/>
      </c>
      <c r="AC699" s="1271" t="str">
        <f t="shared" si="10"/>
        <v/>
      </c>
      <c r="AD699" s="1271" t="str">
        <f t="shared" si="11"/>
        <v/>
      </c>
      <c r="AE699" s="1271" t="str">
        <f t="shared" si="12"/>
        <v/>
      </c>
      <c r="AF699" s="1271" t="str">
        <f t="shared" si="13"/>
        <v/>
      </c>
      <c r="AG699" s="1271" t="str">
        <f t="shared" si="14"/>
        <v/>
      </c>
      <c r="AH699" s="1271" t="str">
        <f t="shared" si="15"/>
        <v/>
      </c>
      <c r="AI699" s="1271" t="str">
        <f t="shared" si="16"/>
        <v/>
      </c>
      <c r="AJ699" s="1271" t="str">
        <f t="shared" si="17"/>
        <v/>
      </c>
      <c r="AK699" s="1271" t="str">
        <f t="shared" si="18"/>
        <v/>
      </c>
      <c r="AL699" s="1271" t="str">
        <f t="shared" si="19"/>
        <v/>
      </c>
      <c r="AM699" s="1271" t="str">
        <f t="shared" si="20"/>
        <v/>
      </c>
      <c r="AN699" s="1271" t="str">
        <f t="shared" si="21"/>
        <v/>
      </c>
      <c r="AO699" s="1271" t="str">
        <f t="shared" si="22"/>
        <v/>
      </c>
      <c r="AP699" s="1271" t="str">
        <f t="shared" si="23"/>
        <v/>
      </c>
      <c r="AQ699" s="1271" t="str">
        <f t="shared" si="24"/>
        <v/>
      </c>
      <c r="AR699" s="1271" t="str">
        <f t="shared" si="25"/>
        <v/>
      </c>
      <c r="AS699" s="1271" t="str">
        <f t="shared" si="26"/>
        <v/>
      </c>
      <c r="AT699" s="1271" t="str">
        <f t="shared" si="27"/>
        <v/>
      </c>
      <c r="AU699" s="1271" t="str">
        <f t="shared" si="28"/>
        <v/>
      </c>
      <c r="AV699" s="1271" t="str">
        <f t="shared" si="29"/>
        <v/>
      </c>
      <c r="AW699" s="1271" t="str">
        <f t="shared" si="30"/>
        <v/>
      </c>
      <c r="AX699" s="1271" t="str">
        <f t="shared" si="31"/>
        <v/>
      </c>
      <c r="AY699" s="1271" t="str">
        <f t="shared" si="32"/>
        <v/>
      </c>
      <c r="AZ699" s="1271" t="str">
        <f t="shared" si="33"/>
        <v/>
      </c>
      <c r="BA699" s="1271" t="str">
        <f t="shared" si="34"/>
        <v/>
      </c>
      <c r="BB699" s="1271" t="str">
        <f t="shared" si="35"/>
        <v/>
      </c>
      <c r="BC699" s="1271" t="str">
        <f t="shared" si="36"/>
        <v/>
      </c>
      <c r="BD699" s="1271" t="str">
        <f t="shared" si="37"/>
        <v/>
      </c>
      <c r="BE699" s="1271" t="str">
        <f t="shared" si="38"/>
        <v/>
      </c>
      <c r="BF699" s="1271" t="str">
        <f t="shared" si="39"/>
        <v/>
      </c>
      <c r="BG699" s="1271" t="str">
        <f t="shared" si="40"/>
        <v/>
      </c>
      <c r="BH699" s="1271" t="str">
        <f t="shared" si="41"/>
        <v/>
      </c>
      <c r="BI699" s="1271" t="str">
        <f t="shared" si="42"/>
        <v/>
      </c>
      <c r="BJ699" s="1271" t="str">
        <f t="shared" si="43"/>
        <v/>
      </c>
      <c r="BK699" s="1271" t="str">
        <f t="shared" si="44"/>
        <v/>
      </c>
      <c r="BL699" s="1271" t="str">
        <f t="shared" si="45"/>
        <v/>
      </c>
      <c r="BM699" s="1271" t="str">
        <f t="shared" si="46"/>
        <v/>
      </c>
      <c r="BN699" s="1271" t="str">
        <f t="shared" si="47"/>
        <v/>
      </c>
      <c r="BO699" s="1271" t="str">
        <f t="shared" si="48"/>
        <v/>
      </c>
      <c r="BP699" s="1271" t="str">
        <f t="shared" si="49"/>
        <v/>
      </c>
      <c r="BQ699" s="1271" t="str">
        <f t="shared" si="50"/>
        <v/>
      </c>
      <c r="BR699" s="1271" t="str">
        <f t="shared" si="51"/>
        <v/>
      </c>
      <c r="BS699" s="1271" t="str">
        <f t="shared" si="52"/>
        <v/>
      </c>
      <c r="BT699" s="1271" t="str">
        <f t="shared" si="53"/>
        <v/>
      </c>
      <c r="BU699" s="1271" t="str">
        <f t="shared" si="54"/>
        <v/>
      </c>
      <c r="BV699" s="1271" t="str">
        <f t="shared" si="55"/>
        <v/>
      </c>
      <c r="BW699" s="1271" t="str">
        <f t="shared" si="56"/>
        <v/>
      </c>
      <c r="BX699" s="1271" t="str">
        <f t="shared" si="57"/>
        <v/>
      </c>
      <c r="BY699" s="1271" t="str">
        <f t="shared" si="58"/>
        <v/>
      </c>
      <c r="BZ699" s="1271" t="str">
        <f t="shared" si="59"/>
        <v/>
      </c>
      <c r="CA699" s="1271" t="str">
        <f t="shared" si="60"/>
        <v/>
      </c>
      <c r="CB699" s="1271" t="str">
        <f t="shared" si="61"/>
        <v/>
      </c>
      <c r="CC699" s="1271" t="str">
        <f t="shared" si="62"/>
        <v/>
      </c>
      <c r="CD699" s="1271" t="str">
        <f t="shared" si="63"/>
        <v/>
      </c>
      <c r="CE699" s="1271" t="str">
        <f t="shared" si="64"/>
        <v/>
      </c>
      <c r="CF699" s="1271" t="str">
        <f t="shared" si="65"/>
        <v/>
      </c>
      <c r="CG699" s="1271" t="str">
        <f t="shared" si="66"/>
        <v/>
      </c>
      <c r="CH699" s="1271" t="str">
        <f t="shared" si="67"/>
        <v/>
      </c>
      <c r="CI699" s="1271" t="str">
        <f t="shared" si="68"/>
        <v/>
      </c>
      <c r="CJ699" s="1271" t="str">
        <f t="shared" si="69"/>
        <v/>
      </c>
      <c r="CK699" s="1271" t="str">
        <f t="shared" si="70"/>
        <v/>
      </c>
      <c r="CL699" s="1271" t="str">
        <f t="shared" si="71"/>
        <v/>
      </c>
      <c r="CM699" s="1271" t="str">
        <f t="shared" si="72"/>
        <v/>
      </c>
      <c r="CN699" s="1271" t="str">
        <f t="shared" si="73"/>
        <v/>
      </c>
      <c r="CO699" s="1271" t="str">
        <f t="shared" si="74"/>
        <v/>
      </c>
      <c r="CP699" s="1271" t="str">
        <f t="shared" si="75"/>
        <v/>
      </c>
      <c r="CQ699" s="1271" t="str">
        <f t="shared" si="76"/>
        <v/>
      </c>
      <c r="CR699" s="1271" t="str">
        <f t="shared" si="77"/>
        <v/>
      </c>
      <c r="CS699" s="1271" t="str">
        <f t="shared" si="78"/>
        <v/>
      </c>
      <c r="CT699" s="1271" t="str">
        <f t="shared" si="79"/>
        <v/>
      </c>
      <c r="CU699" s="1271" t="str">
        <f t="shared" si="80"/>
        <v/>
      </c>
      <c r="CV699" s="1271" t="str">
        <f t="shared" si="81"/>
        <v/>
      </c>
      <c r="CW699" s="1271" t="str">
        <f t="shared" si="82"/>
        <v/>
      </c>
      <c r="CX699" s="1271" t="str">
        <f t="shared" si="83"/>
        <v/>
      </c>
      <c r="CY699" s="1271" t="str">
        <f t="shared" si="84"/>
        <v/>
      </c>
      <c r="CZ699" s="1271" t="str">
        <f t="shared" si="85"/>
        <v/>
      </c>
      <c r="DA699" s="1271" t="str">
        <f t="shared" si="86"/>
        <v/>
      </c>
      <c r="DB699" s="1271" t="str">
        <f t="shared" si="87"/>
        <v/>
      </c>
      <c r="DC699" s="1271" t="str">
        <f t="shared" si="88"/>
        <v/>
      </c>
      <c r="DD699" s="1271" t="str">
        <f t="shared" si="89"/>
        <v/>
      </c>
      <c r="DE699" s="1271" t="str">
        <f t="shared" si="90"/>
        <v/>
      </c>
      <c r="DF699" s="1271" t="str">
        <f t="shared" si="91"/>
        <v/>
      </c>
      <c r="DG699" s="1271" t="str">
        <f t="shared" si="92"/>
        <v/>
      </c>
      <c r="DH699" s="1271" t="str">
        <f t="shared" si="93"/>
        <v/>
      </c>
      <c r="DI699" s="1271" t="str">
        <f t="shared" si="94"/>
        <v/>
      </c>
      <c r="DJ699" s="1271" t="str">
        <f t="shared" si="95"/>
        <v/>
      </c>
      <c r="DK699" s="1271" t="str">
        <f t="shared" si="96"/>
        <v/>
      </c>
      <c r="DL699" s="1271" t="str">
        <f t="shared" si="97"/>
        <v/>
      </c>
      <c r="DM699" s="1271" t="str">
        <f t="shared" si="98"/>
        <v/>
      </c>
      <c r="DN699" s="1271" t="str">
        <f t="shared" si="99"/>
        <v/>
      </c>
      <c r="DO699" s="1271" t="str">
        <f t="shared" si="100"/>
        <v/>
      </c>
      <c r="DP699" s="1271" t="str">
        <f t="shared" si="101"/>
        <v/>
      </c>
      <c r="DQ699" s="1271" t="str">
        <f t="shared" si="102"/>
        <v/>
      </c>
      <c r="DR699" s="1271" t="str">
        <f t="shared" si="103"/>
        <v/>
      </c>
      <c r="DS699" s="1271" t="str">
        <f t="shared" si="104"/>
        <v/>
      </c>
      <c r="DT699" s="1271" t="str">
        <f t="shared" si="105"/>
        <v/>
      </c>
      <c r="DU699" s="1271" t="str">
        <f t="shared" si="106"/>
        <v/>
      </c>
      <c r="DV699" s="1271" t="str">
        <f t="shared" si="107"/>
        <v/>
      </c>
      <c r="DW699" s="1271" t="str">
        <f t="shared" si="108"/>
        <v/>
      </c>
      <c r="DX699" s="1271" t="str">
        <f t="shared" si="109"/>
        <v/>
      </c>
      <c r="DY699" s="1271" t="str">
        <f t="shared" si="110"/>
        <v/>
      </c>
      <c r="DZ699" s="1271" t="str">
        <f t="shared" si="111"/>
        <v/>
      </c>
      <c r="EA699" s="1271" t="str">
        <f t="shared" si="112"/>
        <v/>
      </c>
      <c r="EB699" s="1271" t="str">
        <f t="shared" si="113"/>
        <v/>
      </c>
      <c r="EC699" s="1271" t="str">
        <f t="shared" si="114"/>
        <v/>
      </c>
      <c r="ED699" s="1271" t="str">
        <f t="shared" si="115"/>
        <v/>
      </c>
      <c r="EE699" s="1271" t="str">
        <f t="shared" si="116"/>
        <v/>
      </c>
      <c r="EF699" s="1271" t="str">
        <f t="shared" si="117"/>
        <v/>
      </c>
      <c r="EG699" s="1271" t="str">
        <f t="shared" si="118"/>
        <v/>
      </c>
      <c r="EH699" s="1271" t="str">
        <f t="shared" si="119"/>
        <v/>
      </c>
      <c r="EI699" s="1271" t="str">
        <f t="shared" si="120"/>
        <v/>
      </c>
      <c r="EJ699" s="1271" t="str">
        <f t="shared" si="121"/>
        <v/>
      </c>
      <c r="EK699" s="1271" t="str">
        <f t="shared" si="122"/>
        <v/>
      </c>
      <c r="EL699" s="1271" t="str">
        <f t="shared" si="123"/>
        <v/>
      </c>
      <c r="EM699" s="1271" t="str">
        <f t="shared" si="124"/>
        <v/>
      </c>
      <c r="EN699" s="1271" t="str">
        <f t="shared" si="125"/>
        <v/>
      </c>
      <c r="EO699" s="1271" t="str">
        <f t="shared" si="126"/>
        <v/>
      </c>
      <c r="EP699" s="1271" t="str">
        <f t="shared" si="127"/>
        <v/>
      </c>
      <c r="EQ699" s="1271" t="str">
        <f t="shared" si="128"/>
        <v/>
      </c>
      <c r="ER699" s="1271" t="str">
        <f t="shared" si="129"/>
        <v/>
      </c>
      <c r="ES699" s="1271" t="str">
        <f t="shared" si="130"/>
        <v/>
      </c>
      <c r="ET699" s="1271" t="str">
        <f t="shared" si="131"/>
        <v/>
      </c>
      <c r="EU699" s="1271" t="str">
        <f t="shared" si="132"/>
        <v/>
      </c>
      <c r="EV699" s="1271" t="str">
        <f t="shared" si="133"/>
        <v/>
      </c>
      <c r="EW699" s="1519" t="str">
        <f t="shared" si="134"/>
        <v/>
      </c>
      <c r="EX699" s="1519" t="str">
        <f t="shared" si="135"/>
        <v/>
      </c>
      <c r="EY699" s="1519" t="str">
        <f t="shared" si="136"/>
        <v/>
      </c>
      <c r="EZ699" s="1519" t="str">
        <f t="shared" si="137"/>
        <v/>
      </c>
      <c r="FA699" s="1519" t="str">
        <f t="shared" si="138"/>
        <v/>
      </c>
      <c r="FB699" s="1519" t="str">
        <f t="shared" si="139"/>
        <v/>
      </c>
      <c r="FC699" s="1519" t="str">
        <f t="shared" si="140"/>
        <v/>
      </c>
      <c r="FD699" s="1519" t="str">
        <f t="shared" si="141"/>
        <v/>
      </c>
      <c r="FE699" s="1519" t="str">
        <f t="shared" si="142"/>
        <v/>
      </c>
      <c r="FF699" s="1519" t="str">
        <f t="shared" si="143"/>
        <v/>
      </c>
      <c r="FG699" s="1519" t="str">
        <f t="shared" si="144"/>
        <v/>
      </c>
      <c r="FH699" s="1519" t="str">
        <f t="shared" si="145"/>
        <v/>
      </c>
      <c r="FI699" s="1519" t="str">
        <f t="shared" si="146"/>
        <v/>
      </c>
      <c r="FJ699" s="1519" t="str">
        <f t="shared" si="147"/>
        <v/>
      </c>
      <c r="FK699" s="1519" t="str">
        <f t="shared" si="148"/>
        <v/>
      </c>
      <c r="FL699" s="1519" t="str">
        <f t="shared" si="149"/>
        <v/>
      </c>
      <c r="FM699" s="1519" t="str">
        <f t="shared" si="150"/>
        <v/>
      </c>
      <c r="FN699" s="1519" t="str">
        <f t="shared" si="151"/>
        <v/>
      </c>
      <c r="FO699" s="1519" t="str">
        <f t="shared" si="152"/>
        <v/>
      </c>
      <c r="FP699" s="1519" t="str">
        <f t="shared" si="153"/>
        <v/>
      </c>
      <c r="FQ699" s="1519" t="str">
        <f t="shared" si="154"/>
        <v/>
      </c>
      <c r="FR699" s="1519" t="str">
        <f t="shared" si="155"/>
        <v/>
      </c>
      <c r="FS699" s="1519" t="str">
        <f t="shared" si="156"/>
        <v/>
      </c>
      <c r="FT699" s="1519" t="str">
        <f t="shared" si="157"/>
        <v/>
      </c>
      <c r="FU699" s="1519" t="str">
        <f t="shared" si="158"/>
        <v/>
      </c>
      <c r="FV699" s="1519" t="str">
        <f t="shared" si="159"/>
        <v/>
      </c>
      <c r="FW699" s="1519" t="str">
        <f t="shared" si="160"/>
        <v/>
      </c>
      <c r="FX699" s="1519" t="str">
        <f t="shared" si="161"/>
        <v/>
      </c>
      <c r="FY699" s="1519" t="str">
        <f t="shared" si="162"/>
        <v/>
      </c>
      <c r="FZ699" s="1519" t="str">
        <f t="shared" si="163"/>
        <v/>
      </c>
      <c r="GA699" s="1519" t="str">
        <f t="shared" si="164"/>
        <v/>
      </c>
      <c r="GB699" s="1519" t="str">
        <f t="shared" si="165"/>
        <v/>
      </c>
      <c r="GC699" s="1519" t="str">
        <f t="shared" si="166"/>
        <v/>
      </c>
      <c r="GD699" s="1519" t="str">
        <f t="shared" si="167"/>
        <v/>
      </c>
      <c r="GE699" s="1519" t="str">
        <f t="shared" si="168"/>
        <v/>
      </c>
      <c r="GF699" s="1519" t="str">
        <f t="shared" si="169"/>
        <v/>
      </c>
      <c r="GG699" s="1519" t="str">
        <f t="shared" si="170"/>
        <v/>
      </c>
      <c r="GH699" s="1519" t="str">
        <f t="shared" si="171"/>
        <v/>
      </c>
      <c r="GI699" s="1519" t="str">
        <f t="shared" si="172"/>
        <v/>
      </c>
      <c r="GJ699" s="1519" t="str">
        <f t="shared" si="173"/>
        <v/>
      </c>
      <c r="GK699" s="1519" t="str">
        <f t="shared" si="174"/>
        <v/>
      </c>
      <c r="GL699" s="1519" t="str">
        <f t="shared" si="175"/>
        <v/>
      </c>
      <c r="GM699" s="1519" t="str">
        <f t="shared" si="176"/>
        <v/>
      </c>
      <c r="GN699" s="1519" t="str">
        <f t="shared" si="177"/>
        <v/>
      </c>
      <c r="GO699" s="1519" t="str">
        <f t="shared" si="178"/>
        <v/>
      </c>
      <c r="GP699" s="1519" t="str">
        <f t="shared" si="179"/>
        <v/>
      </c>
      <c r="GQ699" s="1519" t="str">
        <f t="shared" si="180"/>
        <v/>
      </c>
      <c r="GR699" s="1519" t="str">
        <f t="shared" si="181"/>
        <v/>
      </c>
      <c r="GS699" s="1519" t="str">
        <f t="shared" si="182"/>
        <v/>
      </c>
      <c r="GT699" s="1519" t="str">
        <f t="shared" si="183"/>
        <v/>
      </c>
      <c r="GU699" s="1519" t="str">
        <f t="shared" si="184"/>
        <v/>
      </c>
      <c r="GV699" s="1519" t="str">
        <f t="shared" si="185"/>
        <v/>
      </c>
      <c r="GW699" s="1519" t="str">
        <f t="shared" si="186"/>
        <v/>
      </c>
      <c r="GX699" s="1519" t="str">
        <f t="shared" si="187"/>
        <v/>
      </c>
      <c r="GY699" s="1519" t="str">
        <f t="shared" si="188"/>
        <v/>
      </c>
      <c r="GZ699" s="1519" t="str">
        <f t="shared" si="189"/>
        <v/>
      </c>
      <c r="HA699" s="1519" t="str">
        <f t="shared" si="190"/>
        <v/>
      </c>
      <c r="HB699" s="1519" t="str">
        <f t="shared" si="191"/>
        <v/>
      </c>
      <c r="HC699" s="1519" t="str">
        <f t="shared" si="192"/>
        <v/>
      </c>
      <c r="HD699" s="1519" t="str">
        <f t="shared" si="193"/>
        <v/>
      </c>
      <c r="HE699" s="1519" t="str">
        <f t="shared" si="194"/>
        <v/>
      </c>
      <c r="HF699" s="1519" t="str">
        <f t="shared" si="195"/>
        <v/>
      </c>
      <c r="HG699" s="1519" t="str">
        <f t="shared" si="196"/>
        <v/>
      </c>
      <c r="HH699" s="1519" t="str">
        <f t="shared" si="197"/>
        <v/>
      </c>
      <c r="HI699" s="1519" t="str">
        <f t="shared" si="198"/>
        <v/>
      </c>
      <c r="HJ699" s="1519" t="str">
        <f t="shared" si="199"/>
        <v/>
      </c>
      <c r="HK699" s="1519" t="str">
        <f t="shared" si="200"/>
        <v/>
      </c>
      <c r="HL699" s="1519" t="str">
        <f t="shared" si="201"/>
        <v/>
      </c>
      <c r="HM699" s="1519" t="str">
        <f t="shared" si="202"/>
        <v/>
      </c>
      <c r="HN699" s="1519" t="str">
        <f t="shared" si="203"/>
        <v/>
      </c>
      <c r="HO699" s="1519" t="str">
        <f t="shared" si="204"/>
        <v/>
      </c>
      <c r="HP699" s="1519" t="str">
        <f t="shared" si="205"/>
        <v/>
      </c>
      <c r="HQ699" s="1519" t="str">
        <f t="shared" si="206"/>
        <v/>
      </c>
      <c r="HR699" s="1519" t="str">
        <f t="shared" si="207"/>
        <v/>
      </c>
      <c r="HS699" s="1519" t="str">
        <f t="shared" si="208"/>
        <v/>
      </c>
      <c r="HT699" s="1519" t="str">
        <f t="shared" si="209"/>
        <v/>
      </c>
      <c r="HU699" s="1519" t="str">
        <f t="shared" si="210"/>
        <v/>
      </c>
      <c r="HV699" s="1519" t="str">
        <f t="shared" si="211"/>
        <v/>
      </c>
      <c r="HW699" s="1519" t="str">
        <f t="shared" si="212"/>
        <v/>
      </c>
      <c r="HX699" s="1519" t="str">
        <f t="shared" si="213"/>
        <v/>
      </c>
      <c r="HY699" s="1519" t="str">
        <f t="shared" si="214"/>
        <v/>
      </c>
      <c r="HZ699" s="1519" t="str">
        <f t="shared" si="215"/>
        <v/>
      </c>
      <c r="IA699" s="1519" t="str">
        <f t="shared" si="216"/>
        <v/>
      </c>
      <c r="IB699" s="1519" t="str">
        <f t="shared" si="217"/>
        <v/>
      </c>
      <c r="IC699" s="1519" t="str">
        <f t="shared" si="218"/>
        <v/>
      </c>
      <c r="ID699" s="1520" t="str">
        <f t="shared" si="219"/>
        <v/>
      </c>
      <c r="IE699" s="1520" t="str">
        <f t="shared" si="220"/>
        <v/>
      </c>
      <c r="IF699" s="1520" t="str">
        <f t="shared" si="221"/>
        <v/>
      </c>
      <c r="IG699" s="1520" t="str">
        <f t="shared" si="222"/>
        <v/>
      </c>
      <c r="IH699" s="1520" t="str">
        <f t="shared" si="223"/>
        <v/>
      </c>
      <c r="II699" s="1271" t="str">
        <f t="shared" si="224"/>
        <v/>
      </c>
      <c r="IJ699" s="1271" t="str">
        <f t="shared" si="225"/>
        <v/>
      </c>
      <c r="IK699" s="1271" t="str">
        <f t="shared" si="226"/>
        <v/>
      </c>
      <c r="IL699" s="1271" t="str">
        <f t="shared" si="227"/>
        <v/>
      </c>
      <c r="IM699" s="1271" t="str">
        <f t="shared" si="228"/>
        <v/>
      </c>
      <c r="IN699" s="1271" t="str">
        <f t="shared" si="229"/>
        <v/>
      </c>
      <c r="IO699" s="1271" t="str">
        <f t="shared" si="230"/>
        <v/>
      </c>
      <c r="IP699" s="1271" t="str">
        <f t="shared" si="231"/>
        <v/>
      </c>
      <c r="IQ699" s="1271" t="str">
        <f t="shared" si="232"/>
        <v/>
      </c>
      <c r="IR699" s="1271" t="str">
        <f t="shared" si="233"/>
        <v/>
      </c>
      <c r="IS699" s="1271" t="str">
        <f t="shared" si="234"/>
        <v/>
      </c>
      <c r="IT699" s="1271" t="str">
        <f t="shared" si="235"/>
        <v/>
      </c>
      <c r="IU699" s="1271" t="str">
        <f t="shared" si="236"/>
        <v/>
      </c>
      <c r="IV699" s="1271" t="str">
        <f t="shared" si="237"/>
        <v/>
      </c>
      <c r="IW699" s="1271" t="str">
        <f t="shared" si="238"/>
        <v/>
      </c>
      <c r="IX699" s="1271" t="str">
        <f t="shared" si="239"/>
        <v/>
      </c>
      <c r="IY699" s="1271" t="str">
        <f t="shared" si="240"/>
        <v/>
      </c>
      <c r="IZ699" s="1271" t="str">
        <f t="shared" si="241"/>
        <v/>
      </c>
      <c r="JA699" s="1271" t="str">
        <f t="shared" si="242"/>
        <v/>
      </c>
      <c r="JB699" s="1271" t="str">
        <f t="shared" si="243"/>
        <v/>
      </c>
      <c r="JC699" s="1518">
        <f t="shared" si="244"/>
        <v>0</v>
      </c>
      <c r="JD699" s="1518">
        <f t="shared" si="245"/>
        <v>0</v>
      </c>
      <c r="JE699" s="1518">
        <f t="shared" si="246"/>
        <v>0</v>
      </c>
      <c r="JF699" s="1518">
        <f t="shared" si="247"/>
        <v>0</v>
      </c>
      <c r="JG699" s="1518">
        <f t="shared" si="248"/>
        <v>0</v>
      </c>
      <c r="JH699" s="1518">
        <f t="shared" si="249"/>
        <v>0</v>
      </c>
      <c r="JI699" s="1518">
        <f t="shared" si="250"/>
        <v>0</v>
      </c>
      <c r="JJ699" s="1518">
        <f t="shared" si="251"/>
        <v>0</v>
      </c>
      <c r="JK699" s="1518">
        <f t="shared" si="252"/>
        <v>0</v>
      </c>
      <c r="JL699" s="1518">
        <f t="shared" si="253"/>
        <v>0</v>
      </c>
      <c r="JM699" s="1518">
        <f t="shared" si="254"/>
        <v>0</v>
      </c>
      <c r="JN699" s="1518">
        <f t="shared" si="255"/>
        <v>0</v>
      </c>
      <c r="JO699" s="1518">
        <f t="shared" si="256"/>
        <v>0</v>
      </c>
      <c r="JP699" s="1518">
        <f t="shared" si="257"/>
        <v>0</v>
      </c>
      <c r="JQ699" s="1518">
        <f t="shared" si="258"/>
        <v>0</v>
      </c>
    </row>
    <row r="700" spans="1:277" ht="12" customHeight="1">
      <c r="A700" s="1687" t="str">
        <f t="shared" si="1"/>
        <v/>
      </c>
      <c r="B700" s="1702" t="str">
        <f>'Part VI-Revenues &amp; Expenses'!B39</f>
        <v>&lt;&lt;Select&gt;&gt;</v>
      </c>
      <c r="C700" s="1703">
        <f>'Part VI-Revenues &amp; Expenses'!C39</f>
        <v>0</v>
      </c>
      <c r="D700" s="1704">
        <f>'Part VI-Revenues &amp; Expenses'!D39</f>
        <v>0</v>
      </c>
      <c r="E700" s="1705">
        <f>'Part VI-Revenues &amp; Expenses'!E39</f>
        <v>0</v>
      </c>
      <c r="F700" s="1705">
        <f>'Part VI-Revenues &amp; Expenses'!F39</f>
        <v>0</v>
      </c>
      <c r="G700" s="1705">
        <f>'Part VI-Revenues &amp; Expenses'!G39</f>
        <v>0</v>
      </c>
      <c r="H700" s="1705">
        <f>'Part VI-Revenues &amp; Expenses'!H39</f>
        <v>0</v>
      </c>
      <c r="I700" s="1705">
        <f>'Part VI-Revenues &amp; Expenses'!I39</f>
        <v>0</v>
      </c>
      <c r="J700" s="1706">
        <f>'Part VI-Revenues &amp; Expenses'!J39</f>
        <v>0</v>
      </c>
      <c r="K700" s="1707">
        <f t="shared" si="2"/>
        <v>0</v>
      </c>
      <c r="L700" s="1707">
        <f t="shared" si="3"/>
        <v>0</v>
      </c>
      <c r="M700" s="1708">
        <f>'Part VI-Revenues &amp; Expenses'!M39</f>
        <v>0</v>
      </c>
      <c r="N700" s="1708">
        <f>'Part VI-Revenues &amp; Expenses'!N39</f>
        <v>0</v>
      </c>
      <c r="O700" s="1708">
        <f>'Part VI-Revenues &amp; Expenses'!O39</f>
        <v>0</v>
      </c>
      <c r="P700" s="1515">
        <f>'Part VI-Revenues &amp; Expenses'!P39</f>
        <v>0</v>
      </c>
      <c r="Q700" s="1709" t="str">
        <f>'Part VI-Revenues &amp; Expenses'!Q39</f>
        <v/>
      </c>
      <c r="R700" s="1710" t="str">
        <f>'Part VI-Revenues &amp; Expenses'!R39</f>
        <v/>
      </c>
      <c r="S700" s="1709">
        <f>'Part VI-Revenues &amp; Expenses'!S39</f>
        <v>0</v>
      </c>
      <c r="T700" s="1710">
        <f>'Part VI-Revenues &amp; Expenses'!T39</f>
        <v>0</v>
      </c>
      <c r="U700" s="1629"/>
      <c r="V700" s="1629"/>
      <c r="W700" s="1271" t="str">
        <f t="shared" si="4"/>
        <v/>
      </c>
      <c r="X700" s="1271" t="str">
        <f t="shared" si="5"/>
        <v/>
      </c>
      <c r="Y700" s="1271" t="str">
        <f t="shared" si="6"/>
        <v/>
      </c>
      <c r="Z700" s="1271" t="str">
        <f t="shared" si="7"/>
        <v/>
      </c>
      <c r="AA700" s="1271" t="str">
        <f t="shared" si="8"/>
        <v/>
      </c>
      <c r="AB700" s="1271" t="str">
        <f t="shared" si="9"/>
        <v/>
      </c>
      <c r="AC700" s="1271" t="str">
        <f t="shared" si="10"/>
        <v/>
      </c>
      <c r="AD700" s="1271" t="str">
        <f t="shared" si="11"/>
        <v/>
      </c>
      <c r="AE700" s="1271" t="str">
        <f t="shared" si="12"/>
        <v/>
      </c>
      <c r="AF700" s="1271" t="str">
        <f t="shared" si="13"/>
        <v/>
      </c>
      <c r="AG700" s="1271" t="str">
        <f t="shared" si="14"/>
        <v/>
      </c>
      <c r="AH700" s="1271" t="str">
        <f t="shared" si="15"/>
        <v/>
      </c>
      <c r="AI700" s="1271" t="str">
        <f t="shared" si="16"/>
        <v/>
      </c>
      <c r="AJ700" s="1271" t="str">
        <f t="shared" si="17"/>
        <v/>
      </c>
      <c r="AK700" s="1271" t="str">
        <f t="shared" si="18"/>
        <v/>
      </c>
      <c r="AL700" s="1271" t="str">
        <f t="shared" si="19"/>
        <v/>
      </c>
      <c r="AM700" s="1271" t="str">
        <f t="shared" si="20"/>
        <v/>
      </c>
      <c r="AN700" s="1271" t="str">
        <f t="shared" si="21"/>
        <v/>
      </c>
      <c r="AO700" s="1271" t="str">
        <f t="shared" si="22"/>
        <v/>
      </c>
      <c r="AP700" s="1271" t="str">
        <f t="shared" si="23"/>
        <v/>
      </c>
      <c r="AQ700" s="1271" t="str">
        <f t="shared" si="24"/>
        <v/>
      </c>
      <c r="AR700" s="1271" t="str">
        <f t="shared" si="25"/>
        <v/>
      </c>
      <c r="AS700" s="1271" t="str">
        <f t="shared" si="26"/>
        <v/>
      </c>
      <c r="AT700" s="1271" t="str">
        <f t="shared" si="27"/>
        <v/>
      </c>
      <c r="AU700" s="1271" t="str">
        <f t="shared" si="28"/>
        <v/>
      </c>
      <c r="AV700" s="1271" t="str">
        <f t="shared" si="29"/>
        <v/>
      </c>
      <c r="AW700" s="1271" t="str">
        <f t="shared" si="30"/>
        <v/>
      </c>
      <c r="AX700" s="1271" t="str">
        <f t="shared" si="31"/>
        <v/>
      </c>
      <c r="AY700" s="1271" t="str">
        <f t="shared" si="32"/>
        <v/>
      </c>
      <c r="AZ700" s="1271" t="str">
        <f t="shared" si="33"/>
        <v/>
      </c>
      <c r="BA700" s="1271" t="str">
        <f t="shared" si="34"/>
        <v/>
      </c>
      <c r="BB700" s="1271" t="str">
        <f t="shared" si="35"/>
        <v/>
      </c>
      <c r="BC700" s="1271" t="str">
        <f t="shared" si="36"/>
        <v/>
      </c>
      <c r="BD700" s="1271" t="str">
        <f t="shared" si="37"/>
        <v/>
      </c>
      <c r="BE700" s="1271" t="str">
        <f t="shared" si="38"/>
        <v/>
      </c>
      <c r="BF700" s="1271" t="str">
        <f t="shared" si="39"/>
        <v/>
      </c>
      <c r="BG700" s="1271" t="str">
        <f t="shared" si="40"/>
        <v/>
      </c>
      <c r="BH700" s="1271" t="str">
        <f t="shared" si="41"/>
        <v/>
      </c>
      <c r="BI700" s="1271" t="str">
        <f t="shared" si="42"/>
        <v/>
      </c>
      <c r="BJ700" s="1271" t="str">
        <f t="shared" si="43"/>
        <v/>
      </c>
      <c r="BK700" s="1271" t="str">
        <f t="shared" si="44"/>
        <v/>
      </c>
      <c r="BL700" s="1271" t="str">
        <f t="shared" si="45"/>
        <v/>
      </c>
      <c r="BM700" s="1271" t="str">
        <f t="shared" si="46"/>
        <v/>
      </c>
      <c r="BN700" s="1271" t="str">
        <f t="shared" si="47"/>
        <v/>
      </c>
      <c r="BO700" s="1271" t="str">
        <f t="shared" si="48"/>
        <v/>
      </c>
      <c r="BP700" s="1271" t="str">
        <f t="shared" si="49"/>
        <v/>
      </c>
      <c r="BQ700" s="1271" t="str">
        <f t="shared" si="50"/>
        <v/>
      </c>
      <c r="BR700" s="1271" t="str">
        <f t="shared" si="51"/>
        <v/>
      </c>
      <c r="BS700" s="1271" t="str">
        <f t="shared" si="52"/>
        <v/>
      </c>
      <c r="BT700" s="1271" t="str">
        <f t="shared" si="53"/>
        <v/>
      </c>
      <c r="BU700" s="1271" t="str">
        <f t="shared" si="54"/>
        <v/>
      </c>
      <c r="BV700" s="1271" t="str">
        <f t="shared" si="55"/>
        <v/>
      </c>
      <c r="BW700" s="1271" t="str">
        <f t="shared" si="56"/>
        <v/>
      </c>
      <c r="BX700" s="1271" t="str">
        <f t="shared" si="57"/>
        <v/>
      </c>
      <c r="BY700" s="1271" t="str">
        <f t="shared" si="58"/>
        <v/>
      </c>
      <c r="BZ700" s="1271" t="str">
        <f t="shared" si="59"/>
        <v/>
      </c>
      <c r="CA700" s="1271" t="str">
        <f t="shared" si="60"/>
        <v/>
      </c>
      <c r="CB700" s="1271" t="str">
        <f t="shared" si="61"/>
        <v/>
      </c>
      <c r="CC700" s="1271" t="str">
        <f t="shared" si="62"/>
        <v/>
      </c>
      <c r="CD700" s="1271" t="str">
        <f t="shared" si="63"/>
        <v/>
      </c>
      <c r="CE700" s="1271" t="str">
        <f t="shared" si="64"/>
        <v/>
      </c>
      <c r="CF700" s="1271" t="str">
        <f t="shared" si="65"/>
        <v/>
      </c>
      <c r="CG700" s="1271" t="str">
        <f t="shared" si="66"/>
        <v/>
      </c>
      <c r="CH700" s="1271" t="str">
        <f t="shared" si="67"/>
        <v/>
      </c>
      <c r="CI700" s="1271" t="str">
        <f t="shared" si="68"/>
        <v/>
      </c>
      <c r="CJ700" s="1271" t="str">
        <f t="shared" si="69"/>
        <v/>
      </c>
      <c r="CK700" s="1271" t="str">
        <f t="shared" si="70"/>
        <v/>
      </c>
      <c r="CL700" s="1271" t="str">
        <f t="shared" si="71"/>
        <v/>
      </c>
      <c r="CM700" s="1271" t="str">
        <f t="shared" si="72"/>
        <v/>
      </c>
      <c r="CN700" s="1271" t="str">
        <f t="shared" si="73"/>
        <v/>
      </c>
      <c r="CO700" s="1271" t="str">
        <f t="shared" si="74"/>
        <v/>
      </c>
      <c r="CP700" s="1271" t="str">
        <f t="shared" si="75"/>
        <v/>
      </c>
      <c r="CQ700" s="1271" t="str">
        <f t="shared" si="76"/>
        <v/>
      </c>
      <c r="CR700" s="1271" t="str">
        <f t="shared" si="77"/>
        <v/>
      </c>
      <c r="CS700" s="1271" t="str">
        <f t="shared" si="78"/>
        <v/>
      </c>
      <c r="CT700" s="1271" t="str">
        <f t="shared" si="79"/>
        <v/>
      </c>
      <c r="CU700" s="1271" t="str">
        <f t="shared" si="80"/>
        <v/>
      </c>
      <c r="CV700" s="1271" t="str">
        <f t="shared" si="81"/>
        <v/>
      </c>
      <c r="CW700" s="1271" t="str">
        <f t="shared" si="82"/>
        <v/>
      </c>
      <c r="CX700" s="1271" t="str">
        <f t="shared" si="83"/>
        <v/>
      </c>
      <c r="CY700" s="1271" t="str">
        <f t="shared" si="84"/>
        <v/>
      </c>
      <c r="CZ700" s="1271" t="str">
        <f t="shared" si="85"/>
        <v/>
      </c>
      <c r="DA700" s="1271" t="str">
        <f t="shared" si="86"/>
        <v/>
      </c>
      <c r="DB700" s="1271" t="str">
        <f t="shared" si="87"/>
        <v/>
      </c>
      <c r="DC700" s="1271" t="str">
        <f t="shared" si="88"/>
        <v/>
      </c>
      <c r="DD700" s="1271" t="str">
        <f t="shared" si="89"/>
        <v/>
      </c>
      <c r="DE700" s="1271" t="str">
        <f t="shared" si="90"/>
        <v/>
      </c>
      <c r="DF700" s="1271" t="str">
        <f t="shared" si="91"/>
        <v/>
      </c>
      <c r="DG700" s="1271" t="str">
        <f t="shared" si="92"/>
        <v/>
      </c>
      <c r="DH700" s="1271" t="str">
        <f t="shared" si="93"/>
        <v/>
      </c>
      <c r="DI700" s="1271" t="str">
        <f t="shared" si="94"/>
        <v/>
      </c>
      <c r="DJ700" s="1271" t="str">
        <f t="shared" si="95"/>
        <v/>
      </c>
      <c r="DK700" s="1271" t="str">
        <f t="shared" si="96"/>
        <v/>
      </c>
      <c r="DL700" s="1271" t="str">
        <f t="shared" si="97"/>
        <v/>
      </c>
      <c r="DM700" s="1271" t="str">
        <f t="shared" si="98"/>
        <v/>
      </c>
      <c r="DN700" s="1271" t="str">
        <f t="shared" si="99"/>
        <v/>
      </c>
      <c r="DO700" s="1271" t="str">
        <f t="shared" si="100"/>
        <v/>
      </c>
      <c r="DP700" s="1271" t="str">
        <f t="shared" si="101"/>
        <v/>
      </c>
      <c r="DQ700" s="1271" t="str">
        <f t="shared" si="102"/>
        <v/>
      </c>
      <c r="DR700" s="1271" t="str">
        <f t="shared" si="103"/>
        <v/>
      </c>
      <c r="DS700" s="1271" t="str">
        <f t="shared" si="104"/>
        <v/>
      </c>
      <c r="DT700" s="1271" t="str">
        <f t="shared" si="105"/>
        <v/>
      </c>
      <c r="DU700" s="1271" t="str">
        <f t="shared" si="106"/>
        <v/>
      </c>
      <c r="DV700" s="1271" t="str">
        <f t="shared" si="107"/>
        <v/>
      </c>
      <c r="DW700" s="1271" t="str">
        <f t="shared" si="108"/>
        <v/>
      </c>
      <c r="DX700" s="1271" t="str">
        <f t="shared" si="109"/>
        <v/>
      </c>
      <c r="DY700" s="1271" t="str">
        <f t="shared" si="110"/>
        <v/>
      </c>
      <c r="DZ700" s="1271" t="str">
        <f t="shared" si="111"/>
        <v/>
      </c>
      <c r="EA700" s="1271" t="str">
        <f t="shared" si="112"/>
        <v/>
      </c>
      <c r="EB700" s="1271" t="str">
        <f t="shared" si="113"/>
        <v/>
      </c>
      <c r="EC700" s="1271" t="str">
        <f t="shared" si="114"/>
        <v/>
      </c>
      <c r="ED700" s="1271" t="str">
        <f t="shared" si="115"/>
        <v/>
      </c>
      <c r="EE700" s="1271" t="str">
        <f t="shared" si="116"/>
        <v/>
      </c>
      <c r="EF700" s="1271" t="str">
        <f t="shared" si="117"/>
        <v/>
      </c>
      <c r="EG700" s="1271" t="str">
        <f t="shared" si="118"/>
        <v/>
      </c>
      <c r="EH700" s="1271" t="str">
        <f t="shared" si="119"/>
        <v/>
      </c>
      <c r="EI700" s="1271" t="str">
        <f t="shared" si="120"/>
        <v/>
      </c>
      <c r="EJ700" s="1271" t="str">
        <f t="shared" si="121"/>
        <v/>
      </c>
      <c r="EK700" s="1271" t="str">
        <f t="shared" si="122"/>
        <v/>
      </c>
      <c r="EL700" s="1271" t="str">
        <f t="shared" si="123"/>
        <v/>
      </c>
      <c r="EM700" s="1271" t="str">
        <f t="shared" si="124"/>
        <v/>
      </c>
      <c r="EN700" s="1271" t="str">
        <f t="shared" si="125"/>
        <v/>
      </c>
      <c r="EO700" s="1271" t="str">
        <f t="shared" si="126"/>
        <v/>
      </c>
      <c r="EP700" s="1271" t="str">
        <f t="shared" si="127"/>
        <v/>
      </c>
      <c r="EQ700" s="1271" t="str">
        <f t="shared" si="128"/>
        <v/>
      </c>
      <c r="ER700" s="1271" t="str">
        <f t="shared" si="129"/>
        <v/>
      </c>
      <c r="ES700" s="1271" t="str">
        <f t="shared" si="130"/>
        <v/>
      </c>
      <c r="ET700" s="1271" t="str">
        <f t="shared" si="131"/>
        <v/>
      </c>
      <c r="EU700" s="1271" t="str">
        <f t="shared" si="132"/>
        <v/>
      </c>
      <c r="EV700" s="1271" t="str">
        <f t="shared" si="133"/>
        <v/>
      </c>
      <c r="EW700" s="1519" t="str">
        <f t="shared" si="134"/>
        <v/>
      </c>
      <c r="EX700" s="1519" t="str">
        <f t="shared" si="135"/>
        <v/>
      </c>
      <c r="EY700" s="1519" t="str">
        <f t="shared" si="136"/>
        <v/>
      </c>
      <c r="EZ700" s="1519" t="str">
        <f t="shared" si="137"/>
        <v/>
      </c>
      <c r="FA700" s="1519" t="str">
        <f t="shared" si="138"/>
        <v/>
      </c>
      <c r="FB700" s="1519" t="str">
        <f t="shared" si="139"/>
        <v/>
      </c>
      <c r="FC700" s="1519" t="str">
        <f t="shared" si="140"/>
        <v/>
      </c>
      <c r="FD700" s="1519" t="str">
        <f t="shared" si="141"/>
        <v/>
      </c>
      <c r="FE700" s="1519" t="str">
        <f t="shared" si="142"/>
        <v/>
      </c>
      <c r="FF700" s="1519" t="str">
        <f t="shared" si="143"/>
        <v/>
      </c>
      <c r="FG700" s="1519" t="str">
        <f t="shared" si="144"/>
        <v/>
      </c>
      <c r="FH700" s="1519" t="str">
        <f t="shared" si="145"/>
        <v/>
      </c>
      <c r="FI700" s="1519" t="str">
        <f t="shared" si="146"/>
        <v/>
      </c>
      <c r="FJ700" s="1519" t="str">
        <f t="shared" si="147"/>
        <v/>
      </c>
      <c r="FK700" s="1519" t="str">
        <f t="shared" si="148"/>
        <v/>
      </c>
      <c r="FL700" s="1519" t="str">
        <f t="shared" si="149"/>
        <v/>
      </c>
      <c r="FM700" s="1519" t="str">
        <f t="shared" si="150"/>
        <v/>
      </c>
      <c r="FN700" s="1519" t="str">
        <f t="shared" si="151"/>
        <v/>
      </c>
      <c r="FO700" s="1519" t="str">
        <f t="shared" si="152"/>
        <v/>
      </c>
      <c r="FP700" s="1519" t="str">
        <f t="shared" si="153"/>
        <v/>
      </c>
      <c r="FQ700" s="1519" t="str">
        <f t="shared" si="154"/>
        <v/>
      </c>
      <c r="FR700" s="1519" t="str">
        <f t="shared" si="155"/>
        <v/>
      </c>
      <c r="FS700" s="1519" t="str">
        <f t="shared" si="156"/>
        <v/>
      </c>
      <c r="FT700" s="1519" t="str">
        <f t="shared" si="157"/>
        <v/>
      </c>
      <c r="FU700" s="1519" t="str">
        <f t="shared" si="158"/>
        <v/>
      </c>
      <c r="FV700" s="1519" t="str">
        <f t="shared" si="159"/>
        <v/>
      </c>
      <c r="FW700" s="1519" t="str">
        <f t="shared" si="160"/>
        <v/>
      </c>
      <c r="FX700" s="1519" t="str">
        <f t="shared" si="161"/>
        <v/>
      </c>
      <c r="FY700" s="1519" t="str">
        <f t="shared" si="162"/>
        <v/>
      </c>
      <c r="FZ700" s="1519" t="str">
        <f t="shared" si="163"/>
        <v/>
      </c>
      <c r="GA700" s="1519" t="str">
        <f t="shared" si="164"/>
        <v/>
      </c>
      <c r="GB700" s="1519" t="str">
        <f t="shared" si="165"/>
        <v/>
      </c>
      <c r="GC700" s="1519" t="str">
        <f t="shared" si="166"/>
        <v/>
      </c>
      <c r="GD700" s="1519" t="str">
        <f t="shared" si="167"/>
        <v/>
      </c>
      <c r="GE700" s="1519" t="str">
        <f t="shared" si="168"/>
        <v/>
      </c>
      <c r="GF700" s="1519" t="str">
        <f t="shared" si="169"/>
        <v/>
      </c>
      <c r="GG700" s="1519" t="str">
        <f t="shared" si="170"/>
        <v/>
      </c>
      <c r="GH700" s="1519" t="str">
        <f t="shared" si="171"/>
        <v/>
      </c>
      <c r="GI700" s="1519" t="str">
        <f t="shared" si="172"/>
        <v/>
      </c>
      <c r="GJ700" s="1519" t="str">
        <f t="shared" si="173"/>
        <v/>
      </c>
      <c r="GK700" s="1519" t="str">
        <f t="shared" si="174"/>
        <v/>
      </c>
      <c r="GL700" s="1519" t="str">
        <f t="shared" si="175"/>
        <v/>
      </c>
      <c r="GM700" s="1519" t="str">
        <f t="shared" si="176"/>
        <v/>
      </c>
      <c r="GN700" s="1519" t="str">
        <f t="shared" si="177"/>
        <v/>
      </c>
      <c r="GO700" s="1519" t="str">
        <f t="shared" si="178"/>
        <v/>
      </c>
      <c r="GP700" s="1519" t="str">
        <f t="shared" si="179"/>
        <v/>
      </c>
      <c r="GQ700" s="1519" t="str">
        <f t="shared" si="180"/>
        <v/>
      </c>
      <c r="GR700" s="1519" t="str">
        <f t="shared" si="181"/>
        <v/>
      </c>
      <c r="GS700" s="1519" t="str">
        <f t="shared" si="182"/>
        <v/>
      </c>
      <c r="GT700" s="1519" t="str">
        <f t="shared" si="183"/>
        <v/>
      </c>
      <c r="GU700" s="1519" t="str">
        <f t="shared" si="184"/>
        <v/>
      </c>
      <c r="GV700" s="1519" t="str">
        <f t="shared" si="185"/>
        <v/>
      </c>
      <c r="GW700" s="1519" t="str">
        <f t="shared" si="186"/>
        <v/>
      </c>
      <c r="GX700" s="1519" t="str">
        <f t="shared" si="187"/>
        <v/>
      </c>
      <c r="GY700" s="1519" t="str">
        <f t="shared" si="188"/>
        <v/>
      </c>
      <c r="GZ700" s="1519" t="str">
        <f t="shared" si="189"/>
        <v/>
      </c>
      <c r="HA700" s="1519" t="str">
        <f t="shared" si="190"/>
        <v/>
      </c>
      <c r="HB700" s="1519" t="str">
        <f t="shared" si="191"/>
        <v/>
      </c>
      <c r="HC700" s="1519" t="str">
        <f t="shared" si="192"/>
        <v/>
      </c>
      <c r="HD700" s="1519" t="str">
        <f t="shared" si="193"/>
        <v/>
      </c>
      <c r="HE700" s="1519" t="str">
        <f t="shared" si="194"/>
        <v/>
      </c>
      <c r="HF700" s="1519" t="str">
        <f t="shared" si="195"/>
        <v/>
      </c>
      <c r="HG700" s="1519" t="str">
        <f t="shared" si="196"/>
        <v/>
      </c>
      <c r="HH700" s="1519" t="str">
        <f t="shared" si="197"/>
        <v/>
      </c>
      <c r="HI700" s="1519" t="str">
        <f t="shared" si="198"/>
        <v/>
      </c>
      <c r="HJ700" s="1519" t="str">
        <f t="shared" si="199"/>
        <v/>
      </c>
      <c r="HK700" s="1519" t="str">
        <f t="shared" si="200"/>
        <v/>
      </c>
      <c r="HL700" s="1519" t="str">
        <f t="shared" si="201"/>
        <v/>
      </c>
      <c r="HM700" s="1519" t="str">
        <f t="shared" si="202"/>
        <v/>
      </c>
      <c r="HN700" s="1519" t="str">
        <f t="shared" si="203"/>
        <v/>
      </c>
      <c r="HO700" s="1519" t="str">
        <f t="shared" si="204"/>
        <v/>
      </c>
      <c r="HP700" s="1519" t="str">
        <f t="shared" si="205"/>
        <v/>
      </c>
      <c r="HQ700" s="1519" t="str">
        <f t="shared" si="206"/>
        <v/>
      </c>
      <c r="HR700" s="1519" t="str">
        <f t="shared" si="207"/>
        <v/>
      </c>
      <c r="HS700" s="1519" t="str">
        <f t="shared" si="208"/>
        <v/>
      </c>
      <c r="HT700" s="1519" t="str">
        <f t="shared" si="209"/>
        <v/>
      </c>
      <c r="HU700" s="1519" t="str">
        <f t="shared" si="210"/>
        <v/>
      </c>
      <c r="HV700" s="1519" t="str">
        <f t="shared" si="211"/>
        <v/>
      </c>
      <c r="HW700" s="1519" t="str">
        <f t="shared" si="212"/>
        <v/>
      </c>
      <c r="HX700" s="1519" t="str">
        <f t="shared" si="213"/>
        <v/>
      </c>
      <c r="HY700" s="1519" t="str">
        <f t="shared" si="214"/>
        <v/>
      </c>
      <c r="HZ700" s="1519" t="str">
        <f t="shared" si="215"/>
        <v/>
      </c>
      <c r="IA700" s="1519" t="str">
        <f t="shared" si="216"/>
        <v/>
      </c>
      <c r="IB700" s="1519" t="str">
        <f t="shared" si="217"/>
        <v/>
      </c>
      <c r="IC700" s="1519" t="str">
        <f t="shared" si="218"/>
        <v/>
      </c>
      <c r="ID700" s="1520" t="str">
        <f t="shared" si="219"/>
        <v/>
      </c>
      <c r="IE700" s="1520" t="str">
        <f t="shared" si="220"/>
        <v/>
      </c>
      <c r="IF700" s="1520" t="str">
        <f t="shared" si="221"/>
        <v/>
      </c>
      <c r="IG700" s="1520" t="str">
        <f t="shared" si="222"/>
        <v/>
      </c>
      <c r="IH700" s="1520" t="str">
        <f t="shared" si="223"/>
        <v/>
      </c>
      <c r="II700" s="1271" t="str">
        <f t="shared" si="224"/>
        <v/>
      </c>
      <c r="IJ700" s="1271" t="str">
        <f t="shared" si="225"/>
        <v/>
      </c>
      <c r="IK700" s="1271" t="str">
        <f t="shared" si="226"/>
        <v/>
      </c>
      <c r="IL700" s="1271" t="str">
        <f t="shared" si="227"/>
        <v/>
      </c>
      <c r="IM700" s="1271" t="str">
        <f t="shared" si="228"/>
        <v/>
      </c>
      <c r="IN700" s="1271" t="str">
        <f t="shared" si="229"/>
        <v/>
      </c>
      <c r="IO700" s="1271" t="str">
        <f t="shared" si="230"/>
        <v/>
      </c>
      <c r="IP700" s="1271" t="str">
        <f t="shared" si="231"/>
        <v/>
      </c>
      <c r="IQ700" s="1271" t="str">
        <f t="shared" si="232"/>
        <v/>
      </c>
      <c r="IR700" s="1271" t="str">
        <f t="shared" si="233"/>
        <v/>
      </c>
      <c r="IS700" s="1271" t="str">
        <f t="shared" si="234"/>
        <v/>
      </c>
      <c r="IT700" s="1271" t="str">
        <f t="shared" si="235"/>
        <v/>
      </c>
      <c r="IU700" s="1271" t="str">
        <f t="shared" si="236"/>
        <v/>
      </c>
      <c r="IV700" s="1271" t="str">
        <f t="shared" si="237"/>
        <v/>
      </c>
      <c r="IW700" s="1271" t="str">
        <f t="shared" si="238"/>
        <v/>
      </c>
      <c r="IX700" s="1271" t="str">
        <f t="shared" si="239"/>
        <v/>
      </c>
      <c r="IY700" s="1271" t="str">
        <f t="shared" si="240"/>
        <v/>
      </c>
      <c r="IZ700" s="1271" t="str">
        <f t="shared" si="241"/>
        <v/>
      </c>
      <c r="JA700" s="1271" t="str">
        <f t="shared" si="242"/>
        <v/>
      </c>
      <c r="JB700" s="1271" t="str">
        <f t="shared" si="243"/>
        <v/>
      </c>
      <c r="JC700" s="1518">
        <f t="shared" si="244"/>
        <v>0</v>
      </c>
      <c r="JD700" s="1518">
        <f t="shared" si="245"/>
        <v>0</v>
      </c>
      <c r="JE700" s="1518">
        <f t="shared" si="246"/>
        <v>0</v>
      </c>
      <c r="JF700" s="1518">
        <f t="shared" si="247"/>
        <v>0</v>
      </c>
      <c r="JG700" s="1518">
        <f t="shared" si="248"/>
        <v>0</v>
      </c>
      <c r="JH700" s="1518">
        <f t="shared" si="249"/>
        <v>0</v>
      </c>
      <c r="JI700" s="1518">
        <f t="shared" si="250"/>
        <v>0</v>
      </c>
      <c r="JJ700" s="1518">
        <f t="shared" si="251"/>
        <v>0</v>
      </c>
      <c r="JK700" s="1518">
        <f t="shared" si="252"/>
        <v>0</v>
      </c>
      <c r="JL700" s="1518">
        <f t="shared" si="253"/>
        <v>0</v>
      </c>
      <c r="JM700" s="1518">
        <f t="shared" si="254"/>
        <v>0</v>
      </c>
      <c r="JN700" s="1518">
        <f t="shared" si="255"/>
        <v>0</v>
      </c>
      <c r="JO700" s="1518">
        <f t="shared" si="256"/>
        <v>0</v>
      </c>
      <c r="JP700" s="1518">
        <f t="shared" si="257"/>
        <v>0</v>
      </c>
      <c r="JQ700" s="1518">
        <f t="shared" si="258"/>
        <v>0</v>
      </c>
    </row>
    <row r="701" spans="1:277" ht="12" customHeight="1">
      <c r="A701" s="1687" t="str">
        <f t="shared" si="1"/>
        <v/>
      </c>
      <c r="B701" s="1702" t="str">
        <f>'Part VI-Revenues &amp; Expenses'!B40</f>
        <v>&lt;&lt;Select&gt;&gt;</v>
      </c>
      <c r="C701" s="1703">
        <f>'Part VI-Revenues &amp; Expenses'!C40</f>
        <v>0</v>
      </c>
      <c r="D701" s="1704">
        <f>'Part VI-Revenues &amp; Expenses'!D40</f>
        <v>0</v>
      </c>
      <c r="E701" s="1705">
        <f>'Part VI-Revenues &amp; Expenses'!E40</f>
        <v>0</v>
      </c>
      <c r="F701" s="1705">
        <f>'Part VI-Revenues &amp; Expenses'!F40</f>
        <v>0</v>
      </c>
      <c r="G701" s="1705">
        <f>'Part VI-Revenues &amp; Expenses'!G40</f>
        <v>0</v>
      </c>
      <c r="H701" s="1705">
        <f>'Part VI-Revenues &amp; Expenses'!H40</f>
        <v>0</v>
      </c>
      <c r="I701" s="1705">
        <f>'Part VI-Revenues &amp; Expenses'!I40</f>
        <v>0</v>
      </c>
      <c r="J701" s="1706">
        <f>'Part VI-Revenues &amp; Expenses'!J40</f>
        <v>0</v>
      </c>
      <c r="K701" s="1707">
        <f t="shared" si="2"/>
        <v>0</v>
      </c>
      <c r="L701" s="1707">
        <f t="shared" si="3"/>
        <v>0</v>
      </c>
      <c r="M701" s="1708">
        <f>'Part VI-Revenues &amp; Expenses'!M40</f>
        <v>0</v>
      </c>
      <c r="N701" s="1708">
        <f>'Part VI-Revenues &amp; Expenses'!N40</f>
        <v>0</v>
      </c>
      <c r="O701" s="1708">
        <f>'Part VI-Revenues &amp; Expenses'!O40</f>
        <v>0</v>
      </c>
      <c r="P701" s="1515">
        <f>'Part VI-Revenues &amp; Expenses'!P40</f>
        <v>0</v>
      </c>
      <c r="Q701" s="1709" t="str">
        <f>'Part VI-Revenues &amp; Expenses'!Q40</f>
        <v/>
      </c>
      <c r="R701" s="1710" t="str">
        <f>'Part VI-Revenues &amp; Expenses'!R40</f>
        <v/>
      </c>
      <c r="S701" s="1709">
        <f>'Part VI-Revenues &amp; Expenses'!S40</f>
        <v>0</v>
      </c>
      <c r="T701" s="1710">
        <f>'Part VI-Revenues &amp; Expenses'!T40</f>
        <v>0</v>
      </c>
      <c r="U701" s="1629"/>
      <c r="V701" s="1629"/>
      <c r="W701" s="1271" t="str">
        <f t="shared" si="4"/>
        <v/>
      </c>
      <c r="X701" s="1271" t="str">
        <f t="shared" si="5"/>
        <v/>
      </c>
      <c r="Y701" s="1271" t="str">
        <f t="shared" si="6"/>
        <v/>
      </c>
      <c r="Z701" s="1271" t="str">
        <f t="shared" si="7"/>
        <v/>
      </c>
      <c r="AA701" s="1271" t="str">
        <f t="shared" si="8"/>
        <v/>
      </c>
      <c r="AB701" s="1271" t="str">
        <f t="shared" si="9"/>
        <v/>
      </c>
      <c r="AC701" s="1271" t="str">
        <f t="shared" si="10"/>
        <v/>
      </c>
      <c r="AD701" s="1271" t="str">
        <f t="shared" si="11"/>
        <v/>
      </c>
      <c r="AE701" s="1271" t="str">
        <f t="shared" si="12"/>
        <v/>
      </c>
      <c r="AF701" s="1271" t="str">
        <f t="shared" si="13"/>
        <v/>
      </c>
      <c r="AG701" s="1271" t="str">
        <f t="shared" si="14"/>
        <v/>
      </c>
      <c r="AH701" s="1271" t="str">
        <f t="shared" si="15"/>
        <v/>
      </c>
      <c r="AI701" s="1271" t="str">
        <f t="shared" si="16"/>
        <v/>
      </c>
      <c r="AJ701" s="1271" t="str">
        <f t="shared" si="17"/>
        <v/>
      </c>
      <c r="AK701" s="1271" t="str">
        <f t="shared" si="18"/>
        <v/>
      </c>
      <c r="AL701" s="1271" t="str">
        <f t="shared" si="19"/>
        <v/>
      </c>
      <c r="AM701" s="1271" t="str">
        <f t="shared" si="20"/>
        <v/>
      </c>
      <c r="AN701" s="1271" t="str">
        <f t="shared" si="21"/>
        <v/>
      </c>
      <c r="AO701" s="1271" t="str">
        <f t="shared" si="22"/>
        <v/>
      </c>
      <c r="AP701" s="1271" t="str">
        <f t="shared" si="23"/>
        <v/>
      </c>
      <c r="AQ701" s="1271" t="str">
        <f t="shared" si="24"/>
        <v/>
      </c>
      <c r="AR701" s="1271" t="str">
        <f t="shared" si="25"/>
        <v/>
      </c>
      <c r="AS701" s="1271" t="str">
        <f t="shared" si="26"/>
        <v/>
      </c>
      <c r="AT701" s="1271" t="str">
        <f t="shared" si="27"/>
        <v/>
      </c>
      <c r="AU701" s="1271" t="str">
        <f t="shared" si="28"/>
        <v/>
      </c>
      <c r="AV701" s="1271" t="str">
        <f t="shared" si="29"/>
        <v/>
      </c>
      <c r="AW701" s="1271" t="str">
        <f t="shared" si="30"/>
        <v/>
      </c>
      <c r="AX701" s="1271" t="str">
        <f t="shared" si="31"/>
        <v/>
      </c>
      <c r="AY701" s="1271" t="str">
        <f t="shared" si="32"/>
        <v/>
      </c>
      <c r="AZ701" s="1271" t="str">
        <f t="shared" si="33"/>
        <v/>
      </c>
      <c r="BA701" s="1271" t="str">
        <f t="shared" si="34"/>
        <v/>
      </c>
      <c r="BB701" s="1271" t="str">
        <f t="shared" si="35"/>
        <v/>
      </c>
      <c r="BC701" s="1271" t="str">
        <f t="shared" si="36"/>
        <v/>
      </c>
      <c r="BD701" s="1271" t="str">
        <f t="shared" si="37"/>
        <v/>
      </c>
      <c r="BE701" s="1271" t="str">
        <f t="shared" si="38"/>
        <v/>
      </c>
      <c r="BF701" s="1271" t="str">
        <f t="shared" si="39"/>
        <v/>
      </c>
      <c r="BG701" s="1271" t="str">
        <f t="shared" si="40"/>
        <v/>
      </c>
      <c r="BH701" s="1271" t="str">
        <f t="shared" si="41"/>
        <v/>
      </c>
      <c r="BI701" s="1271" t="str">
        <f t="shared" si="42"/>
        <v/>
      </c>
      <c r="BJ701" s="1271" t="str">
        <f t="shared" si="43"/>
        <v/>
      </c>
      <c r="BK701" s="1271" t="str">
        <f t="shared" si="44"/>
        <v/>
      </c>
      <c r="BL701" s="1271" t="str">
        <f t="shared" si="45"/>
        <v/>
      </c>
      <c r="BM701" s="1271" t="str">
        <f t="shared" si="46"/>
        <v/>
      </c>
      <c r="BN701" s="1271" t="str">
        <f t="shared" si="47"/>
        <v/>
      </c>
      <c r="BO701" s="1271" t="str">
        <f t="shared" si="48"/>
        <v/>
      </c>
      <c r="BP701" s="1271" t="str">
        <f t="shared" si="49"/>
        <v/>
      </c>
      <c r="BQ701" s="1271" t="str">
        <f t="shared" si="50"/>
        <v/>
      </c>
      <c r="BR701" s="1271" t="str">
        <f t="shared" si="51"/>
        <v/>
      </c>
      <c r="BS701" s="1271" t="str">
        <f t="shared" si="52"/>
        <v/>
      </c>
      <c r="BT701" s="1271" t="str">
        <f t="shared" si="53"/>
        <v/>
      </c>
      <c r="BU701" s="1271" t="str">
        <f t="shared" si="54"/>
        <v/>
      </c>
      <c r="BV701" s="1271" t="str">
        <f t="shared" si="55"/>
        <v/>
      </c>
      <c r="BW701" s="1271" t="str">
        <f t="shared" si="56"/>
        <v/>
      </c>
      <c r="BX701" s="1271" t="str">
        <f t="shared" si="57"/>
        <v/>
      </c>
      <c r="BY701" s="1271" t="str">
        <f t="shared" si="58"/>
        <v/>
      </c>
      <c r="BZ701" s="1271" t="str">
        <f t="shared" si="59"/>
        <v/>
      </c>
      <c r="CA701" s="1271" t="str">
        <f t="shared" si="60"/>
        <v/>
      </c>
      <c r="CB701" s="1271" t="str">
        <f t="shared" si="61"/>
        <v/>
      </c>
      <c r="CC701" s="1271" t="str">
        <f t="shared" si="62"/>
        <v/>
      </c>
      <c r="CD701" s="1271" t="str">
        <f t="shared" si="63"/>
        <v/>
      </c>
      <c r="CE701" s="1271" t="str">
        <f t="shared" si="64"/>
        <v/>
      </c>
      <c r="CF701" s="1271" t="str">
        <f t="shared" si="65"/>
        <v/>
      </c>
      <c r="CG701" s="1271" t="str">
        <f t="shared" si="66"/>
        <v/>
      </c>
      <c r="CH701" s="1271" t="str">
        <f t="shared" si="67"/>
        <v/>
      </c>
      <c r="CI701" s="1271" t="str">
        <f t="shared" si="68"/>
        <v/>
      </c>
      <c r="CJ701" s="1271" t="str">
        <f t="shared" si="69"/>
        <v/>
      </c>
      <c r="CK701" s="1271" t="str">
        <f t="shared" si="70"/>
        <v/>
      </c>
      <c r="CL701" s="1271" t="str">
        <f t="shared" si="71"/>
        <v/>
      </c>
      <c r="CM701" s="1271" t="str">
        <f t="shared" si="72"/>
        <v/>
      </c>
      <c r="CN701" s="1271" t="str">
        <f t="shared" si="73"/>
        <v/>
      </c>
      <c r="CO701" s="1271" t="str">
        <f t="shared" si="74"/>
        <v/>
      </c>
      <c r="CP701" s="1271" t="str">
        <f t="shared" si="75"/>
        <v/>
      </c>
      <c r="CQ701" s="1271" t="str">
        <f t="shared" si="76"/>
        <v/>
      </c>
      <c r="CR701" s="1271" t="str">
        <f t="shared" si="77"/>
        <v/>
      </c>
      <c r="CS701" s="1271" t="str">
        <f t="shared" si="78"/>
        <v/>
      </c>
      <c r="CT701" s="1271" t="str">
        <f t="shared" si="79"/>
        <v/>
      </c>
      <c r="CU701" s="1271" t="str">
        <f t="shared" si="80"/>
        <v/>
      </c>
      <c r="CV701" s="1271" t="str">
        <f t="shared" si="81"/>
        <v/>
      </c>
      <c r="CW701" s="1271" t="str">
        <f t="shared" si="82"/>
        <v/>
      </c>
      <c r="CX701" s="1271" t="str">
        <f t="shared" si="83"/>
        <v/>
      </c>
      <c r="CY701" s="1271" t="str">
        <f t="shared" si="84"/>
        <v/>
      </c>
      <c r="CZ701" s="1271" t="str">
        <f t="shared" si="85"/>
        <v/>
      </c>
      <c r="DA701" s="1271" t="str">
        <f t="shared" si="86"/>
        <v/>
      </c>
      <c r="DB701" s="1271" t="str">
        <f t="shared" si="87"/>
        <v/>
      </c>
      <c r="DC701" s="1271" t="str">
        <f t="shared" si="88"/>
        <v/>
      </c>
      <c r="DD701" s="1271" t="str">
        <f t="shared" si="89"/>
        <v/>
      </c>
      <c r="DE701" s="1271" t="str">
        <f t="shared" si="90"/>
        <v/>
      </c>
      <c r="DF701" s="1271" t="str">
        <f t="shared" si="91"/>
        <v/>
      </c>
      <c r="DG701" s="1271" t="str">
        <f t="shared" si="92"/>
        <v/>
      </c>
      <c r="DH701" s="1271" t="str">
        <f t="shared" si="93"/>
        <v/>
      </c>
      <c r="DI701" s="1271" t="str">
        <f t="shared" si="94"/>
        <v/>
      </c>
      <c r="DJ701" s="1271" t="str">
        <f t="shared" si="95"/>
        <v/>
      </c>
      <c r="DK701" s="1271" t="str">
        <f t="shared" si="96"/>
        <v/>
      </c>
      <c r="DL701" s="1271" t="str">
        <f t="shared" si="97"/>
        <v/>
      </c>
      <c r="DM701" s="1271" t="str">
        <f t="shared" si="98"/>
        <v/>
      </c>
      <c r="DN701" s="1271" t="str">
        <f t="shared" si="99"/>
        <v/>
      </c>
      <c r="DO701" s="1271" t="str">
        <f t="shared" si="100"/>
        <v/>
      </c>
      <c r="DP701" s="1271" t="str">
        <f t="shared" si="101"/>
        <v/>
      </c>
      <c r="DQ701" s="1271" t="str">
        <f t="shared" si="102"/>
        <v/>
      </c>
      <c r="DR701" s="1271" t="str">
        <f t="shared" si="103"/>
        <v/>
      </c>
      <c r="DS701" s="1271" t="str">
        <f t="shared" si="104"/>
        <v/>
      </c>
      <c r="DT701" s="1271" t="str">
        <f t="shared" si="105"/>
        <v/>
      </c>
      <c r="DU701" s="1271" t="str">
        <f t="shared" si="106"/>
        <v/>
      </c>
      <c r="DV701" s="1271" t="str">
        <f t="shared" si="107"/>
        <v/>
      </c>
      <c r="DW701" s="1271" t="str">
        <f t="shared" si="108"/>
        <v/>
      </c>
      <c r="DX701" s="1271" t="str">
        <f t="shared" si="109"/>
        <v/>
      </c>
      <c r="DY701" s="1271" t="str">
        <f t="shared" si="110"/>
        <v/>
      </c>
      <c r="DZ701" s="1271" t="str">
        <f t="shared" si="111"/>
        <v/>
      </c>
      <c r="EA701" s="1271" t="str">
        <f t="shared" si="112"/>
        <v/>
      </c>
      <c r="EB701" s="1271" t="str">
        <f t="shared" si="113"/>
        <v/>
      </c>
      <c r="EC701" s="1271" t="str">
        <f t="shared" si="114"/>
        <v/>
      </c>
      <c r="ED701" s="1271" t="str">
        <f t="shared" si="115"/>
        <v/>
      </c>
      <c r="EE701" s="1271" t="str">
        <f t="shared" si="116"/>
        <v/>
      </c>
      <c r="EF701" s="1271" t="str">
        <f t="shared" si="117"/>
        <v/>
      </c>
      <c r="EG701" s="1271" t="str">
        <f t="shared" si="118"/>
        <v/>
      </c>
      <c r="EH701" s="1271" t="str">
        <f t="shared" si="119"/>
        <v/>
      </c>
      <c r="EI701" s="1271" t="str">
        <f t="shared" si="120"/>
        <v/>
      </c>
      <c r="EJ701" s="1271" t="str">
        <f t="shared" si="121"/>
        <v/>
      </c>
      <c r="EK701" s="1271" t="str">
        <f t="shared" si="122"/>
        <v/>
      </c>
      <c r="EL701" s="1271" t="str">
        <f t="shared" si="123"/>
        <v/>
      </c>
      <c r="EM701" s="1271" t="str">
        <f t="shared" si="124"/>
        <v/>
      </c>
      <c r="EN701" s="1271" t="str">
        <f t="shared" si="125"/>
        <v/>
      </c>
      <c r="EO701" s="1271" t="str">
        <f t="shared" si="126"/>
        <v/>
      </c>
      <c r="EP701" s="1271" t="str">
        <f t="shared" si="127"/>
        <v/>
      </c>
      <c r="EQ701" s="1271" t="str">
        <f t="shared" si="128"/>
        <v/>
      </c>
      <c r="ER701" s="1271" t="str">
        <f t="shared" si="129"/>
        <v/>
      </c>
      <c r="ES701" s="1271" t="str">
        <f t="shared" si="130"/>
        <v/>
      </c>
      <c r="ET701" s="1271" t="str">
        <f t="shared" si="131"/>
        <v/>
      </c>
      <c r="EU701" s="1271" t="str">
        <f t="shared" si="132"/>
        <v/>
      </c>
      <c r="EV701" s="1271" t="str">
        <f t="shared" si="133"/>
        <v/>
      </c>
      <c r="EW701" s="1519" t="str">
        <f t="shared" si="134"/>
        <v/>
      </c>
      <c r="EX701" s="1519" t="str">
        <f t="shared" si="135"/>
        <v/>
      </c>
      <c r="EY701" s="1519" t="str">
        <f t="shared" si="136"/>
        <v/>
      </c>
      <c r="EZ701" s="1519" t="str">
        <f t="shared" si="137"/>
        <v/>
      </c>
      <c r="FA701" s="1519" t="str">
        <f t="shared" si="138"/>
        <v/>
      </c>
      <c r="FB701" s="1519" t="str">
        <f t="shared" si="139"/>
        <v/>
      </c>
      <c r="FC701" s="1519" t="str">
        <f t="shared" si="140"/>
        <v/>
      </c>
      <c r="FD701" s="1519" t="str">
        <f t="shared" si="141"/>
        <v/>
      </c>
      <c r="FE701" s="1519" t="str">
        <f t="shared" si="142"/>
        <v/>
      </c>
      <c r="FF701" s="1519" t="str">
        <f t="shared" si="143"/>
        <v/>
      </c>
      <c r="FG701" s="1519" t="str">
        <f t="shared" si="144"/>
        <v/>
      </c>
      <c r="FH701" s="1519" t="str">
        <f t="shared" si="145"/>
        <v/>
      </c>
      <c r="FI701" s="1519" t="str">
        <f t="shared" si="146"/>
        <v/>
      </c>
      <c r="FJ701" s="1519" t="str">
        <f t="shared" si="147"/>
        <v/>
      </c>
      <c r="FK701" s="1519" t="str">
        <f t="shared" si="148"/>
        <v/>
      </c>
      <c r="FL701" s="1519" t="str">
        <f t="shared" si="149"/>
        <v/>
      </c>
      <c r="FM701" s="1519" t="str">
        <f t="shared" si="150"/>
        <v/>
      </c>
      <c r="FN701" s="1519" t="str">
        <f t="shared" si="151"/>
        <v/>
      </c>
      <c r="FO701" s="1519" t="str">
        <f t="shared" si="152"/>
        <v/>
      </c>
      <c r="FP701" s="1519" t="str">
        <f t="shared" si="153"/>
        <v/>
      </c>
      <c r="FQ701" s="1519" t="str">
        <f t="shared" si="154"/>
        <v/>
      </c>
      <c r="FR701" s="1519" t="str">
        <f t="shared" si="155"/>
        <v/>
      </c>
      <c r="FS701" s="1519" t="str">
        <f t="shared" si="156"/>
        <v/>
      </c>
      <c r="FT701" s="1519" t="str">
        <f t="shared" si="157"/>
        <v/>
      </c>
      <c r="FU701" s="1519" t="str">
        <f t="shared" si="158"/>
        <v/>
      </c>
      <c r="FV701" s="1519" t="str">
        <f t="shared" si="159"/>
        <v/>
      </c>
      <c r="FW701" s="1519" t="str">
        <f t="shared" si="160"/>
        <v/>
      </c>
      <c r="FX701" s="1519" t="str">
        <f t="shared" si="161"/>
        <v/>
      </c>
      <c r="FY701" s="1519" t="str">
        <f t="shared" si="162"/>
        <v/>
      </c>
      <c r="FZ701" s="1519" t="str">
        <f t="shared" si="163"/>
        <v/>
      </c>
      <c r="GA701" s="1519" t="str">
        <f t="shared" si="164"/>
        <v/>
      </c>
      <c r="GB701" s="1519" t="str">
        <f t="shared" si="165"/>
        <v/>
      </c>
      <c r="GC701" s="1519" t="str">
        <f t="shared" si="166"/>
        <v/>
      </c>
      <c r="GD701" s="1519" t="str">
        <f t="shared" si="167"/>
        <v/>
      </c>
      <c r="GE701" s="1519" t="str">
        <f t="shared" si="168"/>
        <v/>
      </c>
      <c r="GF701" s="1519" t="str">
        <f t="shared" si="169"/>
        <v/>
      </c>
      <c r="GG701" s="1519" t="str">
        <f t="shared" si="170"/>
        <v/>
      </c>
      <c r="GH701" s="1519" t="str">
        <f t="shared" si="171"/>
        <v/>
      </c>
      <c r="GI701" s="1519" t="str">
        <f t="shared" si="172"/>
        <v/>
      </c>
      <c r="GJ701" s="1519" t="str">
        <f t="shared" si="173"/>
        <v/>
      </c>
      <c r="GK701" s="1519" t="str">
        <f t="shared" si="174"/>
        <v/>
      </c>
      <c r="GL701" s="1519" t="str">
        <f t="shared" si="175"/>
        <v/>
      </c>
      <c r="GM701" s="1519" t="str">
        <f t="shared" si="176"/>
        <v/>
      </c>
      <c r="GN701" s="1519" t="str">
        <f t="shared" si="177"/>
        <v/>
      </c>
      <c r="GO701" s="1519" t="str">
        <f t="shared" si="178"/>
        <v/>
      </c>
      <c r="GP701" s="1519" t="str">
        <f t="shared" si="179"/>
        <v/>
      </c>
      <c r="GQ701" s="1519" t="str">
        <f t="shared" si="180"/>
        <v/>
      </c>
      <c r="GR701" s="1519" t="str">
        <f t="shared" si="181"/>
        <v/>
      </c>
      <c r="GS701" s="1519" t="str">
        <f t="shared" si="182"/>
        <v/>
      </c>
      <c r="GT701" s="1519" t="str">
        <f t="shared" si="183"/>
        <v/>
      </c>
      <c r="GU701" s="1519" t="str">
        <f t="shared" si="184"/>
        <v/>
      </c>
      <c r="GV701" s="1519" t="str">
        <f t="shared" si="185"/>
        <v/>
      </c>
      <c r="GW701" s="1519" t="str">
        <f t="shared" si="186"/>
        <v/>
      </c>
      <c r="GX701" s="1519" t="str">
        <f t="shared" si="187"/>
        <v/>
      </c>
      <c r="GY701" s="1519" t="str">
        <f t="shared" si="188"/>
        <v/>
      </c>
      <c r="GZ701" s="1519" t="str">
        <f t="shared" si="189"/>
        <v/>
      </c>
      <c r="HA701" s="1519" t="str">
        <f t="shared" si="190"/>
        <v/>
      </c>
      <c r="HB701" s="1519" t="str">
        <f t="shared" si="191"/>
        <v/>
      </c>
      <c r="HC701" s="1519" t="str">
        <f t="shared" si="192"/>
        <v/>
      </c>
      <c r="HD701" s="1519" t="str">
        <f t="shared" si="193"/>
        <v/>
      </c>
      <c r="HE701" s="1519" t="str">
        <f t="shared" si="194"/>
        <v/>
      </c>
      <c r="HF701" s="1519" t="str">
        <f t="shared" si="195"/>
        <v/>
      </c>
      <c r="HG701" s="1519" t="str">
        <f t="shared" si="196"/>
        <v/>
      </c>
      <c r="HH701" s="1519" t="str">
        <f t="shared" si="197"/>
        <v/>
      </c>
      <c r="HI701" s="1519" t="str">
        <f t="shared" si="198"/>
        <v/>
      </c>
      <c r="HJ701" s="1519" t="str">
        <f t="shared" si="199"/>
        <v/>
      </c>
      <c r="HK701" s="1519" t="str">
        <f t="shared" si="200"/>
        <v/>
      </c>
      <c r="HL701" s="1519" t="str">
        <f t="shared" si="201"/>
        <v/>
      </c>
      <c r="HM701" s="1519" t="str">
        <f t="shared" si="202"/>
        <v/>
      </c>
      <c r="HN701" s="1519" t="str">
        <f t="shared" si="203"/>
        <v/>
      </c>
      <c r="HO701" s="1519" t="str">
        <f t="shared" si="204"/>
        <v/>
      </c>
      <c r="HP701" s="1519" t="str">
        <f t="shared" si="205"/>
        <v/>
      </c>
      <c r="HQ701" s="1519" t="str">
        <f t="shared" si="206"/>
        <v/>
      </c>
      <c r="HR701" s="1519" t="str">
        <f t="shared" si="207"/>
        <v/>
      </c>
      <c r="HS701" s="1519" t="str">
        <f t="shared" si="208"/>
        <v/>
      </c>
      <c r="HT701" s="1519" t="str">
        <f t="shared" si="209"/>
        <v/>
      </c>
      <c r="HU701" s="1519" t="str">
        <f t="shared" si="210"/>
        <v/>
      </c>
      <c r="HV701" s="1519" t="str">
        <f t="shared" si="211"/>
        <v/>
      </c>
      <c r="HW701" s="1519" t="str">
        <f t="shared" si="212"/>
        <v/>
      </c>
      <c r="HX701" s="1519" t="str">
        <f t="shared" si="213"/>
        <v/>
      </c>
      <c r="HY701" s="1519" t="str">
        <f t="shared" si="214"/>
        <v/>
      </c>
      <c r="HZ701" s="1519" t="str">
        <f t="shared" si="215"/>
        <v/>
      </c>
      <c r="IA701" s="1519" t="str">
        <f t="shared" si="216"/>
        <v/>
      </c>
      <c r="IB701" s="1519" t="str">
        <f t="shared" si="217"/>
        <v/>
      </c>
      <c r="IC701" s="1519" t="str">
        <f t="shared" si="218"/>
        <v/>
      </c>
      <c r="ID701" s="1520" t="str">
        <f t="shared" si="219"/>
        <v/>
      </c>
      <c r="IE701" s="1520" t="str">
        <f t="shared" si="220"/>
        <v/>
      </c>
      <c r="IF701" s="1520" t="str">
        <f t="shared" si="221"/>
        <v/>
      </c>
      <c r="IG701" s="1520" t="str">
        <f t="shared" si="222"/>
        <v/>
      </c>
      <c r="IH701" s="1520" t="str">
        <f t="shared" si="223"/>
        <v/>
      </c>
      <c r="II701" s="1271" t="str">
        <f t="shared" si="224"/>
        <v/>
      </c>
      <c r="IJ701" s="1271" t="str">
        <f t="shared" si="225"/>
        <v/>
      </c>
      <c r="IK701" s="1271" t="str">
        <f t="shared" si="226"/>
        <v/>
      </c>
      <c r="IL701" s="1271" t="str">
        <f t="shared" si="227"/>
        <v/>
      </c>
      <c r="IM701" s="1271" t="str">
        <f t="shared" si="228"/>
        <v/>
      </c>
      <c r="IN701" s="1271" t="str">
        <f t="shared" si="229"/>
        <v/>
      </c>
      <c r="IO701" s="1271" t="str">
        <f t="shared" si="230"/>
        <v/>
      </c>
      <c r="IP701" s="1271" t="str">
        <f t="shared" si="231"/>
        <v/>
      </c>
      <c r="IQ701" s="1271" t="str">
        <f t="shared" si="232"/>
        <v/>
      </c>
      <c r="IR701" s="1271" t="str">
        <f t="shared" si="233"/>
        <v/>
      </c>
      <c r="IS701" s="1271" t="str">
        <f t="shared" si="234"/>
        <v/>
      </c>
      <c r="IT701" s="1271" t="str">
        <f t="shared" si="235"/>
        <v/>
      </c>
      <c r="IU701" s="1271" t="str">
        <f t="shared" si="236"/>
        <v/>
      </c>
      <c r="IV701" s="1271" t="str">
        <f t="shared" si="237"/>
        <v/>
      </c>
      <c r="IW701" s="1271" t="str">
        <f t="shared" si="238"/>
        <v/>
      </c>
      <c r="IX701" s="1271" t="str">
        <f t="shared" si="239"/>
        <v/>
      </c>
      <c r="IY701" s="1271" t="str">
        <f t="shared" si="240"/>
        <v/>
      </c>
      <c r="IZ701" s="1271" t="str">
        <f t="shared" si="241"/>
        <v/>
      </c>
      <c r="JA701" s="1271" t="str">
        <f t="shared" si="242"/>
        <v/>
      </c>
      <c r="JB701" s="1271" t="str">
        <f t="shared" si="243"/>
        <v/>
      </c>
      <c r="JC701" s="1518">
        <f t="shared" si="244"/>
        <v>0</v>
      </c>
      <c r="JD701" s="1518">
        <f t="shared" si="245"/>
        <v>0</v>
      </c>
      <c r="JE701" s="1518">
        <f t="shared" si="246"/>
        <v>0</v>
      </c>
      <c r="JF701" s="1518">
        <f t="shared" si="247"/>
        <v>0</v>
      </c>
      <c r="JG701" s="1518">
        <f t="shared" si="248"/>
        <v>0</v>
      </c>
      <c r="JH701" s="1518">
        <f t="shared" si="249"/>
        <v>0</v>
      </c>
      <c r="JI701" s="1518">
        <f t="shared" si="250"/>
        <v>0</v>
      </c>
      <c r="JJ701" s="1518">
        <f t="shared" si="251"/>
        <v>0</v>
      </c>
      <c r="JK701" s="1518">
        <f t="shared" si="252"/>
        <v>0</v>
      </c>
      <c r="JL701" s="1518">
        <f t="shared" si="253"/>
        <v>0</v>
      </c>
      <c r="JM701" s="1518">
        <f t="shared" si="254"/>
        <v>0</v>
      </c>
      <c r="JN701" s="1518">
        <f t="shared" si="255"/>
        <v>0</v>
      </c>
      <c r="JO701" s="1518">
        <f t="shared" si="256"/>
        <v>0</v>
      </c>
      <c r="JP701" s="1518">
        <f t="shared" si="257"/>
        <v>0</v>
      </c>
      <c r="JQ701" s="1518">
        <f t="shared" si="258"/>
        <v>0</v>
      </c>
    </row>
    <row r="702" spans="1:277" ht="12" customHeight="1">
      <c r="A702" s="1687" t="str">
        <f t="shared" si="1"/>
        <v/>
      </c>
      <c r="B702" s="1702" t="str">
        <f>'Part VI-Revenues &amp; Expenses'!B41</f>
        <v>&lt;&lt;Select&gt;&gt;</v>
      </c>
      <c r="C702" s="1703">
        <f>'Part VI-Revenues &amp; Expenses'!C41</f>
        <v>0</v>
      </c>
      <c r="D702" s="1704">
        <f>'Part VI-Revenues &amp; Expenses'!D41</f>
        <v>0</v>
      </c>
      <c r="E702" s="1705">
        <f>'Part VI-Revenues &amp; Expenses'!E41</f>
        <v>0</v>
      </c>
      <c r="F702" s="1705">
        <f>'Part VI-Revenues &amp; Expenses'!F41</f>
        <v>0</v>
      </c>
      <c r="G702" s="1705">
        <f>'Part VI-Revenues &amp; Expenses'!G41</f>
        <v>0</v>
      </c>
      <c r="H702" s="1705">
        <f>'Part VI-Revenues &amp; Expenses'!H41</f>
        <v>0</v>
      </c>
      <c r="I702" s="1705">
        <f>'Part VI-Revenues &amp; Expenses'!I41</f>
        <v>0</v>
      </c>
      <c r="J702" s="1706">
        <f>'Part VI-Revenues &amp; Expenses'!J41</f>
        <v>0</v>
      </c>
      <c r="K702" s="1707">
        <f t="shared" si="2"/>
        <v>0</v>
      </c>
      <c r="L702" s="1707">
        <f t="shared" si="3"/>
        <v>0</v>
      </c>
      <c r="M702" s="1708">
        <f>'Part VI-Revenues &amp; Expenses'!M41</f>
        <v>0</v>
      </c>
      <c r="N702" s="1708">
        <f>'Part VI-Revenues &amp; Expenses'!N41</f>
        <v>0</v>
      </c>
      <c r="O702" s="1708">
        <f>'Part VI-Revenues &amp; Expenses'!O41</f>
        <v>0</v>
      </c>
      <c r="P702" s="1515">
        <f>'Part VI-Revenues &amp; Expenses'!P41</f>
        <v>0</v>
      </c>
      <c r="Q702" s="1709" t="str">
        <f>'Part VI-Revenues &amp; Expenses'!Q41</f>
        <v/>
      </c>
      <c r="R702" s="1710" t="str">
        <f>'Part VI-Revenues &amp; Expenses'!R41</f>
        <v/>
      </c>
      <c r="S702" s="1709">
        <f>'Part VI-Revenues &amp; Expenses'!S41</f>
        <v>0</v>
      </c>
      <c r="T702" s="1710">
        <f>'Part VI-Revenues &amp; Expenses'!T41</f>
        <v>0</v>
      </c>
      <c r="U702" s="1629"/>
      <c r="V702" s="1629"/>
      <c r="W702" s="1271" t="str">
        <f t="shared" si="4"/>
        <v/>
      </c>
      <c r="X702" s="1271" t="str">
        <f t="shared" si="5"/>
        <v/>
      </c>
      <c r="Y702" s="1271" t="str">
        <f t="shared" si="6"/>
        <v/>
      </c>
      <c r="Z702" s="1271" t="str">
        <f t="shared" si="7"/>
        <v/>
      </c>
      <c r="AA702" s="1271" t="str">
        <f t="shared" si="8"/>
        <v/>
      </c>
      <c r="AB702" s="1271" t="str">
        <f t="shared" si="9"/>
        <v/>
      </c>
      <c r="AC702" s="1271" t="str">
        <f t="shared" si="10"/>
        <v/>
      </c>
      <c r="AD702" s="1271" t="str">
        <f t="shared" si="11"/>
        <v/>
      </c>
      <c r="AE702" s="1271" t="str">
        <f t="shared" si="12"/>
        <v/>
      </c>
      <c r="AF702" s="1271" t="str">
        <f t="shared" si="13"/>
        <v/>
      </c>
      <c r="AG702" s="1271" t="str">
        <f t="shared" si="14"/>
        <v/>
      </c>
      <c r="AH702" s="1271" t="str">
        <f t="shared" si="15"/>
        <v/>
      </c>
      <c r="AI702" s="1271" t="str">
        <f t="shared" si="16"/>
        <v/>
      </c>
      <c r="AJ702" s="1271" t="str">
        <f t="shared" si="17"/>
        <v/>
      </c>
      <c r="AK702" s="1271" t="str">
        <f t="shared" si="18"/>
        <v/>
      </c>
      <c r="AL702" s="1271" t="str">
        <f t="shared" si="19"/>
        <v/>
      </c>
      <c r="AM702" s="1271" t="str">
        <f t="shared" si="20"/>
        <v/>
      </c>
      <c r="AN702" s="1271" t="str">
        <f t="shared" si="21"/>
        <v/>
      </c>
      <c r="AO702" s="1271" t="str">
        <f t="shared" si="22"/>
        <v/>
      </c>
      <c r="AP702" s="1271" t="str">
        <f t="shared" si="23"/>
        <v/>
      </c>
      <c r="AQ702" s="1271" t="str">
        <f t="shared" si="24"/>
        <v/>
      </c>
      <c r="AR702" s="1271" t="str">
        <f t="shared" si="25"/>
        <v/>
      </c>
      <c r="AS702" s="1271" t="str">
        <f t="shared" si="26"/>
        <v/>
      </c>
      <c r="AT702" s="1271" t="str">
        <f t="shared" si="27"/>
        <v/>
      </c>
      <c r="AU702" s="1271" t="str">
        <f t="shared" si="28"/>
        <v/>
      </c>
      <c r="AV702" s="1271" t="str">
        <f t="shared" si="29"/>
        <v/>
      </c>
      <c r="AW702" s="1271" t="str">
        <f t="shared" si="30"/>
        <v/>
      </c>
      <c r="AX702" s="1271" t="str">
        <f t="shared" si="31"/>
        <v/>
      </c>
      <c r="AY702" s="1271" t="str">
        <f t="shared" si="32"/>
        <v/>
      </c>
      <c r="AZ702" s="1271" t="str">
        <f t="shared" si="33"/>
        <v/>
      </c>
      <c r="BA702" s="1271" t="str">
        <f t="shared" si="34"/>
        <v/>
      </c>
      <c r="BB702" s="1271" t="str">
        <f t="shared" si="35"/>
        <v/>
      </c>
      <c r="BC702" s="1271" t="str">
        <f t="shared" si="36"/>
        <v/>
      </c>
      <c r="BD702" s="1271" t="str">
        <f t="shared" si="37"/>
        <v/>
      </c>
      <c r="BE702" s="1271" t="str">
        <f t="shared" si="38"/>
        <v/>
      </c>
      <c r="BF702" s="1271" t="str">
        <f t="shared" si="39"/>
        <v/>
      </c>
      <c r="BG702" s="1271" t="str">
        <f t="shared" si="40"/>
        <v/>
      </c>
      <c r="BH702" s="1271" t="str">
        <f t="shared" si="41"/>
        <v/>
      </c>
      <c r="BI702" s="1271" t="str">
        <f t="shared" si="42"/>
        <v/>
      </c>
      <c r="BJ702" s="1271" t="str">
        <f t="shared" si="43"/>
        <v/>
      </c>
      <c r="BK702" s="1271" t="str">
        <f t="shared" si="44"/>
        <v/>
      </c>
      <c r="BL702" s="1271" t="str">
        <f t="shared" si="45"/>
        <v/>
      </c>
      <c r="BM702" s="1271" t="str">
        <f t="shared" si="46"/>
        <v/>
      </c>
      <c r="BN702" s="1271" t="str">
        <f t="shared" si="47"/>
        <v/>
      </c>
      <c r="BO702" s="1271" t="str">
        <f t="shared" si="48"/>
        <v/>
      </c>
      <c r="BP702" s="1271" t="str">
        <f t="shared" si="49"/>
        <v/>
      </c>
      <c r="BQ702" s="1271" t="str">
        <f t="shared" si="50"/>
        <v/>
      </c>
      <c r="BR702" s="1271" t="str">
        <f t="shared" si="51"/>
        <v/>
      </c>
      <c r="BS702" s="1271" t="str">
        <f t="shared" si="52"/>
        <v/>
      </c>
      <c r="BT702" s="1271" t="str">
        <f t="shared" si="53"/>
        <v/>
      </c>
      <c r="BU702" s="1271" t="str">
        <f t="shared" si="54"/>
        <v/>
      </c>
      <c r="BV702" s="1271" t="str">
        <f t="shared" si="55"/>
        <v/>
      </c>
      <c r="BW702" s="1271" t="str">
        <f t="shared" si="56"/>
        <v/>
      </c>
      <c r="BX702" s="1271" t="str">
        <f t="shared" si="57"/>
        <v/>
      </c>
      <c r="BY702" s="1271" t="str">
        <f t="shared" si="58"/>
        <v/>
      </c>
      <c r="BZ702" s="1271" t="str">
        <f t="shared" si="59"/>
        <v/>
      </c>
      <c r="CA702" s="1271" t="str">
        <f t="shared" si="60"/>
        <v/>
      </c>
      <c r="CB702" s="1271" t="str">
        <f t="shared" si="61"/>
        <v/>
      </c>
      <c r="CC702" s="1271" t="str">
        <f t="shared" si="62"/>
        <v/>
      </c>
      <c r="CD702" s="1271" t="str">
        <f t="shared" si="63"/>
        <v/>
      </c>
      <c r="CE702" s="1271" t="str">
        <f t="shared" si="64"/>
        <v/>
      </c>
      <c r="CF702" s="1271" t="str">
        <f t="shared" si="65"/>
        <v/>
      </c>
      <c r="CG702" s="1271" t="str">
        <f t="shared" si="66"/>
        <v/>
      </c>
      <c r="CH702" s="1271" t="str">
        <f t="shared" si="67"/>
        <v/>
      </c>
      <c r="CI702" s="1271" t="str">
        <f t="shared" si="68"/>
        <v/>
      </c>
      <c r="CJ702" s="1271" t="str">
        <f t="shared" si="69"/>
        <v/>
      </c>
      <c r="CK702" s="1271" t="str">
        <f t="shared" si="70"/>
        <v/>
      </c>
      <c r="CL702" s="1271" t="str">
        <f t="shared" si="71"/>
        <v/>
      </c>
      <c r="CM702" s="1271" t="str">
        <f t="shared" si="72"/>
        <v/>
      </c>
      <c r="CN702" s="1271" t="str">
        <f t="shared" si="73"/>
        <v/>
      </c>
      <c r="CO702" s="1271" t="str">
        <f t="shared" si="74"/>
        <v/>
      </c>
      <c r="CP702" s="1271" t="str">
        <f t="shared" si="75"/>
        <v/>
      </c>
      <c r="CQ702" s="1271" t="str">
        <f t="shared" si="76"/>
        <v/>
      </c>
      <c r="CR702" s="1271" t="str">
        <f t="shared" si="77"/>
        <v/>
      </c>
      <c r="CS702" s="1271" t="str">
        <f t="shared" si="78"/>
        <v/>
      </c>
      <c r="CT702" s="1271" t="str">
        <f t="shared" si="79"/>
        <v/>
      </c>
      <c r="CU702" s="1271" t="str">
        <f t="shared" si="80"/>
        <v/>
      </c>
      <c r="CV702" s="1271" t="str">
        <f t="shared" si="81"/>
        <v/>
      </c>
      <c r="CW702" s="1271" t="str">
        <f t="shared" si="82"/>
        <v/>
      </c>
      <c r="CX702" s="1271" t="str">
        <f t="shared" si="83"/>
        <v/>
      </c>
      <c r="CY702" s="1271" t="str">
        <f t="shared" si="84"/>
        <v/>
      </c>
      <c r="CZ702" s="1271" t="str">
        <f t="shared" si="85"/>
        <v/>
      </c>
      <c r="DA702" s="1271" t="str">
        <f t="shared" si="86"/>
        <v/>
      </c>
      <c r="DB702" s="1271" t="str">
        <f t="shared" si="87"/>
        <v/>
      </c>
      <c r="DC702" s="1271" t="str">
        <f t="shared" si="88"/>
        <v/>
      </c>
      <c r="DD702" s="1271" t="str">
        <f t="shared" si="89"/>
        <v/>
      </c>
      <c r="DE702" s="1271" t="str">
        <f t="shared" si="90"/>
        <v/>
      </c>
      <c r="DF702" s="1271" t="str">
        <f t="shared" si="91"/>
        <v/>
      </c>
      <c r="DG702" s="1271" t="str">
        <f t="shared" si="92"/>
        <v/>
      </c>
      <c r="DH702" s="1271" t="str">
        <f t="shared" si="93"/>
        <v/>
      </c>
      <c r="DI702" s="1271" t="str">
        <f t="shared" si="94"/>
        <v/>
      </c>
      <c r="DJ702" s="1271" t="str">
        <f t="shared" si="95"/>
        <v/>
      </c>
      <c r="DK702" s="1271" t="str">
        <f t="shared" si="96"/>
        <v/>
      </c>
      <c r="DL702" s="1271" t="str">
        <f t="shared" si="97"/>
        <v/>
      </c>
      <c r="DM702" s="1271" t="str">
        <f t="shared" si="98"/>
        <v/>
      </c>
      <c r="DN702" s="1271" t="str">
        <f t="shared" si="99"/>
        <v/>
      </c>
      <c r="DO702" s="1271" t="str">
        <f t="shared" si="100"/>
        <v/>
      </c>
      <c r="DP702" s="1271" t="str">
        <f t="shared" si="101"/>
        <v/>
      </c>
      <c r="DQ702" s="1271" t="str">
        <f t="shared" si="102"/>
        <v/>
      </c>
      <c r="DR702" s="1271" t="str">
        <f t="shared" si="103"/>
        <v/>
      </c>
      <c r="DS702" s="1271" t="str">
        <f t="shared" si="104"/>
        <v/>
      </c>
      <c r="DT702" s="1271" t="str">
        <f t="shared" si="105"/>
        <v/>
      </c>
      <c r="DU702" s="1271" t="str">
        <f t="shared" si="106"/>
        <v/>
      </c>
      <c r="DV702" s="1271" t="str">
        <f t="shared" si="107"/>
        <v/>
      </c>
      <c r="DW702" s="1271" t="str">
        <f t="shared" si="108"/>
        <v/>
      </c>
      <c r="DX702" s="1271" t="str">
        <f t="shared" si="109"/>
        <v/>
      </c>
      <c r="DY702" s="1271" t="str">
        <f t="shared" si="110"/>
        <v/>
      </c>
      <c r="DZ702" s="1271" t="str">
        <f t="shared" si="111"/>
        <v/>
      </c>
      <c r="EA702" s="1271" t="str">
        <f t="shared" si="112"/>
        <v/>
      </c>
      <c r="EB702" s="1271" t="str">
        <f t="shared" si="113"/>
        <v/>
      </c>
      <c r="EC702" s="1271" t="str">
        <f t="shared" si="114"/>
        <v/>
      </c>
      <c r="ED702" s="1271" t="str">
        <f t="shared" si="115"/>
        <v/>
      </c>
      <c r="EE702" s="1271" t="str">
        <f t="shared" si="116"/>
        <v/>
      </c>
      <c r="EF702" s="1271" t="str">
        <f t="shared" si="117"/>
        <v/>
      </c>
      <c r="EG702" s="1271" t="str">
        <f t="shared" si="118"/>
        <v/>
      </c>
      <c r="EH702" s="1271" t="str">
        <f t="shared" si="119"/>
        <v/>
      </c>
      <c r="EI702" s="1271" t="str">
        <f t="shared" si="120"/>
        <v/>
      </c>
      <c r="EJ702" s="1271" t="str">
        <f t="shared" si="121"/>
        <v/>
      </c>
      <c r="EK702" s="1271" t="str">
        <f t="shared" si="122"/>
        <v/>
      </c>
      <c r="EL702" s="1271" t="str">
        <f t="shared" si="123"/>
        <v/>
      </c>
      <c r="EM702" s="1271" t="str">
        <f t="shared" si="124"/>
        <v/>
      </c>
      <c r="EN702" s="1271" t="str">
        <f t="shared" si="125"/>
        <v/>
      </c>
      <c r="EO702" s="1271" t="str">
        <f t="shared" si="126"/>
        <v/>
      </c>
      <c r="EP702" s="1271" t="str">
        <f t="shared" si="127"/>
        <v/>
      </c>
      <c r="EQ702" s="1271" t="str">
        <f t="shared" si="128"/>
        <v/>
      </c>
      <c r="ER702" s="1271" t="str">
        <f t="shared" si="129"/>
        <v/>
      </c>
      <c r="ES702" s="1271" t="str">
        <f t="shared" si="130"/>
        <v/>
      </c>
      <c r="ET702" s="1271" t="str">
        <f t="shared" si="131"/>
        <v/>
      </c>
      <c r="EU702" s="1271" t="str">
        <f t="shared" si="132"/>
        <v/>
      </c>
      <c r="EV702" s="1271" t="str">
        <f t="shared" si="133"/>
        <v/>
      </c>
      <c r="EW702" s="1519" t="str">
        <f t="shared" si="134"/>
        <v/>
      </c>
      <c r="EX702" s="1519" t="str">
        <f t="shared" si="135"/>
        <v/>
      </c>
      <c r="EY702" s="1519" t="str">
        <f t="shared" si="136"/>
        <v/>
      </c>
      <c r="EZ702" s="1519" t="str">
        <f t="shared" si="137"/>
        <v/>
      </c>
      <c r="FA702" s="1519" t="str">
        <f t="shared" si="138"/>
        <v/>
      </c>
      <c r="FB702" s="1519" t="str">
        <f t="shared" si="139"/>
        <v/>
      </c>
      <c r="FC702" s="1519" t="str">
        <f t="shared" si="140"/>
        <v/>
      </c>
      <c r="FD702" s="1519" t="str">
        <f t="shared" si="141"/>
        <v/>
      </c>
      <c r="FE702" s="1519" t="str">
        <f t="shared" si="142"/>
        <v/>
      </c>
      <c r="FF702" s="1519" t="str">
        <f t="shared" si="143"/>
        <v/>
      </c>
      <c r="FG702" s="1519" t="str">
        <f t="shared" si="144"/>
        <v/>
      </c>
      <c r="FH702" s="1519" t="str">
        <f t="shared" si="145"/>
        <v/>
      </c>
      <c r="FI702" s="1519" t="str">
        <f t="shared" si="146"/>
        <v/>
      </c>
      <c r="FJ702" s="1519" t="str">
        <f t="shared" si="147"/>
        <v/>
      </c>
      <c r="FK702" s="1519" t="str">
        <f t="shared" si="148"/>
        <v/>
      </c>
      <c r="FL702" s="1519" t="str">
        <f t="shared" si="149"/>
        <v/>
      </c>
      <c r="FM702" s="1519" t="str">
        <f t="shared" si="150"/>
        <v/>
      </c>
      <c r="FN702" s="1519" t="str">
        <f t="shared" si="151"/>
        <v/>
      </c>
      <c r="FO702" s="1519" t="str">
        <f t="shared" si="152"/>
        <v/>
      </c>
      <c r="FP702" s="1519" t="str">
        <f t="shared" si="153"/>
        <v/>
      </c>
      <c r="FQ702" s="1519" t="str">
        <f t="shared" si="154"/>
        <v/>
      </c>
      <c r="FR702" s="1519" t="str">
        <f t="shared" si="155"/>
        <v/>
      </c>
      <c r="FS702" s="1519" t="str">
        <f t="shared" si="156"/>
        <v/>
      </c>
      <c r="FT702" s="1519" t="str">
        <f t="shared" si="157"/>
        <v/>
      </c>
      <c r="FU702" s="1519" t="str">
        <f t="shared" si="158"/>
        <v/>
      </c>
      <c r="FV702" s="1519" t="str">
        <f t="shared" si="159"/>
        <v/>
      </c>
      <c r="FW702" s="1519" t="str">
        <f t="shared" si="160"/>
        <v/>
      </c>
      <c r="FX702" s="1519" t="str">
        <f t="shared" si="161"/>
        <v/>
      </c>
      <c r="FY702" s="1519" t="str">
        <f t="shared" si="162"/>
        <v/>
      </c>
      <c r="FZ702" s="1519" t="str">
        <f t="shared" si="163"/>
        <v/>
      </c>
      <c r="GA702" s="1519" t="str">
        <f t="shared" si="164"/>
        <v/>
      </c>
      <c r="GB702" s="1519" t="str">
        <f t="shared" si="165"/>
        <v/>
      </c>
      <c r="GC702" s="1519" t="str">
        <f t="shared" si="166"/>
        <v/>
      </c>
      <c r="GD702" s="1519" t="str">
        <f t="shared" si="167"/>
        <v/>
      </c>
      <c r="GE702" s="1519" t="str">
        <f t="shared" si="168"/>
        <v/>
      </c>
      <c r="GF702" s="1519" t="str">
        <f t="shared" si="169"/>
        <v/>
      </c>
      <c r="GG702" s="1519" t="str">
        <f t="shared" si="170"/>
        <v/>
      </c>
      <c r="GH702" s="1519" t="str">
        <f t="shared" si="171"/>
        <v/>
      </c>
      <c r="GI702" s="1519" t="str">
        <f t="shared" si="172"/>
        <v/>
      </c>
      <c r="GJ702" s="1519" t="str">
        <f t="shared" si="173"/>
        <v/>
      </c>
      <c r="GK702" s="1519" t="str">
        <f t="shared" si="174"/>
        <v/>
      </c>
      <c r="GL702" s="1519" t="str">
        <f t="shared" si="175"/>
        <v/>
      </c>
      <c r="GM702" s="1519" t="str">
        <f t="shared" si="176"/>
        <v/>
      </c>
      <c r="GN702" s="1519" t="str">
        <f t="shared" si="177"/>
        <v/>
      </c>
      <c r="GO702" s="1519" t="str">
        <f t="shared" si="178"/>
        <v/>
      </c>
      <c r="GP702" s="1519" t="str">
        <f t="shared" si="179"/>
        <v/>
      </c>
      <c r="GQ702" s="1519" t="str">
        <f t="shared" si="180"/>
        <v/>
      </c>
      <c r="GR702" s="1519" t="str">
        <f t="shared" si="181"/>
        <v/>
      </c>
      <c r="GS702" s="1519" t="str">
        <f t="shared" si="182"/>
        <v/>
      </c>
      <c r="GT702" s="1519" t="str">
        <f t="shared" si="183"/>
        <v/>
      </c>
      <c r="GU702" s="1519" t="str">
        <f t="shared" si="184"/>
        <v/>
      </c>
      <c r="GV702" s="1519" t="str">
        <f t="shared" si="185"/>
        <v/>
      </c>
      <c r="GW702" s="1519" t="str">
        <f t="shared" si="186"/>
        <v/>
      </c>
      <c r="GX702" s="1519" t="str">
        <f t="shared" si="187"/>
        <v/>
      </c>
      <c r="GY702" s="1519" t="str">
        <f t="shared" si="188"/>
        <v/>
      </c>
      <c r="GZ702" s="1519" t="str">
        <f t="shared" si="189"/>
        <v/>
      </c>
      <c r="HA702" s="1519" t="str">
        <f t="shared" si="190"/>
        <v/>
      </c>
      <c r="HB702" s="1519" t="str">
        <f t="shared" si="191"/>
        <v/>
      </c>
      <c r="HC702" s="1519" t="str">
        <f t="shared" si="192"/>
        <v/>
      </c>
      <c r="HD702" s="1519" t="str">
        <f t="shared" si="193"/>
        <v/>
      </c>
      <c r="HE702" s="1519" t="str">
        <f t="shared" si="194"/>
        <v/>
      </c>
      <c r="HF702" s="1519" t="str">
        <f t="shared" si="195"/>
        <v/>
      </c>
      <c r="HG702" s="1519" t="str">
        <f t="shared" si="196"/>
        <v/>
      </c>
      <c r="HH702" s="1519" t="str">
        <f t="shared" si="197"/>
        <v/>
      </c>
      <c r="HI702" s="1519" t="str">
        <f t="shared" si="198"/>
        <v/>
      </c>
      <c r="HJ702" s="1519" t="str">
        <f t="shared" si="199"/>
        <v/>
      </c>
      <c r="HK702" s="1519" t="str">
        <f t="shared" si="200"/>
        <v/>
      </c>
      <c r="HL702" s="1519" t="str">
        <f t="shared" si="201"/>
        <v/>
      </c>
      <c r="HM702" s="1519" t="str">
        <f t="shared" si="202"/>
        <v/>
      </c>
      <c r="HN702" s="1519" t="str">
        <f t="shared" si="203"/>
        <v/>
      </c>
      <c r="HO702" s="1519" t="str">
        <f t="shared" si="204"/>
        <v/>
      </c>
      <c r="HP702" s="1519" t="str">
        <f t="shared" si="205"/>
        <v/>
      </c>
      <c r="HQ702" s="1519" t="str">
        <f t="shared" si="206"/>
        <v/>
      </c>
      <c r="HR702" s="1519" t="str">
        <f t="shared" si="207"/>
        <v/>
      </c>
      <c r="HS702" s="1519" t="str">
        <f t="shared" si="208"/>
        <v/>
      </c>
      <c r="HT702" s="1519" t="str">
        <f t="shared" si="209"/>
        <v/>
      </c>
      <c r="HU702" s="1519" t="str">
        <f t="shared" si="210"/>
        <v/>
      </c>
      <c r="HV702" s="1519" t="str">
        <f t="shared" si="211"/>
        <v/>
      </c>
      <c r="HW702" s="1519" t="str">
        <f t="shared" si="212"/>
        <v/>
      </c>
      <c r="HX702" s="1519" t="str">
        <f t="shared" si="213"/>
        <v/>
      </c>
      <c r="HY702" s="1519" t="str">
        <f t="shared" si="214"/>
        <v/>
      </c>
      <c r="HZ702" s="1519" t="str">
        <f t="shared" si="215"/>
        <v/>
      </c>
      <c r="IA702" s="1519" t="str">
        <f t="shared" si="216"/>
        <v/>
      </c>
      <c r="IB702" s="1519" t="str">
        <f t="shared" si="217"/>
        <v/>
      </c>
      <c r="IC702" s="1519" t="str">
        <f t="shared" si="218"/>
        <v/>
      </c>
      <c r="ID702" s="1520" t="str">
        <f t="shared" si="219"/>
        <v/>
      </c>
      <c r="IE702" s="1520" t="str">
        <f t="shared" si="220"/>
        <v/>
      </c>
      <c r="IF702" s="1520" t="str">
        <f t="shared" si="221"/>
        <v/>
      </c>
      <c r="IG702" s="1520" t="str">
        <f t="shared" si="222"/>
        <v/>
      </c>
      <c r="IH702" s="1520" t="str">
        <f t="shared" si="223"/>
        <v/>
      </c>
      <c r="II702" s="1271" t="str">
        <f t="shared" si="224"/>
        <v/>
      </c>
      <c r="IJ702" s="1271" t="str">
        <f t="shared" si="225"/>
        <v/>
      </c>
      <c r="IK702" s="1271" t="str">
        <f t="shared" si="226"/>
        <v/>
      </c>
      <c r="IL702" s="1271" t="str">
        <f t="shared" si="227"/>
        <v/>
      </c>
      <c r="IM702" s="1271" t="str">
        <f t="shared" si="228"/>
        <v/>
      </c>
      <c r="IN702" s="1271" t="str">
        <f t="shared" si="229"/>
        <v/>
      </c>
      <c r="IO702" s="1271" t="str">
        <f t="shared" si="230"/>
        <v/>
      </c>
      <c r="IP702" s="1271" t="str">
        <f t="shared" si="231"/>
        <v/>
      </c>
      <c r="IQ702" s="1271" t="str">
        <f t="shared" si="232"/>
        <v/>
      </c>
      <c r="IR702" s="1271" t="str">
        <f t="shared" si="233"/>
        <v/>
      </c>
      <c r="IS702" s="1271" t="str">
        <f t="shared" si="234"/>
        <v/>
      </c>
      <c r="IT702" s="1271" t="str">
        <f t="shared" si="235"/>
        <v/>
      </c>
      <c r="IU702" s="1271" t="str">
        <f t="shared" si="236"/>
        <v/>
      </c>
      <c r="IV702" s="1271" t="str">
        <f t="shared" si="237"/>
        <v/>
      </c>
      <c r="IW702" s="1271" t="str">
        <f t="shared" si="238"/>
        <v/>
      </c>
      <c r="IX702" s="1271" t="str">
        <f t="shared" si="239"/>
        <v/>
      </c>
      <c r="IY702" s="1271" t="str">
        <f t="shared" si="240"/>
        <v/>
      </c>
      <c r="IZ702" s="1271" t="str">
        <f t="shared" si="241"/>
        <v/>
      </c>
      <c r="JA702" s="1271" t="str">
        <f t="shared" si="242"/>
        <v/>
      </c>
      <c r="JB702" s="1271" t="str">
        <f t="shared" si="243"/>
        <v/>
      </c>
      <c r="JC702" s="1518">
        <f t="shared" si="244"/>
        <v>0</v>
      </c>
      <c r="JD702" s="1518">
        <f t="shared" si="245"/>
        <v>0</v>
      </c>
      <c r="JE702" s="1518">
        <f t="shared" si="246"/>
        <v>0</v>
      </c>
      <c r="JF702" s="1518">
        <f t="shared" si="247"/>
        <v>0</v>
      </c>
      <c r="JG702" s="1518">
        <f t="shared" si="248"/>
        <v>0</v>
      </c>
      <c r="JH702" s="1518">
        <f t="shared" si="249"/>
        <v>0</v>
      </c>
      <c r="JI702" s="1518">
        <f t="shared" si="250"/>
        <v>0</v>
      </c>
      <c r="JJ702" s="1518">
        <f t="shared" si="251"/>
        <v>0</v>
      </c>
      <c r="JK702" s="1518">
        <f t="shared" si="252"/>
        <v>0</v>
      </c>
      <c r="JL702" s="1518">
        <f t="shared" si="253"/>
        <v>0</v>
      </c>
      <c r="JM702" s="1518">
        <f t="shared" si="254"/>
        <v>0</v>
      </c>
      <c r="JN702" s="1518">
        <f t="shared" si="255"/>
        <v>0</v>
      </c>
      <c r="JO702" s="1518">
        <f t="shared" si="256"/>
        <v>0</v>
      </c>
      <c r="JP702" s="1518">
        <f t="shared" si="257"/>
        <v>0</v>
      </c>
      <c r="JQ702" s="1518">
        <f t="shared" si="258"/>
        <v>0</v>
      </c>
    </row>
    <row r="703" spans="1:277" ht="12" customHeight="1">
      <c r="A703" s="1687" t="str">
        <f t="shared" si="1"/>
        <v/>
      </c>
      <c r="B703" s="1702" t="str">
        <f>'Part VI-Revenues &amp; Expenses'!B42</f>
        <v>&lt;&lt;Select&gt;&gt;</v>
      </c>
      <c r="C703" s="1703">
        <f>'Part VI-Revenues &amp; Expenses'!C42</f>
        <v>0</v>
      </c>
      <c r="D703" s="1704">
        <f>'Part VI-Revenues &amp; Expenses'!D42</f>
        <v>0</v>
      </c>
      <c r="E703" s="1705">
        <f>'Part VI-Revenues &amp; Expenses'!E42</f>
        <v>0</v>
      </c>
      <c r="F703" s="1705">
        <f>'Part VI-Revenues &amp; Expenses'!F42</f>
        <v>0</v>
      </c>
      <c r="G703" s="1705">
        <f>'Part VI-Revenues &amp; Expenses'!G42</f>
        <v>0</v>
      </c>
      <c r="H703" s="1705">
        <f>'Part VI-Revenues &amp; Expenses'!H42</f>
        <v>0</v>
      </c>
      <c r="I703" s="1705">
        <f>'Part VI-Revenues &amp; Expenses'!I42</f>
        <v>0</v>
      </c>
      <c r="J703" s="1706">
        <f>'Part VI-Revenues &amp; Expenses'!J42</f>
        <v>0</v>
      </c>
      <c r="K703" s="1707">
        <f t="shared" si="2"/>
        <v>0</v>
      </c>
      <c r="L703" s="1707">
        <f t="shared" si="3"/>
        <v>0</v>
      </c>
      <c r="M703" s="1708">
        <f>'Part VI-Revenues &amp; Expenses'!M42</f>
        <v>0</v>
      </c>
      <c r="N703" s="1708">
        <f>'Part VI-Revenues &amp; Expenses'!N42</f>
        <v>0</v>
      </c>
      <c r="O703" s="1708">
        <f>'Part VI-Revenues &amp; Expenses'!O42</f>
        <v>0</v>
      </c>
      <c r="P703" s="1515">
        <f>'Part VI-Revenues &amp; Expenses'!P42</f>
        <v>0</v>
      </c>
      <c r="Q703" s="1709" t="str">
        <f>'Part VI-Revenues &amp; Expenses'!Q42</f>
        <v/>
      </c>
      <c r="R703" s="1710" t="str">
        <f>'Part VI-Revenues &amp; Expenses'!R42</f>
        <v/>
      </c>
      <c r="S703" s="1709">
        <f>'Part VI-Revenues &amp; Expenses'!S42</f>
        <v>0</v>
      </c>
      <c r="T703" s="1710">
        <f>'Part VI-Revenues &amp; Expenses'!T42</f>
        <v>0</v>
      </c>
      <c r="U703" s="1629"/>
      <c r="V703" s="1629"/>
      <c r="W703" s="1271" t="str">
        <f t="shared" si="4"/>
        <v/>
      </c>
      <c r="X703" s="1271" t="str">
        <f t="shared" si="5"/>
        <v/>
      </c>
      <c r="Y703" s="1271" t="str">
        <f t="shared" si="6"/>
        <v/>
      </c>
      <c r="Z703" s="1271" t="str">
        <f t="shared" si="7"/>
        <v/>
      </c>
      <c r="AA703" s="1271" t="str">
        <f t="shared" si="8"/>
        <v/>
      </c>
      <c r="AB703" s="1271" t="str">
        <f t="shared" si="9"/>
        <v/>
      </c>
      <c r="AC703" s="1271" t="str">
        <f t="shared" si="10"/>
        <v/>
      </c>
      <c r="AD703" s="1271" t="str">
        <f t="shared" si="11"/>
        <v/>
      </c>
      <c r="AE703" s="1271" t="str">
        <f t="shared" si="12"/>
        <v/>
      </c>
      <c r="AF703" s="1271" t="str">
        <f t="shared" si="13"/>
        <v/>
      </c>
      <c r="AG703" s="1271" t="str">
        <f t="shared" si="14"/>
        <v/>
      </c>
      <c r="AH703" s="1271" t="str">
        <f t="shared" si="15"/>
        <v/>
      </c>
      <c r="AI703" s="1271" t="str">
        <f t="shared" si="16"/>
        <v/>
      </c>
      <c r="AJ703" s="1271" t="str">
        <f t="shared" si="17"/>
        <v/>
      </c>
      <c r="AK703" s="1271" t="str">
        <f t="shared" si="18"/>
        <v/>
      </c>
      <c r="AL703" s="1271" t="str">
        <f t="shared" si="19"/>
        <v/>
      </c>
      <c r="AM703" s="1271" t="str">
        <f t="shared" si="20"/>
        <v/>
      </c>
      <c r="AN703" s="1271" t="str">
        <f t="shared" si="21"/>
        <v/>
      </c>
      <c r="AO703" s="1271" t="str">
        <f t="shared" si="22"/>
        <v/>
      </c>
      <c r="AP703" s="1271" t="str">
        <f t="shared" si="23"/>
        <v/>
      </c>
      <c r="AQ703" s="1271" t="str">
        <f t="shared" si="24"/>
        <v/>
      </c>
      <c r="AR703" s="1271" t="str">
        <f t="shared" si="25"/>
        <v/>
      </c>
      <c r="AS703" s="1271" t="str">
        <f t="shared" si="26"/>
        <v/>
      </c>
      <c r="AT703" s="1271" t="str">
        <f t="shared" si="27"/>
        <v/>
      </c>
      <c r="AU703" s="1271" t="str">
        <f t="shared" si="28"/>
        <v/>
      </c>
      <c r="AV703" s="1271" t="str">
        <f t="shared" si="29"/>
        <v/>
      </c>
      <c r="AW703" s="1271" t="str">
        <f t="shared" si="30"/>
        <v/>
      </c>
      <c r="AX703" s="1271" t="str">
        <f t="shared" si="31"/>
        <v/>
      </c>
      <c r="AY703" s="1271" t="str">
        <f t="shared" si="32"/>
        <v/>
      </c>
      <c r="AZ703" s="1271" t="str">
        <f t="shared" si="33"/>
        <v/>
      </c>
      <c r="BA703" s="1271" t="str">
        <f t="shared" si="34"/>
        <v/>
      </c>
      <c r="BB703" s="1271" t="str">
        <f t="shared" si="35"/>
        <v/>
      </c>
      <c r="BC703" s="1271" t="str">
        <f t="shared" si="36"/>
        <v/>
      </c>
      <c r="BD703" s="1271" t="str">
        <f t="shared" si="37"/>
        <v/>
      </c>
      <c r="BE703" s="1271" t="str">
        <f t="shared" si="38"/>
        <v/>
      </c>
      <c r="BF703" s="1271" t="str">
        <f t="shared" si="39"/>
        <v/>
      </c>
      <c r="BG703" s="1271" t="str">
        <f t="shared" si="40"/>
        <v/>
      </c>
      <c r="BH703" s="1271" t="str">
        <f t="shared" si="41"/>
        <v/>
      </c>
      <c r="BI703" s="1271" t="str">
        <f t="shared" si="42"/>
        <v/>
      </c>
      <c r="BJ703" s="1271" t="str">
        <f t="shared" si="43"/>
        <v/>
      </c>
      <c r="BK703" s="1271" t="str">
        <f t="shared" si="44"/>
        <v/>
      </c>
      <c r="BL703" s="1271" t="str">
        <f t="shared" si="45"/>
        <v/>
      </c>
      <c r="BM703" s="1271" t="str">
        <f t="shared" si="46"/>
        <v/>
      </c>
      <c r="BN703" s="1271" t="str">
        <f t="shared" si="47"/>
        <v/>
      </c>
      <c r="BO703" s="1271" t="str">
        <f t="shared" si="48"/>
        <v/>
      </c>
      <c r="BP703" s="1271" t="str">
        <f t="shared" si="49"/>
        <v/>
      </c>
      <c r="BQ703" s="1271" t="str">
        <f t="shared" si="50"/>
        <v/>
      </c>
      <c r="BR703" s="1271" t="str">
        <f t="shared" si="51"/>
        <v/>
      </c>
      <c r="BS703" s="1271" t="str">
        <f t="shared" si="52"/>
        <v/>
      </c>
      <c r="BT703" s="1271" t="str">
        <f t="shared" si="53"/>
        <v/>
      </c>
      <c r="BU703" s="1271" t="str">
        <f t="shared" si="54"/>
        <v/>
      </c>
      <c r="BV703" s="1271" t="str">
        <f t="shared" si="55"/>
        <v/>
      </c>
      <c r="BW703" s="1271" t="str">
        <f t="shared" si="56"/>
        <v/>
      </c>
      <c r="BX703" s="1271" t="str">
        <f t="shared" si="57"/>
        <v/>
      </c>
      <c r="BY703" s="1271" t="str">
        <f t="shared" si="58"/>
        <v/>
      </c>
      <c r="BZ703" s="1271" t="str">
        <f t="shared" si="59"/>
        <v/>
      </c>
      <c r="CA703" s="1271" t="str">
        <f t="shared" si="60"/>
        <v/>
      </c>
      <c r="CB703" s="1271" t="str">
        <f t="shared" si="61"/>
        <v/>
      </c>
      <c r="CC703" s="1271" t="str">
        <f t="shared" si="62"/>
        <v/>
      </c>
      <c r="CD703" s="1271" t="str">
        <f t="shared" si="63"/>
        <v/>
      </c>
      <c r="CE703" s="1271" t="str">
        <f t="shared" si="64"/>
        <v/>
      </c>
      <c r="CF703" s="1271" t="str">
        <f t="shared" si="65"/>
        <v/>
      </c>
      <c r="CG703" s="1271" t="str">
        <f t="shared" si="66"/>
        <v/>
      </c>
      <c r="CH703" s="1271" t="str">
        <f t="shared" si="67"/>
        <v/>
      </c>
      <c r="CI703" s="1271" t="str">
        <f t="shared" si="68"/>
        <v/>
      </c>
      <c r="CJ703" s="1271" t="str">
        <f t="shared" si="69"/>
        <v/>
      </c>
      <c r="CK703" s="1271" t="str">
        <f t="shared" si="70"/>
        <v/>
      </c>
      <c r="CL703" s="1271" t="str">
        <f t="shared" si="71"/>
        <v/>
      </c>
      <c r="CM703" s="1271" t="str">
        <f t="shared" si="72"/>
        <v/>
      </c>
      <c r="CN703" s="1271" t="str">
        <f t="shared" si="73"/>
        <v/>
      </c>
      <c r="CO703" s="1271" t="str">
        <f t="shared" si="74"/>
        <v/>
      </c>
      <c r="CP703" s="1271" t="str">
        <f t="shared" si="75"/>
        <v/>
      </c>
      <c r="CQ703" s="1271" t="str">
        <f t="shared" si="76"/>
        <v/>
      </c>
      <c r="CR703" s="1271" t="str">
        <f t="shared" si="77"/>
        <v/>
      </c>
      <c r="CS703" s="1271" t="str">
        <f t="shared" si="78"/>
        <v/>
      </c>
      <c r="CT703" s="1271" t="str">
        <f t="shared" si="79"/>
        <v/>
      </c>
      <c r="CU703" s="1271" t="str">
        <f t="shared" si="80"/>
        <v/>
      </c>
      <c r="CV703" s="1271" t="str">
        <f t="shared" si="81"/>
        <v/>
      </c>
      <c r="CW703" s="1271" t="str">
        <f t="shared" si="82"/>
        <v/>
      </c>
      <c r="CX703" s="1271" t="str">
        <f t="shared" si="83"/>
        <v/>
      </c>
      <c r="CY703" s="1271" t="str">
        <f t="shared" si="84"/>
        <v/>
      </c>
      <c r="CZ703" s="1271" t="str">
        <f t="shared" si="85"/>
        <v/>
      </c>
      <c r="DA703" s="1271" t="str">
        <f t="shared" si="86"/>
        <v/>
      </c>
      <c r="DB703" s="1271" t="str">
        <f t="shared" si="87"/>
        <v/>
      </c>
      <c r="DC703" s="1271" t="str">
        <f t="shared" si="88"/>
        <v/>
      </c>
      <c r="DD703" s="1271" t="str">
        <f t="shared" si="89"/>
        <v/>
      </c>
      <c r="DE703" s="1271" t="str">
        <f t="shared" si="90"/>
        <v/>
      </c>
      <c r="DF703" s="1271" t="str">
        <f t="shared" si="91"/>
        <v/>
      </c>
      <c r="DG703" s="1271" t="str">
        <f t="shared" si="92"/>
        <v/>
      </c>
      <c r="DH703" s="1271" t="str">
        <f t="shared" si="93"/>
        <v/>
      </c>
      <c r="DI703" s="1271" t="str">
        <f t="shared" si="94"/>
        <v/>
      </c>
      <c r="DJ703" s="1271" t="str">
        <f t="shared" si="95"/>
        <v/>
      </c>
      <c r="DK703" s="1271" t="str">
        <f t="shared" si="96"/>
        <v/>
      </c>
      <c r="DL703" s="1271" t="str">
        <f t="shared" si="97"/>
        <v/>
      </c>
      <c r="DM703" s="1271" t="str">
        <f t="shared" si="98"/>
        <v/>
      </c>
      <c r="DN703" s="1271" t="str">
        <f t="shared" si="99"/>
        <v/>
      </c>
      <c r="DO703" s="1271" t="str">
        <f t="shared" si="100"/>
        <v/>
      </c>
      <c r="DP703" s="1271" t="str">
        <f t="shared" si="101"/>
        <v/>
      </c>
      <c r="DQ703" s="1271" t="str">
        <f t="shared" si="102"/>
        <v/>
      </c>
      <c r="DR703" s="1271" t="str">
        <f t="shared" si="103"/>
        <v/>
      </c>
      <c r="DS703" s="1271" t="str">
        <f t="shared" si="104"/>
        <v/>
      </c>
      <c r="DT703" s="1271" t="str">
        <f t="shared" si="105"/>
        <v/>
      </c>
      <c r="DU703" s="1271" t="str">
        <f t="shared" si="106"/>
        <v/>
      </c>
      <c r="DV703" s="1271" t="str">
        <f t="shared" si="107"/>
        <v/>
      </c>
      <c r="DW703" s="1271" t="str">
        <f t="shared" si="108"/>
        <v/>
      </c>
      <c r="DX703" s="1271" t="str">
        <f t="shared" si="109"/>
        <v/>
      </c>
      <c r="DY703" s="1271" t="str">
        <f t="shared" si="110"/>
        <v/>
      </c>
      <c r="DZ703" s="1271" t="str">
        <f t="shared" si="111"/>
        <v/>
      </c>
      <c r="EA703" s="1271" t="str">
        <f t="shared" si="112"/>
        <v/>
      </c>
      <c r="EB703" s="1271" t="str">
        <f t="shared" si="113"/>
        <v/>
      </c>
      <c r="EC703" s="1271" t="str">
        <f t="shared" si="114"/>
        <v/>
      </c>
      <c r="ED703" s="1271" t="str">
        <f t="shared" si="115"/>
        <v/>
      </c>
      <c r="EE703" s="1271" t="str">
        <f t="shared" si="116"/>
        <v/>
      </c>
      <c r="EF703" s="1271" t="str">
        <f t="shared" si="117"/>
        <v/>
      </c>
      <c r="EG703" s="1271" t="str">
        <f t="shared" si="118"/>
        <v/>
      </c>
      <c r="EH703" s="1271" t="str">
        <f t="shared" si="119"/>
        <v/>
      </c>
      <c r="EI703" s="1271" t="str">
        <f t="shared" si="120"/>
        <v/>
      </c>
      <c r="EJ703" s="1271" t="str">
        <f t="shared" si="121"/>
        <v/>
      </c>
      <c r="EK703" s="1271" t="str">
        <f t="shared" si="122"/>
        <v/>
      </c>
      <c r="EL703" s="1271" t="str">
        <f t="shared" si="123"/>
        <v/>
      </c>
      <c r="EM703" s="1271" t="str">
        <f t="shared" si="124"/>
        <v/>
      </c>
      <c r="EN703" s="1271" t="str">
        <f t="shared" si="125"/>
        <v/>
      </c>
      <c r="EO703" s="1271" t="str">
        <f t="shared" si="126"/>
        <v/>
      </c>
      <c r="EP703" s="1271" t="str">
        <f t="shared" si="127"/>
        <v/>
      </c>
      <c r="EQ703" s="1271" t="str">
        <f t="shared" si="128"/>
        <v/>
      </c>
      <c r="ER703" s="1271" t="str">
        <f t="shared" si="129"/>
        <v/>
      </c>
      <c r="ES703" s="1271" t="str">
        <f t="shared" si="130"/>
        <v/>
      </c>
      <c r="ET703" s="1271" t="str">
        <f t="shared" si="131"/>
        <v/>
      </c>
      <c r="EU703" s="1271" t="str">
        <f t="shared" si="132"/>
        <v/>
      </c>
      <c r="EV703" s="1271" t="str">
        <f t="shared" si="133"/>
        <v/>
      </c>
      <c r="EW703" s="1519" t="str">
        <f t="shared" si="134"/>
        <v/>
      </c>
      <c r="EX703" s="1519" t="str">
        <f t="shared" si="135"/>
        <v/>
      </c>
      <c r="EY703" s="1519" t="str">
        <f t="shared" si="136"/>
        <v/>
      </c>
      <c r="EZ703" s="1519" t="str">
        <f t="shared" si="137"/>
        <v/>
      </c>
      <c r="FA703" s="1519" t="str">
        <f t="shared" si="138"/>
        <v/>
      </c>
      <c r="FB703" s="1519" t="str">
        <f t="shared" si="139"/>
        <v/>
      </c>
      <c r="FC703" s="1519" t="str">
        <f t="shared" si="140"/>
        <v/>
      </c>
      <c r="FD703" s="1519" t="str">
        <f t="shared" si="141"/>
        <v/>
      </c>
      <c r="FE703" s="1519" t="str">
        <f t="shared" si="142"/>
        <v/>
      </c>
      <c r="FF703" s="1519" t="str">
        <f t="shared" si="143"/>
        <v/>
      </c>
      <c r="FG703" s="1519" t="str">
        <f t="shared" si="144"/>
        <v/>
      </c>
      <c r="FH703" s="1519" t="str">
        <f t="shared" si="145"/>
        <v/>
      </c>
      <c r="FI703" s="1519" t="str">
        <f t="shared" si="146"/>
        <v/>
      </c>
      <c r="FJ703" s="1519" t="str">
        <f t="shared" si="147"/>
        <v/>
      </c>
      <c r="FK703" s="1519" t="str">
        <f t="shared" si="148"/>
        <v/>
      </c>
      <c r="FL703" s="1519" t="str">
        <f t="shared" si="149"/>
        <v/>
      </c>
      <c r="FM703" s="1519" t="str">
        <f t="shared" si="150"/>
        <v/>
      </c>
      <c r="FN703" s="1519" t="str">
        <f t="shared" si="151"/>
        <v/>
      </c>
      <c r="FO703" s="1519" t="str">
        <f t="shared" si="152"/>
        <v/>
      </c>
      <c r="FP703" s="1519" t="str">
        <f t="shared" si="153"/>
        <v/>
      </c>
      <c r="FQ703" s="1519" t="str">
        <f t="shared" si="154"/>
        <v/>
      </c>
      <c r="FR703" s="1519" t="str">
        <f t="shared" si="155"/>
        <v/>
      </c>
      <c r="FS703" s="1519" t="str">
        <f t="shared" si="156"/>
        <v/>
      </c>
      <c r="FT703" s="1519" t="str">
        <f t="shared" si="157"/>
        <v/>
      </c>
      <c r="FU703" s="1519" t="str">
        <f t="shared" si="158"/>
        <v/>
      </c>
      <c r="FV703" s="1519" t="str">
        <f t="shared" si="159"/>
        <v/>
      </c>
      <c r="FW703" s="1519" t="str">
        <f t="shared" si="160"/>
        <v/>
      </c>
      <c r="FX703" s="1519" t="str">
        <f t="shared" si="161"/>
        <v/>
      </c>
      <c r="FY703" s="1519" t="str">
        <f t="shared" si="162"/>
        <v/>
      </c>
      <c r="FZ703" s="1519" t="str">
        <f t="shared" si="163"/>
        <v/>
      </c>
      <c r="GA703" s="1519" t="str">
        <f t="shared" si="164"/>
        <v/>
      </c>
      <c r="GB703" s="1519" t="str">
        <f t="shared" si="165"/>
        <v/>
      </c>
      <c r="GC703" s="1519" t="str">
        <f t="shared" si="166"/>
        <v/>
      </c>
      <c r="GD703" s="1519" t="str">
        <f t="shared" si="167"/>
        <v/>
      </c>
      <c r="GE703" s="1519" t="str">
        <f t="shared" si="168"/>
        <v/>
      </c>
      <c r="GF703" s="1519" t="str">
        <f t="shared" si="169"/>
        <v/>
      </c>
      <c r="GG703" s="1519" t="str">
        <f t="shared" si="170"/>
        <v/>
      </c>
      <c r="GH703" s="1519" t="str">
        <f t="shared" si="171"/>
        <v/>
      </c>
      <c r="GI703" s="1519" t="str">
        <f t="shared" si="172"/>
        <v/>
      </c>
      <c r="GJ703" s="1519" t="str">
        <f t="shared" si="173"/>
        <v/>
      </c>
      <c r="GK703" s="1519" t="str">
        <f t="shared" si="174"/>
        <v/>
      </c>
      <c r="GL703" s="1519" t="str">
        <f t="shared" si="175"/>
        <v/>
      </c>
      <c r="GM703" s="1519" t="str">
        <f t="shared" si="176"/>
        <v/>
      </c>
      <c r="GN703" s="1519" t="str">
        <f t="shared" si="177"/>
        <v/>
      </c>
      <c r="GO703" s="1519" t="str">
        <f t="shared" si="178"/>
        <v/>
      </c>
      <c r="GP703" s="1519" t="str">
        <f t="shared" si="179"/>
        <v/>
      </c>
      <c r="GQ703" s="1519" t="str">
        <f t="shared" si="180"/>
        <v/>
      </c>
      <c r="GR703" s="1519" t="str">
        <f t="shared" si="181"/>
        <v/>
      </c>
      <c r="GS703" s="1519" t="str">
        <f t="shared" si="182"/>
        <v/>
      </c>
      <c r="GT703" s="1519" t="str">
        <f t="shared" si="183"/>
        <v/>
      </c>
      <c r="GU703" s="1519" t="str">
        <f t="shared" si="184"/>
        <v/>
      </c>
      <c r="GV703" s="1519" t="str">
        <f t="shared" si="185"/>
        <v/>
      </c>
      <c r="GW703" s="1519" t="str">
        <f t="shared" si="186"/>
        <v/>
      </c>
      <c r="GX703" s="1519" t="str">
        <f t="shared" si="187"/>
        <v/>
      </c>
      <c r="GY703" s="1519" t="str">
        <f t="shared" si="188"/>
        <v/>
      </c>
      <c r="GZ703" s="1519" t="str">
        <f t="shared" si="189"/>
        <v/>
      </c>
      <c r="HA703" s="1519" t="str">
        <f t="shared" si="190"/>
        <v/>
      </c>
      <c r="HB703" s="1519" t="str">
        <f t="shared" si="191"/>
        <v/>
      </c>
      <c r="HC703" s="1519" t="str">
        <f t="shared" si="192"/>
        <v/>
      </c>
      <c r="HD703" s="1519" t="str">
        <f t="shared" si="193"/>
        <v/>
      </c>
      <c r="HE703" s="1519" t="str">
        <f t="shared" si="194"/>
        <v/>
      </c>
      <c r="HF703" s="1519" t="str">
        <f t="shared" si="195"/>
        <v/>
      </c>
      <c r="HG703" s="1519" t="str">
        <f t="shared" si="196"/>
        <v/>
      </c>
      <c r="HH703" s="1519" t="str">
        <f t="shared" si="197"/>
        <v/>
      </c>
      <c r="HI703" s="1519" t="str">
        <f t="shared" si="198"/>
        <v/>
      </c>
      <c r="HJ703" s="1519" t="str">
        <f t="shared" si="199"/>
        <v/>
      </c>
      <c r="HK703" s="1519" t="str">
        <f t="shared" si="200"/>
        <v/>
      </c>
      <c r="HL703" s="1519" t="str">
        <f t="shared" si="201"/>
        <v/>
      </c>
      <c r="HM703" s="1519" t="str">
        <f t="shared" si="202"/>
        <v/>
      </c>
      <c r="HN703" s="1519" t="str">
        <f t="shared" si="203"/>
        <v/>
      </c>
      <c r="HO703" s="1519" t="str">
        <f t="shared" si="204"/>
        <v/>
      </c>
      <c r="HP703" s="1519" t="str">
        <f t="shared" si="205"/>
        <v/>
      </c>
      <c r="HQ703" s="1519" t="str">
        <f t="shared" si="206"/>
        <v/>
      </c>
      <c r="HR703" s="1519" t="str">
        <f t="shared" si="207"/>
        <v/>
      </c>
      <c r="HS703" s="1519" t="str">
        <f t="shared" si="208"/>
        <v/>
      </c>
      <c r="HT703" s="1519" t="str">
        <f t="shared" si="209"/>
        <v/>
      </c>
      <c r="HU703" s="1519" t="str">
        <f t="shared" si="210"/>
        <v/>
      </c>
      <c r="HV703" s="1519" t="str">
        <f t="shared" si="211"/>
        <v/>
      </c>
      <c r="HW703" s="1519" t="str">
        <f t="shared" si="212"/>
        <v/>
      </c>
      <c r="HX703" s="1519" t="str">
        <f t="shared" si="213"/>
        <v/>
      </c>
      <c r="HY703" s="1519" t="str">
        <f t="shared" si="214"/>
        <v/>
      </c>
      <c r="HZ703" s="1519" t="str">
        <f t="shared" si="215"/>
        <v/>
      </c>
      <c r="IA703" s="1519" t="str">
        <f t="shared" si="216"/>
        <v/>
      </c>
      <c r="IB703" s="1519" t="str">
        <f t="shared" si="217"/>
        <v/>
      </c>
      <c r="IC703" s="1519" t="str">
        <f t="shared" si="218"/>
        <v/>
      </c>
      <c r="ID703" s="1520" t="str">
        <f t="shared" si="219"/>
        <v/>
      </c>
      <c r="IE703" s="1520" t="str">
        <f t="shared" si="220"/>
        <v/>
      </c>
      <c r="IF703" s="1520" t="str">
        <f t="shared" si="221"/>
        <v/>
      </c>
      <c r="IG703" s="1520" t="str">
        <f t="shared" si="222"/>
        <v/>
      </c>
      <c r="IH703" s="1520" t="str">
        <f t="shared" si="223"/>
        <v/>
      </c>
      <c r="II703" s="1271" t="str">
        <f t="shared" si="224"/>
        <v/>
      </c>
      <c r="IJ703" s="1271" t="str">
        <f t="shared" si="225"/>
        <v/>
      </c>
      <c r="IK703" s="1271" t="str">
        <f t="shared" si="226"/>
        <v/>
      </c>
      <c r="IL703" s="1271" t="str">
        <f t="shared" si="227"/>
        <v/>
      </c>
      <c r="IM703" s="1271" t="str">
        <f t="shared" si="228"/>
        <v/>
      </c>
      <c r="IN703" s="1271" t="str">
        <f t="shared" si="229"/>
        <v/>
      </c>
      <c r="IO703" s="1271" t="str">
        <f t="shared" si="230"/>
        <v/>
      </c>
      <c r="IP703" s="1271" t="str">
        <f t="shared" si="231"/>
        <v/>
      </c>
      <c r="IQ703" s="1271" t="str">
        <f t="shared" si="232"/>
        <v/>
      </c>
      <c r="IR703" s="1271" t="str">
        <f t="shared" si="233"/>
        <v/>
      </c>
      <c r="IS703" s="1271" t="str">
        <f t="shared" si="234"/>
        <v/>
      </c>
      <c r="IT703" s="1271" t="str">
        <f t="shared" si="235"/>
        <v/>
      </c>
      <c r="IU703" s="1271" t="str">
        <f t="shared" si="236"/>
        <v/>
      </c>
      <c r="IV703" s="1271" t="str">
        <f t="shared" si="237"/>
        <v/>
      </c>
      <c r="IW703" s="1271" t="str">
        <f t="shared" si="238"/>
        <v/>
      </c>
      <c r="IX703" s="1271" t="str">
        <f t="shared" si="239"/>
        <v/>
      </c>
      <c r="IY703" s="1271" t="str">
        <f t="shared" si="240"/>
        <v/>
      </c>
      <c r="IZ703" s="1271" t="str">
        <f t="shared" si="241"/>
        <v/>
      </c>
      <c r="JA703" s="1271" t="str">
        <f t="shared" si="242"/>
        <v/>
      </c>
      <c r="JB703" s="1271" t="str">
        <f t="shared" si="243"/>
        <v/>
      </c>
      <c r="JC703" s="1518">
        <f t="shared" si="244"/>
        <v>0</v>
      </c>
      <c r="JD703" s="1518">
        <f t="shared" si="245"/>
        <v>0</v>
      </c>
      <c r="JE703" s="1518">
        <f t="shared" si="246"/>
        <v>0</v>
      </c>
      <c r="JF703" s="1518">
        <f t="shared" si="247"/>
        <v>0</v>
      </c>
      <c r="JG703" s="1518">
        <f t="shared" si="248"/>
        <v>0</v>
      </c>
      <c r="JH703" s="1518">
        <f t="shared" si="249"/>
        <v>0</v>
      </c>
      <c r="JI703" s="1518">
        <f t="shared" si="250"/>
        <v>0</v>
      </c>
      <c r="JJ703" s="1518">
        <f t="shared" si="251"/>
        <v>0</v>
      </c>
      <c r="JK703" s="1518">
        <f t="shared" si="252"/>
        <v>0</v>
      </c>
      <c r="JL703" s="1518">
        <f t="shared" si="253"/>
        <v>0</v>
      </c>
      <c r="JM703" s="1518">
        <f t="shared" si="254"/>
        <v>0</v>
      </c>
      <c r="JN703" s="1518">
        <f t="shared" si="255"/>
        <v>0</v>
      </c>
      <c r="JO703" s="1518">
        <f t="shared" si="256"/>
        <v>0</v>
      </c>
      <c r="JP703" s="1518">
        <f t="shared" si="257"/>
        <v>0</v>
      </c>
      <c r="JQ703" s="1518">
        <f t="shared" si="258"/>
        <v>0</v>
      </c>
    </row>
    <row r="704" spans="1:277" ht="12" customHeight="1">
      <c r="A704" s="1687" t="str">
        <f t="shared" si="1"/>
        <v/>
      </c>
      <c r="B704" s="1702" t="str">
        <f>'Part VI-Revenues &amp; Expenses'!B43</f>
        <v>&lt;&lt;Select&gt;&gt;</v>
      </c>
      <c r="C704" s="1703">
        <f>'Part VI-Revenues &amp; Expenses'!C43</f>
        <v>0</v>
      </c>
      <c r="D704" s="1704">
        <f>'Part VI-Revenues &amp; Expenses'!D43</f>
        <v>0</v>
      </c>
      <c r="E704" s="1705">
        <f>'Part VI-Revenues &amp; Expenses'!E43</f>
        <v>0</v>
      </c>
      <c r="F704" s="1705">
        <f>'Part VI-Revenues &amp; Expenses'!F43</f>
        <v>0</v>
      </c>
      <c r="G704" s="1705">
        <f>'Part VI-Revenues &amp; Expenses'!G43</f>
        <v>0</v>
      </c>
      <c r="H704" s="1705">
        <f>'Part VI-Revenues &amp; Expenses'!H43</f>
        <v>0</v>
      </c>
      <c r="I704" s="1705">
        <f>'Part VI-Revenues &amp; Expenses'!I43</f>
        <v>0</v>
      </c>
      <c r="J704" s="1706">
        <f>'Part VI-Revenues &amp; Expenses'!J43</f>
        <v>0</v>
      </c>
      <c r="K704" s="1707">
        <f t="shared" si="2"/>
        <v>0</v>
      </c>
      <c r="L704" s="1707">
        <f t="shared" si="3"/>
        <v>0</v>
      </c>
      <c r="M704" s="1708">
        <f>'Part VI-Revenues &amp; Expenses'!M43</f>
        <v>0</v>
      </c>
      <c r="N704" s="1708">
        <f>'Part VI-Revenues &amp; Expenses'!N43</f>
        <v>0</v>
      </c>
      <c r="O704" s="1708">
        <f>'Part VI-Revenues &amp; Expenses'!O43</f>
        <v>0</v>
      </c>
      <c r="P704" s="1515">
        <f>'Part VI-Revenues &amp; Expenses'!P43</f>
        <v>0</v>
      </c>
      <c r="Q704" s="1709" t="str">
        <f>'Part VI-Revenues &amp; Expenses'!Q43</f>
        <v/>
      </c>
      <c r="R704" s="1710" t="str">
        <f>'Part VI-Revenues &amp; Expenses'!R43</f>
        <v/>
      </c>
      <c r="S704" s="1709">
        <f>'Part VI-Revenues &amp; Expenses'!S43</f>
        <v>0</v>
      </c>
      <c r="T704" s="1710">
        <f>'Part VI-Revenues &amp; Expenses'!T43</f>
        <v>0</v>
      </c>
      <c r="U704" s="1629"/>
      <c r="V704" s="1629"/>
      <c r="W704" s="1271" t="str">
        <f t="shared" si="4"/>
        <v/>
      </c>
      <c r="X704" s="1271" t="str">
        <f t="shared" si="5"/>
        <v/>
      </c>
      <c r="Y704" s="1271" t="str">
        <f t="shared" si="6"/>
        <v/>
      </c>
      <c r="Z704" s="1271" t="str">
        <f t="shared" si="7"/>
        <v/>
      </c>
      <c r="AA704" s="1271" t="str">
        <f t="shared" si="8"/>
        <v/>
      </c>
      <c r="AB704" s="1271" t="str">
        <f t="shared" si="9"/>
        <v/>
      </c>
      <c r="AC704" s="1271" t="str">
        <f t="shared" si="10"/>
        <v/>
      </c>
      <c r="AD704" s="1271" t="str">
        <f t="shared" si="11"/>
        <v/>
      </c>
      <c r="AE704" s="1271" t="str">
        <f t="shared" si="12"/>
        <v/>
      </c>
      <c r="AF704" s="1271" t="str">
        <f t="shared" si="13"/>
        <v/>
      </c>
      <c r="AG704" s="1271" t="str">
        <f t="shared" si="14"/>
        <v/>
      </c>
      <c r="AH704" s="1271" t="str">
        <f t="shared" si="15"/>
        <v/>
      </c>
      <c r="AI704" s="1271" t="str">
        <f t="shared" si="16"/>
        <v/>
      </c>
      <c r="AJ704" s="1271" t="str">
        <f t="shared" si="17"/>
        <v/>
      </c>
      <c r="AK704" s="1271" t="str">
        <f t="shared" si="18"/>
        <v/>
      </c>
      <c r="AL704" s="1271" t="str">
        <f t="shared" si="19"/>
        <v/>
      </c>
      <c r="AM704" s="1271" t="str">
        <f t="shared" si="20"/>
        <v/>
      </c>
      <c r="AN704" s="1271" t="str">
        <f t="shared" si="21"/>
        <v/>
      </c>
      <c r="AO704" s="1271" t="str">
        <f t="shared" si="22"/>
        <v/>
      </c>
      <c r="AP704" s="1271" t="str">
        <f t="shared" si="23"/>
        <v/>
      </c>
      <c r="AQ704" s="1271" t="str">
        <f t="shared" si="24"/>
        <v/>
      </c>
      <c r="AR704" s="1271" t="str">
        <f t="shared" si="25"/>
        <v/>
      </c>
      <c r="AS704" s="1271" t="str">
        <f t="shared" si="26"/>
        <v/>
      </c>
      <c r="AT704" s="1271" t="str">
        <f t="shared" si="27"/>
        <v/>
      </c>
      <c r="AU704" s="1271" t="str">
        <f t="shared" si="28"/>
        <v/>
      </c>
      <c r="AV704" s="1271" t="str">
        <f t="shared" si="29"/>
        <v/>
      </c>
      <c r="AW704" s="1271" t="str">
        <f t="shared" si="30"/>
        <v/>
      </c>
      <c r="AX704" s="1271" t="str">
        <f t="shared" si="31"/>
        <v/>
      </c>
      <c r="AY704" s="1271" t="str">
        <f t="shared" si="32"/>
        <v/>
      </c>
      <c r="AZ704" s="1271" t="str">
        <f t="shared" si="33"/>
        <v/>
      </c>
      <c r="BA704" s="1271" t="str">
        <f t="shared" si="34"/>
        <v/>
      </c>
      <c r="BB704" s="1271" t="str">
        <f t="shared" si="35"/>
        <v/>
      </c>
      <c r="BC704" s="1271" t="str">
        <f t="shared" si="36"/>
        <v/>
      </c>
      <c r="BD704" s="1271" t="str">
        <f t="shared" si="37"/>
        <v/>
      </c>
      <c r="BE704" s="1271" t="str">
        <f t="shared" si="38"/>
        <v/>
      </c>
      <c r="BF704" s="1271" t="str">
        <f t="shared" si="39"/>
        <v/>
      </c>
      <c r="BG704" s="1271" t="str">
        <f t="shared" si="40"/>
        <v/>
      </c>
      <c r="BH704" s="1271" t="str">
        <f t="shared" si="41"/>
        <v/>
      </c>
      <c r="BI704" s="1271" t="str">
        <f t="shared" si="42"/>
        <v/>
      </c>
      <c r="BJ704" s="1271" t="str">
        <f t="shared" si="43"/>
        <v/>
      </c>
      <c r="BK704" s="1271" t="str">
        <f t="shared" si="44"/>
        <v/>
      </c>
      <c r="BL704" s="1271" t="str">
        <f t="shared" si="45"/>
        <v/>
      </c>
      <c r="BM704" s="1271" t="str">
        <f t="shared" si="46"/>
        <v/>
      </c>
      <c r="BN704" s="1271" t="str">
        <f t="shared" si="47"/>
        <v/>
      </c>
      <c r="BO704" s="1271" t="str">
        <f t="shared" si="48"/>
        <v/>
      </c>
      <c r="BP704" s="1271" t="str">
        <f t="shared" si="49"/>
        <v/>
      </c>
      <c r="BQ704" s="1271" t="str">
        <f t="shared" si="50"/>
        <v/>
      </c>
      <c r="BR704" s="1271" t="str">
        <f t="shared" si="51"/>
        <v/>
      </c>
      <c r="BS704" s="1271" t="str">
        <f t="shared" si="52"/>
        <v/>
      </c>
      <c r="BT704" s="1271" t="str">
        <f t="shared" si="53"/>
        <v/>
      </c>
      <c r="BU704" s="1271" t="str">
        <f t="shared" si="54"/>
        <v/>
      </c>
      <c r="BV704" s="1271" t="str">
        <f t="shared" si="55"/>
        <v/>
      </c>
      <c r="BW704" s="1271" t="str">
        <f t="shared" si="56"/>
        <v/>
      </c>
      <c r="BX704" s="1271" t="str">
        <f t="shared" si="57"/>
        <v/>
      </c>
      <c r="BY704" s="1271" t="str">
        <f t="shared" si="58"/>
        <v/>
      </c>
      <c r="BZ704" s="1271" t="str">
        <f t="shared" si="59"/>
        <v/>
      </c>
      <c r="CA704" s="1271" t="str">
        <f t="shared" si="60"/>
        <v/>
      </c>
      <c r="CB704" s="1271" t="str">
        <f t="shared" si="61"/>
        <v/>
      </c>
      <c r="CC704" s="1271" t="str">
        <f t="shared" si="62"/>
        <v/>
      </c>
      <c r="CD704" s="1271" t="str">
        <f t="shared" si="63"/>
        <v/>
      </c>
      <c r="CE704" s="1271" t="str">
        <f t="shared" si="64"/>
        <v/>
      </c>
      <c r="CF704" s="1271" t="str">
        <f t="shared" si="65"/>
        <v/>
      </c>
      <c r="CG704" s="1271" t="str">
        <f t="shared" si="66"/>
        <v/>
      </c>
      <c r="CH704" s="1271" t="str">
        <f t="shared" si="67"/>
        <v/>
      </c>
      <c r="CI704" s="1271" t="str">
        <f t="shared" si="68"/>
        <v/>
      </c>
      <c r="CJ704" s="1271" t="str">
        <f t="shared" si="69"/>
        <v/>
      </c>
      <c r="CK704" s="1271" t="str">
        <f t="shared" si="70"/>
        <v/>
      </c>
      <c r="CL704" s="1271" t="str">
        <f t="shared" si="71"/>
        <v/>
      </c>
      <c r="CM704" s="1271" t="str">
        <f t="shared" si="72"/>
        <v/>
      </c>
      <c r="CN704" s="1271" t="str">
        <f t="shared" si="73"/>
        <v/>
      </c>
      <c r="CO704" s="1271" t="str">
        <f t="shared" si="74"/>
        <v/>
      </c>
      <c r="CP704" s="1271" t="str">
        <f t="shared" si="75"/>
        <v/>
      </c>
      <c r="CQ704" s="1271" t="str">
        <f t="shared" si="76"/>
        <v/>
      </c>
      <c r="CR704" s="1271" t="str">
        <f t="shared" si="77"/>
        <v/>
      </c>
      <c r="CS704" s="1271" t="str">
        <f t="shared" si="78"/>
        <v/>
      </c>
      <c r="CT704" s="1271" t="str">
        <f t="shared" si="79"/>
        <v/>
      </c>
      <c r="CU704" s="1271" t="str">
        <f t="shared" si="80"/>
        <v/>
      </c>
      <c r="CV704" s="1271" t="str">
        <f t="shared" si="81"/>
        <v/>
      </c>
      <c r="CW704" s="1271" t="str">
        <f t="shared" si="82"/>
        <v/>
      </c>
      <c r="CX704" s="1271" t="str">
        <f t="shared" si="83"/>
        <v/>
      </c>
      <c r="CY704" s="1271" t="str">
        <f t="shared" si="84"/>
        <v/>
      </c>
      <c r="CZ704" s="1271" t="str">
        <f t="shared" si="85"/>
        <v/>
      </c>
      <c r="DA704" s="1271" t="str">
        <f t="shared" si="86"/>
        <v/>
      </c>
      <c r="DB704" s="1271" t="str">
        <f t="shared" si="87"/>
        <v/>
      </c>
      <c r="DC704" s="1271" t="str">
        <f t="shared" si="88"/>
        <v/>
      </c>
      <c r="DD704" s="1271" t="str">
        <f t="shared" si="89"/>
        <v/>
      </c>
      <c r="DE704" s="1271" t="str">
        <f t="shared" si="90"/>
        <v/>
      </c>
      <c r="DF704" s="1271" t="str">
        <f t="shared" si="91"/>
        <v/>
      </c>
      <c r="DG704" s="1271" t="str">
        <f t="shared" si="92"/>
        <v/>
      </c>
      <c r="DH704" s="1271" t="str">
        <f t="shared" si="93"/>
        <v/>
      </c>
      <c r="DI704" s="1271" t="str">
        <f t="shared" si="94"/>
        <v/>
      </c>
      <c r="DJ704" s="1271" t="str">
        <f t="shared" si="95"/>
        <v/>
      </c>
      <c r="DK704" s="1271" t="str">
        <f t="shared" si="96"/>
        <v/>
      </c>
      <c r="DL704" s="1271" t="str">
        <f t="shared" si="97"/>
        <v/>
      </c>
      <c r="DM704" s="1271" t="str">
        <f t="shared" si="98"/>
        <v/>
      </c>
      <c r="DN704" s="1271" t="str">
        <f t="shared" si="99"/>
        <v/>
      </c>
      <c r="DO704" s="1271" t="str">
        <f t="shared" si="100"/>
        <v/>
      </c>
      <c r="DP704" s="1271" t="str">
        <f t="shared" si="101"/>
        <v/>
      </c>
      <c r="DQ704" s="1271" t="str">
        <f t="shared" si="102"/>
        <v/>
      </c>
      <c r="DR704" s="1271" t="str">
        <f t="shared" si="103"/>
        <v/>
      </c>
      <c r="DS704" s="1271" t="str">
        <f t="shared" si="104"/>
        <v/>
      </c>
      <c r="DT704" s="1271" t="str">
        <f t="shared" si="105"/>
        <v/>
      </c>
      <c r="DU704" s="1271" t="str">
        <f t="shared" si="106"/>
        <v/>
      </c>
      <c r="DV704" s="1271" t="str">
        <f t="shared" si="107"/>
        <v/>
      </c>
      <c r="DW704" s="1271" t="str">
        <f t="shared" si="108"/>
        <v/>
      </c>
      <c r="DX704" s="1271" t="str">
        <f t="shared" si="109"/>
        <v/>
      </c>
      <c r="DY704" s="1271" t="str">
        <f t="shared" si="110"/>
        <v/>
      </c>
      <c r="DZ704" s="1271" t="str">
        <f t="shared" si="111"/>
        <v/>
      </c>
      <c r="EA704" s="1271" t="str">
        <f t="shared" si="112"/>
        <v/>
      </c>
      <c r="EB704" s="1271" t="str">
        <f t="shared" si="113"/>
        <v/>
      </c>
      <c r="EC704" s="1271" t="str">
        <f t="shared" si="114"/>
        <v/>
      </c>
      <c r="ED704" s="1271" t="str">
        <f t="shared" si="115"/>
        <v/>
      </c>
      <c r="EE704" s="1271" t="str">
        <f t="shared" si="116"/>
        <v/>
      </c>
      <c r="EF704" s="1271" t="str">
        <f t="shared" si="117"/>
        <v/>
      </c>
      <c r="EG704" s="1271" t="str">
        <f t="shared" si="118"/>
        <v/>
      </c>
      <c r="EH704" s="1271" t="str">
        <f t="shared" si="119"/>
        <v/>
      </c>
      <c r="EI704" s="1271" t="str">
        <f t="shared" si="120"/>
        <v/>
      </c>
      <c r="EJ704" s="1271" t="str">
        <f t="shared" si="121"/>
        <v/>
      </c>
      <c r="EK704" s="1271" t="str">
        <f t="shared" si="122"/>
        <v/>
      </c>
      <c r="EL704" s="1271" t="str">
        <f t="shared" si="123"/>
        <v/>
      </c>
      <c r="EM704" s="1271" t="str">
        <f t="shared" si="124"/>
        <v/>
      </c>
      <c r="EN704" s="1271" t="str">
        <f t="shared" si="125"/>
        <v/>
      </c>
      <c r="EO704" s="1271" t="str">
        <f t="shared" si="126"/>
        <v/>
      </c>
      <c r="EP704" s="1271" t="str">
        <f t="shared" si="127"/>
        <v/>
      </c>
      <c r="EQ704" s="1271" t="str">
        <f t="shared" si="128"/>
        <v/>
      </c>
      <c r="ER704" s="1271" t="str">
        <f t="shared" si="129"/>
        <v/>
      </c>
      <c r="ES704" s="1271" t="str">
        <f t="shared" si="130"/>
        <v/>
      </c>
      <c r="ET704" s="1271" t="str">
        <f t="shared" si="131"/>
        <v/>
      </c>
      <c r="EU704" s="1271" t="str">
        <f t="shared" si="132"/>
        <v/>
      </c>
      <c r="EV704" s="1271" t="str">
        <f t="shared" si="133"/>
        <v/>
      </c>
      <c r="EW704" s="1519" t="str">
        <f t="shared" si="134"/>
        <v/>
      </c>
      <c r="EX704" s="1519" t="str">
        <f t="shared" si="135"/>
        <v/>
      </c>
      <c r="EY704" s="1519" t="str">
        <f t="shared" si="136"/>
        <v/>
      </c>
      <c r="EZ704" s="1519" t="str">
        <f t="shared" si="137"/>
        <v/>
      </c>
      <c r="FA704" s="1519" t="str">
        <f t="shared" si="138"/>
        <v/>
      </c>
      <c r="FB704" s="1519" t="str">
        <f t="shared" si="139"/>
        <v/>
      </c>
      <c r="FC704" s="1519" t="str">
        <f t="shared" si="140"/>
        <v/>
      </c>
      <c r="FD704" s="1519" t="str">
        <f t="shared" si="141"/>
        <v/>
      </c>
      <c r="FE704" s="1519" t="str">
        <f t="shared" si="142"/>
        <v/>
      </c>
      <c r="FF704" s="1519" t="str">
        <f t="shared" si="143"/>
        <v/>
      </c>
      <c r="FG704" s="1519" t="str">
        <f t="shared" si="144"/>
        <v/>
      </c>
      <c r="FH704" s="1519" t="str">
        <f t="shared" si="145"/>
        <v/>
      </c>
      <c r="FI704" s="1519" t="str">
        <f t="shared" si="146"/>
        <v/>
      </c>
      <c r="FJ704" s="1519" t="str">
        <f t="shared" si="147"/>
        <v/>
      </c>
      <c r="FK704" s="1519" t="str">
        <f t="shared" si="148"/>
        <v/>
      </c>
      <c r="FL704" s="1519" t="str">
        <f t="shared" si="149"/>
        <v/>
      </c>
      <c r="FM704" s="1519" t="str">
        <f t="shared" si="150"/>
        <v/>
      </c>
      <c r="FN704" s="1519" t="str">
        <f t="shared" si="151"/>
        <v/>
      </c>
      <c r="FO704" s="1519" t="str">
        <f t="shared" si="152"/>
        <v/>
      </c>
      <c r="FP704" s="1519" t="str">
        <f t="shared" si="153"/>
        <v/>
      </c>
      <c r="FQ704" s="1519" t="str">
        <f t="shared" si="154"/>
        <v/>
      </c>
      <c r="FR704" s="1519" t="str">
        <f t="shared" si="155"/>
        <v/>
      </c>
      <c r="FS704" s="1519" t="str">
        <f t="shared" si="156"/>
        <v/>
      </c>
      <c r="FT704" s="1519" t="str">
        <f t="shared" si="157"/>
        <v/>
      </c>
      <c r="FU704" s="1519" t="str">
        <f t="shared" si="158"/>
        <v/>
      </c>
      <c r="FV704" s="1519" t="str">
        <f t="shared" si="159"/>
        <v/>
      </c>
      <c r="FW704" s="1519" t="str">
        <f t="shared" si="160"/>
        <v/>
      </c>
      <c r="FX704" s="1519" t="str">
        <f t="shared" si="161"/>
        <v/>
      </c>
      <c r="FY704" s="1519" t="str">
        <f t="shared" si="162"/>
        <v/>
      </c>
      <c r="FZ704" s="1519" t="str">
        <f t="shared" si="163"/>
        <v/>
      </c>
      <c r="GA704" s="1519" t="str">
        <f t="shared" si="164"/>
        <v/>
      </c>
      <c r="GB704" s="1519" t="str">
        <f t="shared" si="165"/>
        <v/>
      </c>
      <c r="GC704" s="1519" t="str">
        <f t="shared" si="166"/>
        <v/>
      </c>
      <c r="GD704" s="1519" t="str">
        <f t="shared" si="167"/>
        <v/>
      </c>
      <c r="GE704" s="1519" t="str">
        <f t="shared" si="168"/>
        <v/>
      </c>
      <c r="GF704" s="1519" t="str">
        <f t="shared" si="169"/>
        <v/>
      </c>
      <c r="GG704" s="1519" t="str">
        <f t="shared" si="170"/>
        <v/>
      </c>
      <c r="GH704" s="1519" t="str">
        <f t="shared" si="171"/>
        <v/>
      </c>
      <c r="GI704" s="1519" t="str">
        <f t="shared" si="172"/>
        <v/>
      </c>
      <c r="GJ704" s="1519" t="str">
        <f t="shared" si="173"/>
        <v/>
      </c>
      <c r="GK704" s="1519" t="str">
        <f t="shared" si="174"/>
        <v/>
      </c>
      <c r="GL704" s="1519" t="str">
        <f t="shared" si="175"/>
        <v/>
      </c>
      <c r="GM704" s="1519" t="str">
        <f t="shared" si="176"/>
        <v/>
      </c>
      <c r="GN704" s="1519" t="str">
        <f t="shared" si="177"/>
        <v/>
      </c>
      <c r="GO704" s="1519" t="str">
        <f t="shared" si="178"/>
        <v/>
      </c>
      <c r="GP704" s="1519" t="str">
        <f t="shared" si="179"/>
        <v/>
      </c>
      <c r="GQ704" s="1519" t="str">
        <f t="shared" si="180"/>
        <v/>
      </c>
      <c r="GR704" s="1519" t="str">
        <f t="shared" si="181"/>
        <v/>
      </c>
      <c r="GS704" s="1519" t="str">
        <f t="shared" si="182"/>
        <v/>
      </c>
      <c r="GT704" s="1519" t="str">
        <f t="shared" si="183"/>
        <v/>
      </c>
      <c r="GU704" s="1519" t="str">
        <f t="shared" si="184"/>
        <v/>
      </c>
      <c r="GV704" s="1519" t="str">
        <f t="shared" si="185"/>
        <v/>
      </c>
      <c r="GW704" s="1519" t="str">
        <f t="shared" si="186"/>
        <v/>
      </c>
      <c r="GX704" s="1519" t="str">
        <f t="shared" si="187"/>
        <v/>
      </c>
      <c r="GY704" s="1519" t="str">
        <f t="shared" si="188"/>
        <v/>
      </c>
      <c r="GZ704" s="1519" t="str">
        <f t="shared" si="189"/>
        <v/>
      </c>
      <c r="HA704" s="1519" t="str">
        <f t="shared" si="190"/>
        <v/>
      </c>
      <c r="HB704" s="1519" t="str">
        <f t="shared" si="191"/>
        <v/>
      </c>
      <c r="HC704" s="1519" t="str">
        <f t="shared" si="192"/>
        <v/>
      </c>
      <c r="HD704" s="1519" t="str">
        <f t="shared" si="193"/>
        <v/>
      </c>
      <c r="HE704" s="1519" t="str">
        <f t="shared" si="194"/>
        <v/>
      </c>
      <c r="HF704" s="1519" t="str">
        <f t="shared" si="195"/>
        <v/>
      </c>
      <c r="HG704" s="1519" t="str">
        <f t="shared" si="196"/>
        <v/>
      </c>
      <c r="HH704" s="1519" t="str">
        <f t="shared" si="197"/>
        <v/>
      </c>
      <c r="HI704" s="1519" t="str">
        <f t="shared" si="198"/>
        <v/>
      </c>
      <c r="HJ704" s="1519" t="str">
        <f t="shared" si="199"/>
        <v/>
      </c>
      <c r="HK704" s="1519" t="str">
        <f t="shared" si="200"/>
        <v/>
      </c>
      <c r="HL704" s="1519" t="str">
        <f t="shared" si="201"/>
        <v/>
      </c>
      <c r="HM704" s="1519" t="str">
        <f t="shared" si="202"/>
        <v/>
      </c>
      <c r="HN704" s="1519" t="str">
        <f t="shared" si="203"/>
        <v/>
      </c>
      <c r="HO704" s="1519" t="str">
        <f t="shared" si="204"/>
        <v/>
      </c>
      <c r="HP704" s="1519" t="str">
        <f t="shared" si="205"/>
        <v/>
      </c>
      <c r="HQ704" s="1519" t="str">
        <f t="shared" si="206"/>
        <v/>
      </c>
      <c r="HR704" s="1519" t="str">
        <f t="shared" si="207"/>
        <v/>
      </c>
      <c r="HS704" s="1519" t="str">
        <f t="shared" si="208"/>
        <v/>
      </c>
      <c r="HT704" s="1519" t="str">
        <f t="shared" si="209"/>
        <v/>
      </c>
      <c r="HU704" s="1519" t="str">
        <f t="shared" si="210"/>
        <v/>
      </c>
      <c r="HV704" s="1519" t="str">
        <f t="shared" si="211"/>
        <v/>
      </c>
      <c r="HW704" s="1519" t="str">
        <f t="shared" si="212"/>
        <v/>
      </c>
      <c r="HX704" s="1519" t="str">
        <f t="shared" si="213"/>
        <v/>
      </c>
      <c r="HY704" s="1519" t="str">
        <f t="shared" si="214"/>
        <v/>
      </c>
      <c r="HZ704" s="1519" t="str">
        <f t="shared" si="215"/>
        <v/>
      </c>
      <c r="IA704" s="1519" t="str">
        <f t="shared" si="216"/>
        <v/>
      </c>
      <c r="IB704" s="1519" t="str">
        <f t="shared" si="217"/>
        <v/>
      </c>
      <c r="IC704" s="1519" t="str">
        <f t="shared" si="218"/>
        <v/>
      </c>
      <c r="ID704" s="1520" t="str">
        <f t="shared" si="219"/>
        <v/>
      </c>
      <c r="IE704" s="1520" t="str">
        <f t="shared" si="220"/>
        <v/>
      </c>
      <c r="IF704" s="1520" t="str">
        <f t="shared" si="221"/>
        <v/>
      </c>
      <c r="IG704" s="1520" t="str">
        <f t="shared" si="222"/>
        <v/>
      </c>
      <c r="IH704" s="1520" t="str">
        <f t="shared" si="223"/>
        <v/>
      </c>
      <c r="II704" s="1271" t="str">
        <f t="shared" si="224"/>
        <v/>
      </c>
      <c r="IJ704" s="1271" t="str">
        <f t="shared" si="225"/>
        <v/>
      </c>
      <c r="IK704" s="1271" t="str">
        <f t="shared" si="226"/>
        <v/>
      </c>
      <c r="IL704" s="1271" t="str">
        <f t="shared" si="227"/>
        <v/>
      </c>
      <c r="IM704" s="1271" t="str">
        <f t="shared" si="228"/>
        <v/>
      </c>
      <c r="IN704" s="1271" t="str">
        <f t="shared" si="229"/>
        <v/>
      </c>
      <c r="IO704" s="1271" t="str">
        <f t="shared" si="230"/>
        <v/>
      </c>
      <c r="IP704" s="1271" t="str">
        <f t="shared" si="231"/>
        <v/>
      </c>
      <c r="IQ704" s="1271" t="str">
        <f t="shared" si="232"/>
        <v/>
      </c>
      <c r="IR704" s="1271" t="str">
        <f t="shared" si="233"/>
        <v/>
      </c>
      <c r="IS704" s="1271" t="str">
        <f t="shared" si="234"/>
        <v/>
      </c>
      <c r="IT704" s="1271" t="str">
        <f t="shared" si="235"/>
        <v/>
      </c>
      <c r="IU704" s="1271" t="str">
        <f t="shared" si="236"/>
        <v/>
      </c>
      <c r="IV704" s="1271" t="str">
        <f t="shared" si="237"/>
        <v/>
      </c>
      <c r="IW704" s="1271" t="str">
        <f t="shared" si="238"/>
        <v/>
      </c>
      <c r="IX704" s="1271" t="str">
        <f t="shared" si="239"/>
        <v/>
      </c>
      <c r="IY704" s="1271" t="str">
        <f t="shared" si="240"/>
        <v/>
      </c>
      <c r="IZ704" s="1271" t="str">
        <f t="shared" si="241"/>
        <v/>
      </c>
      <c r="JA704" s="1271" t="str">
        <f t="shared" si="242"/>
        <v/>
      </c>
      <c r="JB704" s="1271" t="str">
        <f t="shared" si="243"/>
        <v/>
      </c>
      <c r="JC704" s="1518">
        <f t="shared" si="244"/>
        <v>0</v>
      </c>
      <c r="JD704" s="1518">
        <f t="shared" si="245"/>
        <v>0</v>
      </c>
      <c r="JE704" s="1518">
        <f t="shared" si="246"/>
        <v>0</v>
      </c>
      <c r="JF704" s="1518">
        <f t="shared" si="247"/>
        <v>0</v>
      </c>
      <c r="JG704" s="1518">
        <f t="shared" si="248"/>
        <v>0</v>
      </c>
      <c r="JH704" s="1518">
        <f t="shared" si="249"/>
        <v>0</v>
      </c>
      <c r="JI704" s="1518">
        <f t="shared" si="250"/>
        <v>0</v>
      </c>
      <c r="JJ704" s="1518">
        <f t="shared" si="251"/>
        <v>0</v>
      </c>
      <c r="JK704" s="1518">
        <f t="shared" si="252"/>
        <v>0</v>
      </c>
      <c r="JL704" s="1518">
        <f t="shared" si="253"/>
        <v>0</v>
      </c>
      <c r="JM704" s="1518">
        <f t="shared" si="254"/>
        <v>0</v>
      </c>
      <c r="JN704" s="1518">
        <f t="shared" si="255"/>
        <v>0</v>
      </c>
      <c r="JO704" s="1518">
        <f t="shared" si="256"/>
        <v>0</v>
      </c>
      <c r="JP704" s="1518">
        <f t="shared" si="257"/>
        <v>0</v>
      </c>
      <c r="JQ704" s="1518">
        <f t="shared" si="258"/>
        <v>0</v>
      </c>
    </row>
    <row r="705" spans="1:278" ht="12" customHeight="1">
      <c r="A705" s="1687" t="str">
        <f t="shared" si="1"/>
        <v/>
      </c>
      <c r="B705" s="1702" t="str">
        <f>'Part VI-Revenues &amp; Expenses'!B44</f>
        <v>&lt;&lt;Select&gt;&gt;</v>
      </c>
      <c r="C705" s="1703">
        <f>'Part VI-Revenues &amp; Expenses'!C44</f>
        <v>0</v>
      </c>
      <c r="D705" s="1704">
        <f>'Part VI-Revenues &amp; Expenses'!D44</f>
        <v>0</v>
      </c>
      <c r="E705" s="1705">
        <f>'Part VI-Revenues &amp; Expenses'!E44</f>
        <v>0</v>
      </c>
      <c r="F705" s="1705">
        <f>'Part VI-Revenues &amp; Expenses'!F44</f>
        <v>0</v>
      </c>
      <c r="G705" s="1705">
        <f>'Part VI-Revenues &amp; Expenses'!G44</f>
        <v>0</v>
      </c>
      <c r="H705" s="1705">
        <f>'Part VI-Revenues &amp; Expenses'!H44</f>
        <v>0</v>
      </c>
      <c r="I705" s="1705">
        <f>'Part VI-Revenues &amp; Expenses'!I44</f>
        <v>0</v>
      </c>
      <c r="J705" s="1706">
        <f>'Part VI-Revenues &amp; Expenses'!J44</f>
        <v>0</v>
      </c>
      <c r="K705" s="1707">
        <f t="shared" si="2"/>
        <v>0</v>
      </c>
      <c r="L705" s="1707">
        <f t="shared" si="3"/>
        <v>0</v>
      </c>
      <c r="M705" s="1708">
        <f>'Part VI-Revenues &amp; Expenses'!M44</f>
        <v>0</v>
      </c>
      <c r="N705" s="1708">
        <f>'Part VI-Revenues &amp; Expenses'!N44</f>
        <v>0</v>
      </c>
      <c r="O705" s="1708">
        <f>'Part VI-Revenues &amp; Expenses'!O44</f>
        <v>0</v>
      </c>
      <c r="P705" s="1515">
        <f>'Part VI-Revenues &amp; Expenses'!P44</f>
        <v>0</v>
      </c>
      <c r="Q705" s="1709" t="str">
        <f>'Part VI-Revenues &amp; Expenses'!Q44</f>
        <v/>
      </c>
      <c r="R705" s="1710" t="str">
        <f>'Part VI-Revenues &amp; Expenses'!R44</f>
        <v/>
      </c>
      <c r="S705" s="1709">
        <f>'Part VI-Revenues &amp; Expenses'!S44</f>
        <v>0</v>
      </c>
      <c r="T705" s="1710">
        <f>'Part VI-Revenues &amp; Expenses'!T44</f>
        <v>0</v>
      </c>
      <c r="U705" s="1629"/>
      <c r="V705" s="1629"/>
      <c r="W705" s="1271" t="str">
        <f t="shared" si="4"/>
        <v/>
      </c>
      <c r="X705" s="1271" t="str">
        <f t="shared" si="5"/>
        <v/>
      </c>
      <c r="Y705" s="1271" t="str">
        <f t="shared" si="6"/>
        <v/>
      </c>
      <c r="Z705" s="1271" t="str">
        <f t="shared" si="7"/>
        <v/>
      </c>
      <c r="AA705" s="1271" t="str">
        <f t="shared" si="8"/>
        <v/>
      </c>
      <c r="AB705" s="1271" t="str">
        <f t="shared" si="9"/>
        <v/>
      </c>
      <c r="AC705" s="1271" t="str">
        <f t="shared" si="10"/>
        <v/>
      </c>
      <c r="AD705" s="1271" t="str">
        <f t="shared" si="11"/>
        <v/>
      </c>
      <c r="AE705" s="1271" t="str">
        <f t="shared" si="12"/>
        <v/>
      </c>
      <c r="AF705" s="1271" t="str">
        <f t="shared" si="13"/>
        <v/>
      </c>
      <c r="AG705" s="1271" t="str">
        <f t="shared" si="14"/>
        <v/>
      </c>
      <c r="AH705" s="1271" t="str">
        <f t="shared" si="15"/>
        <v/>
      </c>
      <c r="AI705" s="1271" t="str">
        <f t="shared" si="16"/>
        <v/>
      </c>
      <c r="AJ705" s="1271" t="str">
        <f t="shared" si="17"/>
        <v/>
      </c>
      <c r="AK705" s="1271" t="str">
        <f t="shared" si="18"/>
        <v/>
      </c>
      <c r="AL705" s="1271" t="str">
        <f t="shared" si="19"/>
        <v/>
      </c>
      <c r="AM705" s="1271" t="str">
        <f t="shared" si="20"/>
        <v/>
      </c>
      <c r="AN705" s="1271" t="str">
        <f t="shared" si="21"/>
        <v/>
      </c>
      <c r="AO705" s="1271" t="str">
        <f t="shared" si="22"/>
        <v/>
      </c>
      <c r="AP705" s="1271" t="str">
        <f t="shared" si="23"/>
        <v/>
      </c>
      <c r="AQ705" s="1271" t="str">
        <f t="shared" si="24"/>
        <v/>
      </c>
      <c r="AR705" s="1271" t="str">
        <f t="shared" si="25"/>
        <v/>
      </c>
      <c r="AS705" s="1271" t="str">
        <f t="shared" si="26"/>
        <v/>
      </c>
      <c r="AT705" s="1271" t="str">
        <f t="shared" si="27"/>
        <v/>
      </c>
      <c r="AU705" s="1271" t="str">
        <f t="shared" si="28"/>
        <v/>
      </c>
      <c r="AV705" s="1271" t="str">
        <f t="shared" si="29"/>
        <v/>
      </c>
      <c r="AW705" s="1271" t="str">
        <f t="shared" si="30"/>
        <v/>
      </c>
      <c r="AX705" s="1271" t="str">
        <f t="shared" si="31"/>
        <v/>
      </c>
      <c r="AY705" s="1271" t="str">
        <f t="shared" si="32"/>
        <v/>
      </c>
      <c r="AZ705" s="1271" t="str">
        <f t="shared" si="33"/>
        <v/>
      </c>
      <c r="BA705" s="1271" t="str">
        <f t="shared" si="34"/>
        <v/>
      </c>
      <c r="BB705" s="1271" t="str">
        <f t="shared" si="35"/>
        <v/>
      </c>
      <c r="BC705" s="1271" t="str">
        <f t="shared" si="36"/>
        <v/>
      </c>
      <c r="BD705" s="1271" t="str">
        <f t="shared" si="37"/>
        <v/>
      </c>
      <c r="BE705" s="1271" t="str">
        <f t="shared" si="38"/>
        <v/>
      </c>
      <c r="BF705" s="1271" t="str">
        <f t="shared" si="39"/>
        <v/>
      </c>
      <c r="BG705" s="1271" t="str">
        <f t="shared" si="40"/>
        <v/>
      </c>
      <c r="BH705" s="1271" t="str">
        <f t="shared" si="41"/>
        <v/>
      </c>
      <c r="BI705" s="1271" t="str">
        <f t="shared" si="42"/>
        <v/>
      </c>
      <c r="BJ705" s="1271" t="str">
        <f t="shared" si="43"/>
        <v/>
      </c>
      <c r="BK705" s="1271" t="str">
        <f t="shared" si="44"/>
        <v/>
      </c>
      <c r="BL705" s="1271" t="str">
        <f t="shared" si="45"/>
        <v/>
      </c>
      <c r="BM705" s="1271" t="str">
        <f t="shared" si="46"/>
        <v/>
      </c>
      <c r="BN705" s="1271" t="str">
        <f t="shared" si="47"/>
        <v/>
      </c>
      <c r="BO705" s="1271" t="str">
        <f t="shared" si="48"/>
        <v/>
      </c>
      <c r="BP705" s="1271" t="str">
        <f t="shared" si="49"/>
        <v/>
      </c>
      <c r="BQ705" s="1271" t="str">
        <f t="shared" si="50"/>
        <v/>
      </c>
      <c r="BR705" s="1271" t="str">
        <f t="shared" si="51"/>
        <v/>
      </c>
      <c r="BS705" s="1271" t="str">
        <f t="shared" si="52"/>
        <v/>
      </c>
      <c r="BT705" s="1271" t="str">
        <f t="shared" si="53"/>
        <v/>
      </c>
      <c r="BU705" s="1271" t="str">
        <f t="shared" si="54"/>
        <v/>
      </c>
      <c r="BV705" s="1271" t="str">
        <f t="shared" si="55"/>
        <v/>
      </c>
      <c r="BW705" s="1271" t="str">
        <f t="shared" si="56"/>
        <v/>
      </c>
      <c r="BX705" s="1271" t="str">
        <f t="shared" si="57"/>
        <v/>
      </c>
      <c r="BY705" s="1271" t="str">
        <f t="shared" si="58"/>
        <v/>
      </c>
      <c r="BZ705" s="1271" t="str">
        <f t="shared" si="59"/>
        <v/>
      </c>
      <c r="CA705" s="1271" t="str">
        <f t="shared" si="60"/>
        <v/>
      </c>
      <c r="CB705" s="1271" t="str">
        <f t="shared" si="61"/>
        <v/>
      </c>
      <c r="CC705" s="1271" t="str">
        <f t="shared" si="62"/>
        <v/>
      </c>
      <c r="CD705" s="1271" t="str">
        <f t="shared" si="63"/>
        <v/>
      </c>
      <c r="CE705" s="1271" t="str">
        <f t="shared" si="64"/>
        <v/>
      </c>
      <c r="CF705" s="1271" t="str">
        <f t="shared" si="65"/>
        <v/>
      </c>
      <c r="CG705" s="1271" t="str">
        <f t="shared" si="66"/>
        <v/>
      </c>
      <c r="CH705" s="1271" t="str">
        <f t="shared" si="67"/>
        <v/>
      </c>
      <c r="CI705" s="1271" t="str">
        <f t="shared" si="68"/>
        <v/>
      </c>
      <c r="CJ705" s="1271" t="str">
        <f t="shared" si="69"/>
        <v/>
      </c>
      <c r="CK705" s="1271" t="str">
        <f t="shared" si="70"/>
        <v/>
      </c>
      <c r="CL705" s="1271" t="str">
        <f t="shared" si="71"/>
        <v/>
      </c>
      <c r="CM705" s="1271" t="str">
        <f t="shared" si="72"/>
        <v/>
      </c>
      <c r="CN705" s="1271" t="str">
        <f t="shared" si="73"/>
        <v/>
      </c>
      <c r="CO705" s="1271" t="str">
        <f t="shared" si="74"/>
        <v/>
      </c>
      <c r="CP705" s="1271" t="str">
        <f t="shared" si="75"/>
        <v/>
      </c>
      <c r="CQ705" s="1271" t="str">
        <f t="shared" si="76"/>
        <v/>
      </c>
      <c r="CR705" s="1271" t="str">
        <f t="shared" si="77"/>
        <v/>
      </c>
      <c r="CS705" s="1271" t="str">
        <f t="shared" si="78"/>
        <v/>
      </c>
      <c r="CT705" s="1271" t="str">
        <f t="shared" si="79"/>
        <v/>
      </c>
      <c r="CU705" s="1271" t="str">
        <f t="shared" si="80"/>
        <v/>
      </c>
      <c r="CV705" s="1271" t="str">
        <f t="shared" si="81"/>
        <v/>
      </c>
      <c r="CW705" s="1271" t="str">
        <f t="shared" si="82"/>
        <v/>
      </c>
      <c r="CX705" s="1271" t="str">
        <f t="shared" si="83"/>
        <v/>
      </c>
      <c r="CY705" s="1271" t="str">
        <f t="shared" si="84"/>
        <v/>
      </c>
      <c r="CZ705" s="1271" t="str">
        <f t="shared" si="85"/>
        <v/>
      </c>
      <c r="DA705" s="1271" t="str">
        <f t="shared" si="86"/>
        <v/>
      </c>
      <c r="DB705" s="1271" t="str">
        <f t="shared" si="87"/>
        <v/>
      </c>
      <c r="DC705" s="1271" t="str">
        <f t="shared" si="88"/>
        <v/>
      </c>
      <c r="DD705" s="1271" t="str">
        <f t="shared" si="89"/>
        <v/>
      </c>
      <c r="DE705" s="1271" t="str">
        <f t="shared" si="90"/>
        <v/>
      </c>
      <c r="DF705" s="1271" t="str">
        <f t="shared" si="91"/>
        <v/>
      </c>
      <c r="DG705" s="1271" t="str">
        <f t="shared" si="92"/>
        <v/>
      </c>
      <c r="DH705" s="1271" t="str">
        <f t="shared" si="93"/>
        <v/>
      </c>
      <c r="DI705" s="1271" t="str">
        <f t="shared" si="94"/>
        <v/>
      </c>
      <c r="DJ705" s="1271" t="str">
        <f t="shared" si="95"/>
        <v/>
      </c>
      <c r="DK705" s="1271" t="str">
        <f t="shared" si="96"/>
        <v/>
      </c>
      <c r="DL705" s="1271" t="str">
        <f t="shared" si="97"/>
        <v/>
      </c>
      <c r="DM705" s="1271" t="str">
        <f t="shared" si="98"/>
        <v/>
      </c>
      <c r="DN705" s="1271" t="str">
        <f t="shared" si="99"/>
        <v/>
      </c>
      <c r="DO705" s="1271" t="str">
        <f t="shared" si="100"/>
        <v/>
      </c>
      <c r="DP705" s="1271" t="str">
        <f t="shared" si="101"/>
        <v/>
      </c>
      <c r="DQ705" s="1271" t="str">
        <f t="shared" si="102"/>
        <v/>
      </c>
      <c r="DR705" s="1271" t="str">
        <f t="shared" si="103"/>
        <v/>
      </c>
      <c r="DS705" s="1271" t="str">
        <f t="shared" si="104"/>
        <v/>
      </c>
      <c r="DT705" s="1271" t="str">
        <f t="shared" si="105"/>
        <v/>
      </c>
      <c r="DU705" s="1271" t="str">
        <f t="shared" si="106"/>
        <v/>
      </c>
      <c r="DV705" s="1271" t="str">
        <f t="shared" si="107"/>
        <v/>
      </c>
      <c r="DW705" s="1271" t="str">
        <f t="shared" si="108"/>
        <v/>
      </c>
      <c r="DX705" s="1271" t="str">
        <f t="shared" si="109"/>
        <v/>
      </c>
      <c r="DY705" s="1271" t="str">
        <f t="shared" si="110"/>
        <v/>
      </c>
      <c r="DZ705" s="1271" t="str">
        <f t="shared" si="111"/>
        <v/>
      </c>
      <c r="EA705" s="1271" t="str">
        <f t="shared" si="112"/>
        <v/>
      </c>
      <c r="EB705" s="1271" t="str">
        <f t="shared" si="113"/>
        <v/>
      </c>
      <c r="EC705" s="1271" t="str">
        <f t="shared" si="114"/>
        <v/>
      </c>
      <c r="ED705" s="1271" t="str">
        <f t="shared" si="115"/>
        <v/>
      </c>
      <c r="EE705" s="1271" t="str">
        <f t="shared" si="116"/>
        <v/>
      </c>
      <c r="EF705" s="1271" t="str">
        <f t="shared" si="117"/>
        <v/>
      </c>
      <c r="EG705" s="1271" t="str">
        <f t="shared" si="118"/>
        <v/>
      </c>
      <c r="EH705" s="1271" t="str">
        <f t="shared" si="119"/>
        <v/>
      </c>
      <c r="EI705" s="1271" t="str">
        <f t="shared" si="120"/>
        <v/>
      </c>
      <c r="EJ705" s="1271" t="str">
        <f t="shared" si="121"/>
        <v/>
      </c>
      <c r="EK705" s="1271" t="str">
        <f t="shared" si="122"/>
        <v/>
      </c>
      <c r="EL705" s="1271" t="str">
        <f t="shared" si="123"/>
        <v/>
      </c>
      <c r="EM705" s="1271" t="str">
        <f t="shared" si="124"/>
        <v/>
      </c>
      <c r="EN705" s="1271" t="str">
        <f t="shared" si="125"/>
        <v/>
      </c>
      <c r="EO705" s="1271" t="str">
        <f t="shared" si="126"/>
        <v/>
      </c>
      <c r="EP705" s="1271" t="str">
        <f t="shared" si="127"/>
        <v/>
      </c>
      <c r="EQ705" s="1271" t="str">
        <f t="shared" si="128"/>
        <v/>
      </c>
      <c r="ER705" s="1271" t="str">
        <f t="shared" si="129"/>
        <v/>
      </c>
      <c r="ES705" s="1271" t="str">
        <f t="shared" si="130"/>
        <v/>
      </c>
      <c r="ET705" s="1271" t="str">
        <f t="shared" si="131"/>
        <v/>
      </c>
      <c r="EU705" s="1271" t="str">
        <f t="shared" si="132"/>
        <v/>
      </c>
      <c r="EV705" s="1271" t="str">
        <f t="shared" si="133"/>
        <v/>
      </c>
      <c r="EW705" s="1519" t="str">
        <f t="shared" si="134"/>
        <v/>
      </c>
      <c r="EX705" s="1519" t="str">
        <f t="shared" si="135"/>
        <v/>
      </c>
      <c r="EY705" s="1519" t="str">
        <f t="shared" si="136"/>
        <v/>
      </c>
      <c r="EZ705" s="1519" t="str">
        <f t="shared" si="137"/>
        <v/>
      </c>
      <c r="FA705" s="1519" t="str">
        <f t="shared" si="138"/>
        <v/>
      </c>
      <c r="FB705" s="1519" t="str">
        <f t="shared" si="139"/>
        <v/>
      </c>
      <c r="FC705" s="1519" t="str">
        <f t="shared" si="140"/>
        <v/>
      </c>
      <c r="FD705" s="1519" t="str">
        <f t="shared" si="141"/>
        <v/>
      </c>
      <c r="FE705" s="1519" t="str">
        <f t="shared" si="142"/>
        <v/>
      </c>
      <c r="FF705" s="1519" t="str">
        <f t="shared" si="143"/>
        <v/>
      </c>
      <c r="FG705" s="1519" t="str">
        <f t="shared" si="144"/>
        <v/>
      </c>
      <c r="FH705" s="1519" t="str">
        <f t="shared" si="145"/>
        <v/>
      </c>
      <c r="FI705" s="1519" t="str">
        <f t="shared" si="146"/>
        <v/>
      </c>
      <c r="FJ705" s="1519" t="str">
        <f t="shared" si="147"/>
        <v/>
      </c>
      <c r="FK705" s="1519" t="str">
        <f t="shared" si="148"/>
        <v/>
      </c>
      <c r="FL705" s="1519" t="str">
        <f t="shared" si="149"/>
        <v/>
      </c>
      <c r="FM705" s="1519" t="str">
        <f t="shared" si="150"/>
        <v/>
      </c>
      <c r="FN705" s="1519" t="str">
        <f t="shared" si="151"/>
        <v/>
      </c>
      <c r="FO705" s="1519" t="str">
        <f t="shared" si="152"/>
        <v/>
      </c>
      <c r="FP705" s="1519" t="str">
        <f t="shared" si="153"/>
        <v/>
      </c>
      <c r="FQ705" s="1519" t="str">
        <f t="shared" si="154"/>
        <v/>
      </c>
      <c r="FR705" s="1519" t="str">
        <f t="shared" si="155"/>
        <v/>
      </c>
      <c r="FS705" s="1519" t="str">
        <f t="shared" si="156"/>
        <v/>
      </c>
      <c r="FT705" s="1519" t="str">
        <f t="shared" si="157"/>
        <v/>
      </c>
      <c r="FU705" s="1519" t="str">
        <f t="shared" si="158"/>
        <v/>
      </c>
      <c r="FV705" s="1519" t="str">
        <f t="shared" si="159"/>
        <v/>
      </c>
      <c r="FW705" s="1519" t="str">
        <f t="shared" si="160"/>
        <v/>
      </c>
      <c r="FX705" s="1519" t="str">
        <f t="shared" si="161"/>
        <v/>
      </c>
      <c r="FY705" s="1519" t="str">
        <f t="shared" si="162"/>
        <v/>
      </c>
      <c r="FZ705" s="1519" t="str">
        <f t="shared" si="163"/>
        <v/>
      </c>
      <c r="GA705" s="1519" t="str">
        <f t="shared" si="164"/>
        <v/>
      </c>
      <c r="GB705" s="1519" t="str">
        <f t="shared" si="165"/>
        <v/>
      </c>
      <c r="GC705" s="1519" t="str">
        <f t="shared" si="166"/>
        <v/>
      </c>
      <c r="GD705" s="1519" t="str">
        <f t="shared" si="167"/>
        <v/>
      </c>
      <c r="GE705" s="1519" t="str">
        <f t="shared" si="168"/>
        <v/>
      </c>
      <c r="GF705" s="1519" t="str">
        <f t="shared" si="169"/>
        <v/>
      </c>
      <c r="GG705" s="1519" t="str">
        <f t="shared" si="170"/>
        <v/>
      </c>
      <c r="GH705" s="1519" t="str">
        <f t="shared" si="171"/>
        <v/>
      </c>
      <c r="GI705" s="1519" t="str">
        <f t="shared" si="172"/>
        <v/>
      </c>
      <c r="GJ705" s="1519" t="str">
        <f t="shared" si="173"/>
        <v/>
      </c>
      <c r="GK705" s="1519" t="str">
        <f t="shared" si="174"/>
        <v/>
      </c>
      <c r="GL705" s="1519" t="str">
        <f t="shared" si="175"/>
        <v/>
      </c>
      <c r="GM705" s="1519" t="str">
        <f t="shared" si="176"/>
        <v/>
      </c>
      <c r="GN705" s="1519" t="str">
        <f t="shared" si="177"/>
        <v/>
      </c>
      <c r="GO705" s="1519" t="str">
        <f t="shared" si="178"/>
        <v/>
      </c>
      <c r="GP705" s="1519" t="str">
        <f t="shared" si="179"/>
        <v/>
      </c>
      <c r="GQ705" s="1519" t="str">
        <f t="shared" si="180"/>
        <v/>
      </c>
      <c r="GR705" s="1519" t="str">
        <f t="shared" si="181"/>
        <v/>
      </c>
      <c r="GS705" s="1519" t="str">
        <f t="shared" si="182"/>
        <v/>
      </c>
      <c r="GT705" s="1519" t="str">
        <f t="shared" si="183"/>
        <v/>
      </c>
      <c r="GU705" s="1519" t="str">
        <f t="shared" si="184"/>
        <v/>
      </c>
      <c r="GV705" s="1519" t="str">
        <f t="shared" si="185"/>
        <v/>
      </c>
      <c r="GW705" s="1519" t="str">
        <f t="shared" si="186"/>
        <v/>
      </c>
      <c r="GX705" s="1519" t="str">
        <f t="shared" si="187"/>
        <v/>
      </c>
      <c r="GY705" s="1519" t="str">
        <f t="shared" si="188"/>
        <v/>
      </c>
      <c r="GZ705" s="1519" t="str">
        <f t="shared" si="189"/>
        <v/>
      </c>
      <c r="HA705" s="1519" t="str">
        <f t="shared" si="190"/>
        <v/>
      </c>
      <c r="HB705" s="1519" t="str">
        <f t="shared" si="191"/>
        <v/>
      </c>
      <c r="HC705" s="1519" t="str">
        <f t="shared" si="192"/>
        <v/>
      </c>
      <c r="HD705" s="1519" t="str">
        <f t="shared" si="193"/>
        <v/>
      </c>
      <c r="HE705" s="1519" t="str">
        <f t="shared" si="194"/>
        <v/>
      </c>
      <c r="HF705" s="1519" t="str">
        <f t="shared" si="195"/>
        <v/>
      </c>
      <c r="HG705" s="1519" t="str">
        <f t="shared" si="196"/>
        <v/>
      </c>
      <c r="HH705" s="1519" t="str">
        <f t="shared" si="197"/>
        <v/>
      </c>
      <c r="HI705" s="1519" t="str">
        <f t="shared" si="198"/>
        <v/>
      </c>
      <c r="HJ705" s="1519" t="str">
        <f t="shared" si="199"/>
        <v/>
      </c>
      <c r="HK705" s="1519" t="str">
        <f t="shared" si="200"/>
        <v/>
      </c>
      <c r="HL705" s="1519" t="str">
        <f t="shared" si="201"/>
        <v/>
      </c>
      <c r="HM705" s="1519" t="str">
        <f t="shared" si="202"/>
        <v/>
      </c>
      <c r="HN705" s="1519" t="str">
        <f t="shared" si="203"/>
        <v/>
      </c>
      <c r="HO705" s="1519" t="str">
        <f t="shared" si="204"/>
        <v/>
      </c>
      <c r="HP705" s="1519" t="str">
        <f t="shared" si="205"/>
        <v/>
      </c>
      <c r="HQ705" s="1519" t="str">
        <f t="shared" si="206"/>
        <v/>
      </c>
      <c r="HR705" s="1519" t="str">
        <f t="shared" si="207"/>
        <v/>
      </c>
      <c r="HS705" s="1519" t="str">
        <f t="shared" si="208"/>
        <v/>
      </c>
      <c r="HT705" s="1519" t="str">
        <f t="shared" si="209"/>
        <v/>
      </c>
      <c r="HU705" s="1519" t="str">
        <f t="shared" si="210"/>
        <v/>
      </c>
      <c r="HV705" s="1519" t="str">
        <f t="shared" si="211"/>
        <v/>
      </c>
      <c r="HW705" s="1519" t="str">
        <f t="shared" si="212"/>
        <v/>
      </c>
      <c r="HX705" s="1519" t="str">
        <f t="shared" si="213"/>
        <v/>
      </c>
      <c r="HY705" s="1519" t="str">
        <f t="shared" si="214"/>
        <v/>
      </c>
      <c r="HZ705" s="1519" t="str">
        <f t="shared" si="215"/>
        <v/>
      </c>
      <c r="IA705" s="1519" t="str">
        <f t="shared" si="216"/>
        <v/>
      </c>
      <c r="IB705" s="1519" t="str">
        <f t="shared" si="217"/>
        <v/>
      </c>
      <c r="IC705" s="1519" t="str">
        <f t="shared" si="218"/>
        <v/>
      </c>
      <c r="ID705" s="1520" t="str">
        <f t="shared" si="219"/>
        <v/>
      </c>
      <c r="IE705" s="1520" t="str">
        <f t="shared" si="220"/>
        <v/>
      </c>
      <c r="IF705" s="1520" t="str">
        <f t="shared" si="221"/>
        <v/>
      </c>
      <c r="IG705" s="1520" t="str">
        <f t="shared" si="222"/>
        <v/>
      </c>
      <c r="IH705" s="1520" t="str">
        <f t="shared" si="223"/>
        <v/>
      </c>
      <c r="II705" s="1271" t="str">
        <f t="shared" si="224"/>
        <v/>
      </c>
      <c r="IJ705" s="1271" t="str">
        <f t="shared" si="225"/>
        <v/>
      </c>
      <c r="IK705" s="1271" t="str">
        <f t="shared" si="226"/>
        <v/>
      </c>
      <c r="IL705" s="1271" t="str">
        <f t="shared" si="227"/>
        <v/>
      </c>
      <c r="IM705" s="1271" t="str">
        <f t="shared" si="228"/>
        <v/>
      </c>
      <c r="IN705" s="1271" t="str">
        <f t="shared" si="229"/>
        <v/>
      </c>
      <c r="IO705" s="1271" t="str">
        <f t="shared" si="230"/>
        <v/>
      </c>
      <c r="IP705" s="1271" t="str">
        <f t="shared" si="231"/>
        <v/>
      </c>
      <c r="IQ705" s="1271" t="str">
        <f t="shared" si="232"/>
        <v/>
      </c>
      <c r="IR705" s="1271" t="str">
        <f t="shared" si="233"/>
        <v/>
      </c>
      <c r="IS705" s="1271" t="str">
        <f t="shared" si="234"/>
        <v/>
      </c>
      <c r="IT705" s="1271" t="str">
        <f t="shared" si="235"/>
        <v/>
      </c>
      <c r="IU705" s="1271" t="str">
        <f t="shared" si="236"/>
        <v/>
      </c>
      <c r="IV705" s="1271" t="str">
        <f t="shared" si="237"/>
        <v/>
      </c>
      <c r="IW705" s="1271" t="str">
        <f t="shared" si="238"/>
        <v/>
      </c>
      <c r="IX705" s="1271" t="str">
        <f t="shared" si="239"/>
        <v/>
      </c>
      <c r="IY705" s="1271" t="str">
        <f t="shared" si="240"/>
        <v/>
      </c>
      <c r="IZ705" s="1271" t="str">
        <f t="shared" si="241"/>
        <v/>
      </c>
      <c r="JA705" s="1271" t="str">
        <f t="shared" si="242"/>
        <v/>
      </c>
      <c r="JB705" s="1271" t="str">
        <f t="shared" si="243"/>
        <v/>
      </c>
      <c r="JC705" s="1518">
        <f t="shared" si="244"/>
        <v>0</v>
      </c>
      <c r="JD705" s="1518">
        <f t="shared" si="245"/>
        <v>0</v>
      </c>
      <c r="JE705" s="1518">
        <f t="shared" si="246"/>
        <v>0</v>
      </c>
      <c r="JF705" s="1518">
        <f t="shared" si="247"/>
        <v>0</v>
      </c>
      <c r="JG705" s="1518">
        <f t="shared" si="248"/>
        <v>0</v>
      </c>
      <c r="JH705" s="1518">
        <f t="shared" si="249"/>
        <v>0</v>
      </c>
      <c r="JI705" s="1518">
        <f t="shared" si="250"/>
        <v>0</v>
      </c>
      <c r="JJ705" s="1518">
        <f t="shared" si="251"/>
        <v>0</v>
      </c>
      <c r="JK705" s="1518">
        <f t="shared" si="252"/>
        <v>0</v>
      </c>
      <c r="JL705" s="1518">
        <f t="shared" si="253"/>
        <v>0</v>
      </c>
      <c r="JM705" s="1518">
        <f t="shared" si="254"/>
        <v>0</v>
      </c>
      <c r="JN705" s="1518">
        <f t="shared" si="255"/>
        <v>0</v>
      </c>
      <c r="JO705" s="1518">
        <f t="shared" si="256"/>
        <v>0</v>
      </c>
      <c r="JP705" s="1518">
        <f t="shared" si="257"/>
        <v>0</v>
      </c>
      <c r="JQ705" s="1518">
        <f t="shared" si="258"/>
        <v>0</v>
      </c>
    </row>
    <row r="706" spans="1:278" ht="12" customHeight="1">
      <c r="A706" s="1687" t="str">
        <f t="shared" si="1"/>
        <v/>
      </c>
      <c r="B706" s="1702" t="str">
        <f>'Part VI-Revenues &amp; Expenses'!B45</f>
        <v>&lt;&lt;Select&gt;&gt;</v>
      </c>
      <c r="C706" s="1703">
        <f>'Part VI-Revenues &amp; Expenses'!C45</f>
        <v>0</v>
      </c>
      <c r="D706" s="1704">
        <f>'Part VI-Revenues &amp; Expenses'!D45</f>
        <v>0</v>
      </c>
      <c r="E706" s="1705">
        <f>'Part VI-Revenues &amp; Expenses'!E45</f>
        <v>0</v>
      </c>
      <c r="F706" s="1705">
        <f>'Part VI-Revenues &amp; Expenses'!F45</f>
        <v>0</v>
      </c>
      <c r="G706" s="1705">
        <f>'Part VI-Revenues &amp; Expenses'!G45</f>
        <v>0</v>
      </c>
      <c r="H706" s="1705">
        <f>'Part VI-Revenues &amp; Expenses'!H45</f>
        <v>0</v>
      </c>
      <c r="I706" s="1705">
        <f>'Part VI-Revenues &amp; Expenses'!I45</f>
        <v>0</v>
      </c>
      <c r="J706" s="1706">
        <f>'Part VI-Revenues &amp; Expenses'!J45</f>
        <v>0</v>
      </c>
      <c r="K706" s="1707">
        <f t="shared" si="2"/>
        <v>0</v>
      </c>
      <c r="L706" s="1707">
        <f t="shared" si="3"/>
        <v>0</v>
      </c>
      <c r="M706" s="1708">
        <f>'Part VI-Revenues &amp; Expenses'!M45</f>
        <v>0</v>
      </c>
      <c r="N706" s="1708">
        <f>'Part VI-Revenues &amp; Expenses'!N45</f>
        <v>0</v>
      </c>
      <c r="O706" s="1708">
        <f>'Part VI-Revenues &amp; Expenses'!O45</f>
        <v>0</v>
      </c>
      <c r="P706" s="1515">
        <f>'Part VI-Revenues &amp; Expenses'!P45</f>
        <v>0</v>
      </c>
      <c r="Q706" s="1709" t="str">
        <f>'Part VI-Revenues &amp; Expenses'!Q45</f>
        <v/>
      </c>
      <c r="R706" s="1710" t="str">
        <f>'Part VI-Revenues &amp; Expenses'!R45</f>
        <v/>
      </c>
      <c r="S706" s="1709">
        <f>'Part VI-Revenues &amp; Expenses'!S45</f>
        <v>0</v>
      </c>
      <c r="T706" s="1710">
        <f>'Part VI-Revenues &amp; Expenses'!T45</f>
        <v>0</v>
      </c>
      <c r="U706" s="1629"/>
      <c r="V706" s="1629"/>
      <c r="W706" s="1271" t="str">
        <f t="shared" si="4"/>
        <v/>
      </c>
      <c r="X706" s="1271" t="str">
        <f t="shared" si="5"/>
        <v/>
      </c>
      <c r="Y706" s="1271" t="str">
        <f t="shared" si="6"/>
        <v/>
      </c>
      <c r="Z706" s="1271" t="str">
        <f t="shared" si="7"/>
        <v/>
      </c>
      <c r="AA706" s="1271" t="str">
        <f t="shared" si="8"/>
        <v/>
      </c>
      <c r="AB706" s="1271" t="str">
        <f t="shared" si="9"/>
        <v/>
      </c>
      <c r="AC706" s="1271" t="str">
        <f t="shared" si="10"/>
        <v/>
      </c>
      <c r="AD706" s="1271" t="str">
        <f t="shared" si="11"/>
        <v/>
      </c>
      <c r="AE706" s="1271" t="str">
        <f t="shared" si="12"/>
        <v/>
      </c>
      <c r="AF706" s="1271" t="str">
        <f t="shared" si="13"/>
        <v/>
      </c>
      <c r="AG706" s="1271" t="str">
        <f t="shared" si="14"/>
        <v/>
      </c>
      <c r="AH706" s="1271" t="str">
        <f t="shared" si="15"/>
        <v/>
      </c>
      <c r="AI706" s="1271" t="str">
        <f t="shared" si="16"/>
        <v/>
      </c>
      <c r="AJ706" s="1271" t="str">
        <f t="shared" si="17"/>
        <v/>
      </c>
      <c r="AK706" s="1271" t="str">
        <f t="shared" si="18"/>
        <v/>
      </c>
      <c r="AL706" s="1271" t="str">
        <f t="shared" si="19"/>
        <v/>
      </c>
      <c r="AM706" s="1271" t="str">
        <f t="shared" si="20"/>
        <v/>
      </c>
      <c r="AN706" s="1271" t="str">
        <f t="shared" si="21"/>
        <v/>
      </c>
      <c r="AO706" s="1271" t="str">
        <f t="shared" si="22"/>
        <v/>
      </c>
      <c r="AP706" s="1271" t="str">
        <f t="shared" si="23"/>
        <v/>
      </c>
      <c r="AQ706" s="1271" t="str">
        <f t="shared" si="24"/>
        <v/>
      </c>
      <c r="AR706" s="1271" t="str">
        <f t="shared" si="25"/>
        <v/>
      </c>
      <c r="AS706" s="1271" t="str">
        <f t="shared" si="26"/>
        <v/>
      </c>
      <c r="AT706" s="1271" t="str">
        <f t="shared" si="27"/>
        <v/>
      </c>
      <c r="AU706" s="1271" t="str">
        <f t="shared" si="28"/>
        <v/>
      </c>
      <c r="AV706" s="1271" t="str">
        <f t="shared" si="29"/>
        <v/>
      </c>
      <c r="AW706" s="1271" t="str">
        <f t="shared" si="30"/>
        <v/>
      </c>
      <c r="AX706" s="1271" t="str">
        <f t="shared" si="31"/>
        <v/>
      </c>
      <c r="AY706" s="1271" t="str">
        <f t="shared" si="32"/>
        <v/>
      </c>
      <c r="AZ706" s="1271" t="str">
        <f t="shared" si="33"/>
        <v/>
      </c>
      <c r="BA706" s="1271" t="str">
        <f t="shared" si="34"/>
        <v/>
      </c>
      <c r="BB706" s="1271" t="str">
        <f t="shared" si="35"/>
        <v/>
      </c>
      <c r="BC706" s="1271" t="str">
        <f t="shared" si="36"/>
        <v/>
      </c>
      <c r="BD706" s="1271" t="str">
        <f t="shared" si="37"/>
        <v/>
      </c>
      <c r="BE706" s="1271" t="str">
        <f t="shared" si="38"/>
        <v/>
      </c>
      <c r="BF706" s="1271" t="str">
        <f t="shared" si="39"/>
        <v/>
      </c>
      <c r="BG706" s="1271" t="str">
        <f t="shared" si="40"/>
        <v/>
      </c>
      <c r="BH706" s="1271" t="str">
        <f t="shared" si="41"/>
        <v/>
      </c>
      <c r="BI706" s="1271" t="str">
        <f t="shared" si="42"/>
        <v/>
      </c>
      <c r="BJ706" s="1271" t="str">
        <f t="shared" si="43"/>
        <v/>
      </c>
      <c r="BK706" s="1271" t="str">
        <f t="shared" si="44"/>
        <v/>
      </c>
      <c r="BL706" s="1271" t="str">
        <f t="shared" si="45"/>
        <v/>
      </c>
      <c r="BM706" s="1271" t="str">
        <f t="shared" si="46"/>
        <v/>
      </c>
      <c r="BN706" s="1271" t="str">
        <f t="shared" si="47"/>
        <v/>
      </c>
      <c r="BO706" s="1271" t="str">
        <f t="shared" si="48"/>
        <v/>
      </c>
      <c r="BP706" s="1271" t="str">
        <f t="shared" si="49"/>
        <v/>
      </c>
      <c r="BQ706" s="1271" t="str">
        <f t="shared" si="50"/>
        <v/>
      </c>
      <c r="BR706" s="1271" t="str">
        <f t="shared" si="51"/>
        <v/>
      </c>
      <c r="BS706" s="1271" t="str">
        <f t="shared" si="52"/>
        <v/>
      </c>
      <c r="BT706" s="1271" t="str">
        <f t="shared" si="53"/>
        <v/>
      </c>
      <c r="BU706" s="1271" t="str">
        <f t="shared" si="54"/>
        <v/>
      </c>
      <c r="BV706" s="1271" t="str">
        <f t="shared" si="55"/>
        <v/>
      </c>
      <c r="BW706" s="1271" t="str">
        <f t="shared" si="56"/>
        <v/>
      </c>
      <c r="BX706" s="1271" t="str">
        <f t="shared" si="57"/>
        <v/>
      </c>
      <c r="BY706" s="1271" t="str">
        <f t="shared" si="58"/>
        <v/>
      </c>
      <c r="BZ706" s="1271" t="str">
        <f t="shared" si="59"/>
        <v/>
      </c>
      <c r="CA706" s="1271" t="str">
        <f t="shared" si="60"/>
        <v/>
      </c>
      <c r="CB706" s="1271" t="str">
        <f t="shared" si="61"/>
        <v/>
      </c>
      <c r="CC706" s="1271" t="str">
        <f t="shared" si="62"/>
        <v/>
      </c>
      <c r="CD706" s="1271" t="str">
        <f t="shared" si="63"/>
        <v/>
      </c>
      <c r="CE706" s="1271" t="str">
        <f t="shared" si="64"/>
        <v/>
      </c>
      <c r="CF706" s="1271" t="str">
        <f t="shared" si="65"/>
        <v/>
      </c>
      <c r="CG706" s="1271" t="str">
        <f t="shared" si="66"/>
        <v/>
      </c>
      <c r="CH706" s="1271" t="str">
        <f t="shared" si="67"/>
        <v/>
      </c>
      <c r="CI706" s="1271" t="str">
        <f t="shared" si="68"/>
        <v/>
      </c>
      <c r="CJ706" s="1271" t="str">
        <f t="shared" si="69"/>
        <v/>
      </c>
      <c r="CK706" s="1271" t="str">
        <f t="shared" si="70"/>
        <v/>
      </c>
      <c r="CL706" s="1271" t="str">
        <f t="shared" si="71"/>
        <v/>
      </c>
      <c r="CM706" s="1271" t="str">
        <f t="shared" si="72"/>
        <v/>
      </c>
      <c r="CN706" s="1271" t="str">
        <f t="shared" si="73"/>
        <v/>
      </c>
      <c r="CO706" s="1271" t="str">
        <f t="shared" si="74"/>
        <v/>
      </c>
      <c r="CP706" s="1271" t="str">
        <f t="shared" si="75"/>
        <v/>
      </c>
      <c r="CQ706" s="1271" t="str">
        <f t="shared" si="76"/>
        <v/>
      </c>
      <c r="CR706" s="1271" t="str">
        <f t="shared" si="77"/>
        <v/>
      </c>
      <c r="CS706" s="1271" t="str">
        <f t="shared" si="78"/>
        <v/>
      </c>
      <c r="CT706" s="1271" t="str">
        <f t="shared" si="79"/>
        <v/>
      </c>
      <c r="CU706" s="1271" t="str">
        <f t="shared" si="80"/>
        <v/>
      </c>
      <c r="CV706" s="1271" t="str">
        <f t="shared" si="81"/>
        <v/>
      </c>
      <c r="CW706" s="1271" t="str">
        <f t="shared" si="82"/>
        <v/>
      </c>
      <c r="CX706" s="1271" t="str">
        <f t="shared" si="83"/>
        <v/>
      </c>
      <c r="CY706" s="1271" t="str">
        <f t="shared" si="84"/>
        <v/>
      </c>
      <c r="CZ706" s="1271" t="str">
        <f t="shared" si="85"/>
        <v/>
      </c>
      <c r="DA706" s="1271" t="str">
        <f t="shared" si="86"/>
        <v/>
      </c>
      <c r="DB706" s="1271" t="str">
        <f t="shared" si="87"/>
        <v/>
      </c>
      <c r="DC706" s="1271" t="str">
        <f t="shared" si="88"/>
        <v/>
      </c>
      <c r="DD706" s="1271" t="str">
        <f t="shared" si="89"/>
        <v/>
      </c>
      <c r="DE706" s="1271" t="str">
        <f t="shared" si="90"/>
        <v/>
      </c>
      <c r="DF706" s="1271" t="str">
        <f t="shared" si="91"/>
        <v/>
      </c>
      <c r="DG706" s="1271" t="str">
        <f t="shared" si="92"/>
        <v/>
      </c>
      <c r="DH706" s="1271" t="str">
        <f t="shared" si="93"/>
        <v/>
      </c>
      <c r="DI706" s="1271" t="str">
        <f t="shared" si="94"/>
        <v/>
      </c>
      <c r="DJ706" s="1271" t="str">
        <f t="shared" si="95"/>
        <v/>
      </c>
      <c r="DK706" s="1271" t="str">
        <f t="shared" si="96"/>
        <v/>
      </c>
      <c r="DL706" s="1271" t="str">
        <f t="shared" si="97"/>
        <v/>
      </c>
      <c r="DM706" s="1271" t="str">
        <f t="shared" si="98"/>
        <v/>
      </c>
      <c r="DN706" s="1271" t="str">
        <f t="shared" si="99"/>
        <v/>
      </c>
      <c r="DO706" s="1271" t="str">
        <f t="shared" si="100"/>
        <v/>
      </c>
      <c r="DP706" s="1271" t="str">
        <f t="shared" si="101"/>
        <v/>
      </c>
      <c r="DQ706" s="1271" t="str">
        <f t="shared" si="102"/>
        <v/>
      </c>
      <c r="DR706" s="1271" t="str">
        <f t="shared" si="103"/>
        <v/>
      </c>
      <c r="DS706" s="1271" t="str">
        <f t="shared" si="104"/>
        <v/>
      </c>
      <c r="DT706" s="1271" t="str">
        <f t="shared" si="105"/>
        <v/>
      </c>
      <c r="DU706" s="1271" t="str">
        <f t="shared" si="106"/>
        <v/>
      </c>
      <c r="DV706" s="1271" t="str">
        <f t="shared" si="107"/>
        <v/>
      </c>
      <c r="DW706" s="1271" t="str">
        <f t="shared" si="108"/>
        <v/>
      </c>
      <c r="DX706" s="1271" t="str">
        <f t="shared" si="109"/>
        <v/>
      </c>
      <c r="DY706" s="1271" t="str">
        <f t="shared" si="110"/>
        <v/>
      </c>
      <c r="DZ706" s="1271" t="str">
        <f t="shared" si="111"/>
        <v/>
      </c>
      <c r="EA706" s="1271" t="str">
        <f t="shared" si="112"/>
        <v/>
      </c>
      <c r="EB706" s="1271" t="str">
        <f t="shared" si="113"/>
        <v/>
      </c>
      <c r="EC706" s="1271" t="str">
        <f t="shared" si="114"/>
        <v/>
      </c>
      <c r="ED706" s="1271" t="str">
        <f t="shared" si="115"/>
        <v/>
      </c>
      <c r="EE706" s="1271" t="str">
        <f t="shared" si="116"/>
        <v/>
      </c>
      <c r="EF706" s="1271" t="str">
        <f t="shared" si="117"/>
        <v/>
      </c>
      <c r="EG706" s="1271" t="str">
        <f t="shared" si="118"/>
        <v/>
      </c>
      <c r="EH706" s="1271" t="str">
        <f t="shared" si="119"/>
        <v/>
      </c>
      <c r="EI706" s="1271" t="str">
        <f t="shared" si="120"/>
        <v/>
      </c>
      <c r="EJ706" s="1271" t="str">
        <f t="shared" si="121"/>
        <v/>
      </c>
      <c r="EK706" s="1271" t="str">
        <f t="shared" si="122"/>
        <v/>
      </c>
      <c r="EL706" s="1271" t="str">
        <f t="shared" si="123"/>
        <v/>
      </c>
      <c r="EM706" s="1271" t="str">
        <f t="shared" si="124"/>
        <v/>
      </c>
      <c r="EN706" s="1271" t="str">
        <f t="shared" si="125"/>
        <v/>
      </c>
      <c r="EO706" s="1271" t="str">
        <f t="shared" si="126"/>
        <v/>
      </c>
      <c r="EP706" s="1271" t="str">
        <f t="shared" si="127"/>
        <v/>
      </c>
      <c r="EQ706" s="1271" t="str">
        <f t="shared" si="128"/>
        <v/>
      </c>
      <c r="ER706" s="1271" t="str">
        <f t="shared" si="129"/>
        <v/>
      </c>
      <c r="ES706" s="1271" t="str">
        <f t="shared" si="130"/>
        <v/>
      </c>
      <c r="ET706" s="1271" t="str">
        <f t="shared" si="131"/>
        <v/>
      </c>
      <c r="EU706" s="1271" t="str">
        <f t="shared" si="132"/>
        <v/>
      </c>
      <c r="EV706" s="1271" t="str">
        <f t="shared" si="133"/>
        <v/>
      </c>
      <c r="EW706" s="1519" t="str">
        <f t="shared" si="134"/>
        <v/>
      </c>
      <c r="EX706" s="1519" t="str">
        <f t="shared" si="135"/>
        <v/>
      </c>
      <c r="EY706" s="1519" t="str">
        <f t="shared" si="136"/>
        <v/>
      </c>
      <c r="EZ706" s="1519" t="str">
        <f t="shared" si="137"/>
        <v/>
      </c>
      <c r="FA706" s="1519" t="str">
        <f t="shared" si="138"/>
        <v/>
      </c>
      <c r="FB706" s="1519" t="str">
        <f t="shared" si="139"/>
        <v/>
      </c>
      <c r="FC706" s="1519" t="str">
        <f t="shared" si="140"/>
        <v/>
      </c>
      <c r="FD706" s="1519" t="str">
        <f t="shared" si="141"/>
        <v/>
      </c>
      <c r="FE706" s="1519" t="str">
        <f t="shared" si="142"/>
        <v/>
      </c>
      <c r="FF706" s="1519" t="str">
        <f t="shared" si="143"/>
        <v/>
      </c>
      <c r="FG706" s="1519" t="str">
        <f t="shared" si="144"/>
        <v/>
      </c>
      <c r="FH706" s="1519" t="str">
        <f t="shared" si="145"/>
        <v/>
      </c>
      <c r="FI706" s="1519" t="str">
        <f t="shared" si="146"/>
        <v/>
      </c>
      <c r="FJ706" s="1519" t="str">
        <f t="shared" si="147"/>
        <v/>
      </c>
      <c r="FK706" s="1519" t="str">
        <f t="shared" si="148"/>
        <v/>
      </c>
      <c r="FL706" s="1519" t="str">
        <f t="shared" si="149"/>
        <v/>
      </c>
      <c r="FM706" s="1519" t="str">
        <f t="shared" si="150"/>
        <v/>
      </c>
      <c r="FN706" s="1519" t="str">
        <f t="shared" si="151"/>
        <v/>
      </c>
      <c r="FO706" s="1519" t="str">
        <f t="shared" si="152"/>
        <v/>
      </c>
      <c r="FP706" s="1519" t="str">
        <f t="shared" si="153"/>
        <v/>
      </c>
      <c r="FQ706" s="1519" t="str">
        <f t="shared" si="154"/>
        <v/>
      </c>
      <c r="FR706" s="1519" t="str">
        <f t="shared" si="155"/>
        <v/>
      </c>
      <c r="FS706" s="1519" t="str">
        <f t="shared" si="156"/>
        <v/>
      </c>
      <c r="FT706" s="1519" t="str">
        <f t="shared" si="157"/>
        <v/>
      </c>
      <c r="FU706" s="1519" t="str">
        <f t="shared" si="158"/>
        <v/>
      </c>
      <c r="FV706" s="1519" t="str">
        <f t="shared" si="159"/>
        <v/>
      </c>
      <c r="FW706" s="1519" t="str">
        <f t="shared" si="160"/>
        <v/>
      </c>
      <c r="FX706" s="1519" t="str">
        <f t="shared" si="161"/>
        <v/>
      </c>
      <c r="FY706" s="1519" t="str">
        <f t="shared" si="162"/>
        <v/>
      </c>
      <c r="FZ706" s="1519" t="str">
        <f t="shared" si="163"/>
        <v/>
      </c>
      <c r="GA706" s="1519" t="str">
        <f t="shared" si="164"/>
        <v/>
      </c>
      <c r="GB706" s="1519" t="str">
        <f t="shared" si="165"/>
        <v/>
      </c>
      <c r="GC706" s="1519" t="str">
        <f t="shared" si="166"/>
        <v/>
      </c>
      <c r="GD706" s="1519" t="str">
        <f t="shared" si="167"/>
        <v/>
      </c>
      <c r="GE706" s="1519" t="str">
        <f t="shared" si="168"/>
        <v/>
      </c>
      <c r="GF706" s="1519" t="str">
        <f t="shared" si="169"/>
        <v/>
      </c>
      <c r="GG706" s="1519" t="str">
        <f t="shared" si="170"/>
        <v/>
      </c>
      <c r="GH706" s="1519" t="str">
        <f t="shared" si="171"/>
        <v/>
      </c>
      <c r="GI706" s="1519" t="str">
        <f t="shared" si="172"/>
        <v/>
      </c>
      <c r="GJ706" s="1519" t="str">
        <f t="shared" si="173"/>
        <v/>
      </c>
      <c r="GK706" s="1519" t="str">
        <f t="shared" si="174"/>
        <v/>
      </c>
      <c r="GL706" s="1519" t="str">
        <f t="shared" si="175"/>
        <v/>
      </c>
      <c r="GM706" s="1519" t="str">
        <f t="shared" si="176"/>
        <v/>
      </c>
      <c r="GN706" s="1519" t="str">
        <f t="shared" si="177"/>
        <v/>
      </c>
      <c r="GO706" s="1519" t="str">
        <f t="shared" si="178"/>
        <v/>
      </c>
      <c r="GP706" s="1519" t="str">
        <f t="shared" si="179"/>
        <v/>
      </c>
      <c r="GQ706" s="1519" t="str">
        <f t="shared" si="180"/>
        <v/>
      </c>
      <c r="GR706" s="1519" t="str">
        <f t="shared" si="181"/>
        <v/>
      </c>
      <c r="GS706" s="1519" t="str">
        <f t="shared" si="182"/>
        <v/>
      </c>
      <c r="GT706" s="1519" t="str">
        <f t="shared" si="183"/>
        <v/>
      </c>
      <c r="GU706" s="1519" t="str">
        <f t="shared" si="184"/>
        <v/>
      </c>
      <c r="GV706" s="1519" t="str">
        <f t="shared" si="185"/>
        <v/>
      </c>
      <c r="GW706" s="1519" t="str">
        <f t="shared" si="186"/>
        <v/>
      </c>
      <c r="GX706" s="1519" t="str">
        <f t="shared" si="187"/>
        <v/>
      </c>
      <c r="GY706" s="1519" t="str">
        <f t="shared" si="188"/>
        <v/>
      </c>
      <c r="GZ706" s="1519" t="str">
        <f t="shared" si="189"/>
        <v/>
      </c>
      <c r="HA706" s="1519" t="str">
        <f t="shared" si="190"/>
        <v/>
      </c>
      <c r="HB706" s="1519" t="str">
        <f t="shared" si="191"/>
        <v/>
      </c>
      <c r="HC706" s="1519" t="str">
        <f t="shared" si="192"/>
        <v/>
      </c>
      <c r="HD706" s="1519" t="str">
        <f t="shared" si="193"/>
        <v/>
      </c>
      <c r="HE706" s="1519" t="str">
        <f t="shared" si="194"/>
        <v/>
      </c>
      <c r="HF706" s="1519" t="str">
        <f t="shared" si="195"/>
        <v/>
      </c>
      <c r="HG706" s="1519" t="str">
        <f t="shared" si="196"/>
        <v/>
      </c>
      <c r="HH706" s="1519" t="str">
        <f t="shared" si="197"/>
        <v/>
      </c>
      <c r="HI706" s="1519" t="str">
        <f t="shared" si="198"/>
        <v/>
      </c>
      <c r="HJ706" s="1519" t="str">
        <f t="shared" si="199"/>
        <v/>
      </c>
      <c r="HK706" s="1519" t="str">
        <f t="shared" si="200"/>
        <v/>
      </c>
      <c r="HL706" s="1519" t="str">
        <f t="shared" si="201"/>
        <v/>
      </c>
      <c r="HM706" s="1519" t="str">
        <f t="shared" si="202"/>
        <v/>
      </c>
      <c r="HN706" s="1519" t="str">
        <f t="shared" si="203"/>
        <v/>
      </c>
      <c r="HO706" s="1519" t="str">
        <f t="shared" si="204"/>
        <v/>
      </c>
      <c r="HP706" s="1519" t="str">
        <f t="shared" si="205"/>
        <v/>
      </c>
      <c r="HQ706" s="1519" t="str">
        <f t="shared" si="206"/>
        <v/>
      </c>
      <c r="HR706" s="1519" t="str">
        <f t="shared" si="207"/>
        <v/>
      </c>
      <c r="HS706" s="1519" t="str">
        <f t="shared" si="208"/>
        <v/>
      </c>
      <c r="HT706" s="1519" t="str">
        <f t="shared" si="209"/>
        <v/>
      </c>
      <c r="HU706" s="1519" t="str">
        <f t="shared" si="210"/>
        <v/>
      </c>
      <c r="HV706" s="1519" t="str">
        <f t="shared" si="211"/>
        <v/>
      </c>
      <c r="HW706" s="1519" t="str">
        <f t="shared" si="212"/>
        <v/>
      </c>
      <c r="HX706" s="1519" t="str">
        <f t="shared" si="213"/>
        <v/>
      </c>
      <c r="HY706" s="1519" t="str">
        <f t="shared" si="214"/>
        <v/>
      </c>
      <c r="HZ706" s="1519" t="str">
        <f t="shared" si="215"/>
        <v/>
      </c>
      <c r="IA706" s="1519" t="str">
        <f t="shared" si="216"/>
        <v/>
      </c>
      <c r="IB706" s="1519" t="str">
        <f t="shared" si="217"/>
        <v/>
      </c>
      <c r="IC706" s="1519" t="str">
        <f t="shared" si="218"/>
        <v/>
      </c>
      <c r="ID706" s="1520" t="str">
        <f t="shared" si="219"/>
        <v/>
      </c>
      <c r="IE706" s="1520" t="str">
        <f t="shared" si="220"/>
        <v/>
      </c>
      <c r="IF706" s="1520" t="str">
        <f t="shared" si="221"/>
        <v/>
      </c>
      <c r="IG706" s="1520" t="str">
        <f t="shared" si="222"/>
        <v/>
      </c>
      <c r="IH706" s="1520" t="str">
        <f t="shared" si="223"/>
        <v/>
      </c>
      <c r="II706" s="1271" t="str">
        <f t="shared" si="224"/>
        <v/>
      </c>
      <c r="IJ706" s="1271" t="str">
        <f t="shared" si="225"/>
        <v/>
      </c>
      <c r="IK706" s="1271" t="str">
        <f t="shared" si="226"/>
        <v/>
      </c>
      <c r="IL706" s="1271" t="str">
        <f t="shared" si="227"/>
        <v/>
      </c>
      <c r="IM706" s="1271" t="str">
        <f t="shared" si="228"/>
        <v/>
      </c>
      <c r="IN706" s="1271" t="str">
        <f t="shared" si="229"/>
        <v/>
      </c>
      <c r="IO706" s="1271" t="str">
        <f t="shared" si="230"/>
        <v/>
      </c>
      <c r="IP706" s="1271" t="str">
        <f t="shared" si="231"/>
        <v/>
      </c>
      <c r="IQ706" s="1271" t="str">
        <f t="shared" si="232"/>
        <v/>
      </c>
      <c r="IR706" s="1271" t="str">
        <f t="shared" si="233"/>
        <v/>
      </c>
      <c r="IS706" s="1271" t="str">
        <f t="shared" si="234"/>
        <v/>
      </c>
      <c r="IT706" s="1271" t="str">
        <f t="shared" si="235"/>
        <v/>
      </c>
      <c r="IU706" s="1271" t="str">
        <f t="shared" si="236"/>
        <v/>
      </c>
      <c r="IV706" s="1271" t="str">
        <f t="shared" si="237"/>
        <v/>
      </c>
      <c r="IW706" s="1271" t="str">
        <f t="shared" si="238"/>
        <v/>
      </c>
      <c r="IX706" s="1271" t="str">
        <f t="shared" si="239"/>
        <v/>
      </c>
      <c r="IY706" s="1271" t="str">
        <f t="shared" si="240"/>
        <v/>
      </c>
      <c r="IZ706" s="1271" t="str">
        <f t="shared" si="241"/>
        <v/>
      </c>
      <c r="JA706" s="1271" t="str">
        <f t="shared" si="242"/>
        <v/>
      </c>
      <c r="JB706" s="1271" t="str">
        <f t="shared" si="243"/>
        <v/>
      </c>
      <c r="JC706" s="1518">
        <f t="shared" si="244"/>
        <v>0</v>
      </c>
      <c r="JD706" s="1518">
        <f t="shared" si="245"/>
        <v>0</v>
      </c>
      <c r="JE706" s="1518">
        <f t="shared" si="246"/>
        <v>0</v>
      </c>
      <c r="JF706" s="1518">
        <f t="shared" si="247"/>
        <v>0</v>
      </c>
      <c r="JG706" s="1518">
        <f t="shared" si="248"/>
        <v>0</v>
      </c>
      <c r="JH706" s="1518">
        <f t="shared" si="249"/>
        <v>0</v>
      </c>
      <c r="JI706" s="1518">
        <f t="shared" si="250"/>
        <v>0</v>
      </c>
      <c r="JJ706" s="1518">
        <f t="shared" si="251"/>
        <v>0</v>
      </c>
      <c r="JK706" s="1518">
        <f t="shared" si="252"/>
        <v>0</v>
      </c>
      <c r="JL706" s="1518">
        <f t="shared" si="253"/>
        <v>0</v>
      </c>
      <c r="JM706" s="1518">
        <f t="shared" si="254"/>
        <v>0</v>
      </c>
      <c r="JN706" s="1518">
        <f t="shared" si="255"/>
        <v>0</v>
      </c>
      <c r="JO706" s="1518">
        <f t="shared" si="256"/>
        <v>0</v>
      </c>
      <c r="JP706" s="1518">
        <f t="shared" si="257"/>
        <v>0</v>
      </c>
      <c r="JQ706" s="1518">
        <f t="shared" si="258"/>
        <v>0</v>
      </c>
    </row>
    <row r="707" spans="1:278" ht="12" customHeight="1">
      <c r="A707" s="1687" t="str">
        <f t="shared" si="1"/>
        <v/>
      </c>
      <c r="B707" s="1702" t="str">
        <f>'Part VI-Revenues &amp; Expenses'!B46</f>
        <v>&lt;&lt;Select&gt;&gt;</v>
      </c>
      <c r="C707" s="1703">
        <f>'Part VI-Revenues &amp; Expenses'!C46</f>
        <v>0</v>
      </c>
      <c r="D707" s="1704">
        <f>'Part VI-Revenues &amp; Expenses'!D46</f>
        <v>0</v>
      </c>
      <c r="E707" s="1705">
        <f>'Part VI-Revenues &amp; Expenses'!E46</f>
        <v>0</v>
      </c>
      <c r="F707" s="1705">
        <f>'Part VI-Revenues &amp; Expenses'!F46</f>
        <v>0</v>
      </c>
      <c r="G707" s="1705">
        <f>'Part VI-Revenues &amp; Expenses'!G46</f>
        <v>0</v>
      </c>
      <c r="H707" s="1705">
        <f>'Part VI-Revenues &amp; Expenses'!H46</f>
        <v>0</v>
      </c>
      <c r="I707" s="1705">
        <f>'Part VI-Revenues &amp; Expenses'!I46</f>
        <v>0</v>
      </c>
      <c r="J707" s="1706">
        <f>'Part VI-Revenues &amp; Expenses'!J46</f>
        <v>0</v>
      </c>
      <c r="K707" s="1707">
        <f t="shared" si="2"/>
        <v>0</v>
      </c>
      <c r="L707" s="1707">
        <f t="shared" si="3"/>
        <v>0</v>
      </c>
      <c r="M707" s="1708">
        <f>'Part VI-Revenues &amp; Expenses'!M46</f>
        <v>0</v>
      </c>
      <c r="N707" s="1708">
        <f>'Part VI-Revenues &amp; Expenses'!N46</f>
        <v>0</v>
      </c>
      <c r="O707" s="1708">
        <f>'Part VI-Revenues &amp; Expenses'!O46</f>
        <v>0</v>
      </c>
      <c r="P707" s="1515">
        <f>'Part VI-Revenues &amp; Expenses'!P46</f>
        <v>0</v>
      </c>
      <c r="Q707" s="1709" t="str">
        <f>'Part VI-Revenues &amp; Expenses'!Q46</f>
        <v/>
      </c>
      <c r="R707" s="1710" t="str">
        <f>'Part VI-Revenues &amp; Expenses'!R46</f>
        <v/>
      </c>
      <c r="S707" s="1709">
        <f>'Part VI-Revenues &amp; Expenses'!S46</f>
        <v>0</v>
      </c>
      <c r="T707" s="1710">
        <f>'Part VI-Revenues &amp; Expenses'!T46</f>
        <v>0</v>
      </c>
      <c r="U707" s="1629"/>
      <c r="V707" s="1629"/>
      <c r="W707" s="1271" t="str">
        <f t="shared" si="4"/>
        <v/>
      </c>
      <c r="X707" s="1271" t="str">
        <f t="shared" si="5"/>
        <v/>
      </c>
      <c r="Y707" s="1271" t="str">
        <f t="shared" si="6"/>
        <v/>
      </c>
      <c r="Z707" s="1271" t="str">
        <f t="shared" si="7"/>
        <v/>
      </c>
      <c r="AA707" s="1271" t="str">
        <f t="shared" si="8"/>
        <v/>
      </c>
      <c r="AB707" s="1271" t="str">
        <f t="shared" si="9"/>
        <v/>
      </c>
      <c r="AC707" s="1271" t="str">
        <f t="shared" si="10"/>
        <v/>
      </c>
      <c r="AD707" s="1271" t="str">
        <f t="shared" si="11"/>
        <v/>
      </c>
      <c r="AE707" s="1271" t="str">
        <f t="shared" si="12"/>
        <v/>
      </c>
      <c r="AF707" s="1271" t="str">
        <f t="shared" si="13"/>
        <v/>
      </c>
      <c r="AG707" s="1271" t="str">
        <f t="shared" si="14"/>
        <v/>
      </c>
      <c r="AH707" s="1271" t="str">
        <f t="shared" si="15"/>
        <v/>
      </c>
      <c r="AI707" s="1271" t="str">
        <f t="shared" si="16"/>
        <v/>
      </c>
      <c r="AJ707" s="1271" t="str">
        <f t="shared" si="17"/>
        <v/>
      </c>
      <c r="AK707" s="1271" t="str">
        <f t="shared" si="18"/>
        <v/>
      </c>
      <c r="AL707" s="1271" t="str">
        <f t="shared" si="19"/>
        <v/>
      </c>
      <c r="AM707" s="1271" t="str">
        <f t="shared" si="20"/>
        <v/>
      </c>
      <c r="AN707" s="1271" t="str">
        <f t="shared" si="21"/>
        <v/>
      </c>
      <c r="AO707" s="1271" t="str">
        <f t="shared" si="22"/>
        <v/>
      </c>
      <c r="AP707" s="1271" t="str">
        <f t="shared" si="23"/>
        <v/>
      </c>
      <c r="AQ707" s="1271" t="str">
        <f t="shared" si="24"/>
        <v/>
      </c>
      <c r="AR707" s="1271" t="str">
        <f t="shared" si="25"/>
        <v/>
      </c>
      <c r="AS707" s="1271" t="str">
        <f t="shared" si="26"/>
        <v/>
      </c>
      <c r="AT707" s="1271" t="str">
        <f t="shared" si="27"/>
        <v/>
      </c>
      <c r="AU707" s="1271" t="str">
        <f t="shared" si="28"/>
        <v/>
      </c>
      <c r="AV707" s="1271" t="str">
        <f t="shared" si="29"/>
        <v/>
      </c>
      <c r="AW707" s="1271" t="str">
        <f t="shared" si="30"/>
        <v/>
      </c>
      <c r="AX707" s="1271" t="str">
        <f t="shared" si="31"/>
        <v/>
      </c>
      <c r="AY707" s="1271" t="str">
        <f t="shared" si="32"/>
        <v/>
      </c>
      <c r="AZ707" s="1271" t="str">
        <f t="shared" si="33"/>
        <v/>
      </c>
      <c r="BA707" s="1271" t="str">
        <f t="shared" si="34"/>
        <v/>
      </c>
      <c r="BB707" s="1271" t="str">
        <f t="shared" si="35"/>
        <v/>
      </c>
      <c r="BC707" s="1271" t="str">
        <f t="shared" si="36"/>
        <v/>
      </c>
      <c r="BD707" s="1271" t="str">
        <f t="shared" si="37"/>
        <v/>
      </c>
      <c r="BE707" s="1271" t="str">
        <f t="shared" si="38"/>
        <v/>
      </c>
      <c r="BF707" s="1271" t="str">
        <f t="shared" si="39"/>
        <v/>
      </c>
      <c r="BG707" s="1271" t="str">
        <f t="shared" si="40"/>
        <v/>
      </c>
      <c r="BH707" s="1271" t="str">
        <f t="shared" si="41"/>
        <v/>
      </c>
      <c r="BI707" s="1271" t="str">
        <f t="shared" si="42"/>
        <v/>
      </c>
      <c r="BJ707" s="1271" t="str">
        <f t="shared" si="43"/>
        <v/>
      </c>
      <c r="BK707" s="1271" t="str">
        <f t="shared" si="44"/>
        <v/>
      </c>
      <c r="BL707" s="1271" t="str">
        <f t="shared" si="45"/>
        <v/>
      </c>
      <c r="BM707" s="1271" t="str">
        <f t="shared" si="46"/>
        <v/>
      </c>
      <c r="BN707" s="1271" t="str">
        <f t="shared" si="47"/>
        <v/>
      </c>
      <c r="BO707" s="1271" t="str">
        <f t="shared" si="48"/>
        <v/>
      </c>
      <c r="BP707" s="1271" t="str">
        <f t="shared" si="49"/>
        <v/>
      </c>
      <c r="BQ707" s="1271" t="str">
        <f t="shared" si="50"/>
        <v/>
      </c>
      <c r="BR707" s="1271" t="str">
        <f t="shared" si="51"/>
        <v/>
      </c>
      <c r="BS707" s="1271" t="str">
        <f t="shared" si="52"/>
        <v/>
      </c>
      <c r="BT707" s="1271" t="str">
        <f t="shared" si="53"/>
        <v/>
      </c>
      <c r="BU707" s="1271" t="str">
        <f t="shared" si="54"/>
        <v/>
      </c>
      <c r="BV707" s="1271" t="str">
        <f t="shared" si="55"/>
        <v/>
      </c>
      <c r="BW707" s="1271" t="str">
        <f t="shared" si="56"/>
        <v/>
      </c>
      <c r="BX707" s="1271" t="str">
        <f t="shared" si="57"/>
        <v/>
      </c>
      <c r="BY707" s="1271" t="str">
        <f t="shared" si="58"/>
        <v/>
      </c>
      <c r="BZ707" s="1271" t="str">
        <f t="shared" si="59"/>
        <v/>
      </c>
      <c r="CA707" s="1271" t="str">
        <f t="shared" si="60"/>
        <v/>
      </c>
      <c r="CB707" s="1271" t="str">
        <f t="shared" si="61"/>
        <v/>
      </c>
      <c r="CC707" s="1271" t="str">
        <f t="shared" si="62"/>
        <v/>
      </c>
      <c r="CD707" s="1271" t="str">
        <f t="shared" si="63"/>
        <v/>
      </c>
      <c r="CE707" s="1271" t="str">
        <f t="shared" si="64"/>
        <v/>
      </c>
      <c r="CF707" s="1271" t="str">
        <f t="shared" si="65"/>
        <v/>
      </c>
      <c r="CG707" s="1271" t="str">
        <f t="shared" si="66"/>
        <v/>
      </c>
      <c r="CH707" s="1271" t="str">
        <f t="shared" si="67"/>
        <v/>
      </c>
      <c r="CI707" s="1271" t="str">
        <f t="shared" si="68"/>
        <v/>
      </c>
      <c r="CJ707" s="1271" t="str">
        <f t="shared" si="69"/>
        <v/>
      </c>
      <c r="CK707" s="1271" t="str">
        <f t="shared" si="70"/>
        <v/>
      </c>
      <c r="CL707" s="1271" t="str">
        <f t="shared" si="71"/>
        <v/>
      </c>
      <c r="CM707" s="1271" t="str">
        <f t="shared" si="72"/>
        <v/>
      </c>
      <c r="CN707" s="1271" t="str">
        <f t="shared" si="73"/>
        <v/>
      </c>
      <c r="CO707" s="1271" t="str">
        <f t="shared" si="74"/>
        <v/>
      </c>
      <c r="CP707" s="1271" t="str">
        <f t="shared" si="75"/>
        <v/>
      </c>
      <c r="CQ707" s="1271" t="str">
        <f t="shared" si="76"/>
        <v/>
      </c>
      <c r="CR707" s="1271" t="str">
        <f t="shared" si="77"/>
        <v/>
      </c>
      <c r="CS707" s="1271" t="str">
        <f t="shared" si="78"/>
        <v/>
      </c>
      <c r="CT707" s="1271" t="str">
        <f t="shared" si="79"/>
        <v/>
      </c>
      <c r="CU707" s="1271" t="str">
        <f t="shared" si="80"/>
        <v/>
      </c>
      <c r="CV707" s="1271" t="str">
        <f t="shared" si="81"/>
        <v/>
      </c>
      <c r="CW707" s="1271" t="str">
        <f t="shared" si="82"/>
        <v/>
      </c>
      <c r="CX707" s="1271" t="str">
        <f t="shared" si="83"/>
        <v/>
      </c>
      <c r="CY707" s="1271" t="str">
        <f t="shared" si="84"/>
        <v/>
      </c>
      <c r="CZ707" s="1271" t="str">
        <f t="shared" si="85"/>
        <v/>
      </c>
      <c r="DA707" s="1271" t="str">
        <f t="shared" si="86"/>
        <v/>
      </c>
      <c r="DB707" s="1271" t="str">
        <f t="shared" si="87"/>
        <v/>
      </c>
      <c r="DC707" s="1271" t="str">
        <f t="shared" si="88"/>
        <v/>
      </c>
      <c r="DD707" s="1271" t="str">
        <f t="shared" si="89"/>
        <v/>
      </c>
      <c r="DE707" s="1271" t="str">
        <f t="shared" si="90"/>
        <v/>
      </c>
      <c r="DF707" s="1271" t="str">
        <f t="shared" si="91"/>
        <v/>
      </c>
      <c r="DG707" s="1271" t="str">
        <f t="shared" si="92"/>
        <v/>
      </c>
      <c r="DH707" s="1271" t="str">
        <f t="shared" si="93"/>
        <v/>
      </c>
      <c r="DI707" s="1271" t="str">
        <f t="shared" si="94"/>
        <v/>
      </c>
      <c r="DJ707" s="1271" t="str">
        <f t="shared" si="95"/>
        <v/>
      </c>
      <c r="DK707" s="1271" t="str">
        <f t="shared" si="96"/>
        <v/>
      </c>
      <c r="DL707" s="1271" t="str">
        <f t="shared" si="97"/>
        <v/>
      </c>
      <c r="DM707" s="1271" t="str">
        <f t="shared" si="98"/>
        <v/>
      </c>
      <c r="DN707" s="1271" t="str">
        <f t="shared" si="99"/>
        <v/>
      </c>
      <c r="DO707" s="1271" t="str">
        <f t="shared" si="100"/>
        <v/>
      </c>
      <c r="DP707" s="1271" t="str">
        <f t="shared" si="101"/>
        <v/>
      </c>
      <c r="DQ707" s="1271" t="str">
        <f t="shared" si="102"/>
        <v/>
      </c>
      <c r="DR707" s="1271" t="str">
        <f t="shared" si="103"/>
        <v/>
      </c>
      <c r="DS707" s="1271" t="str">
        <f t="shared" si="104"/>
        <v/>
      </c>
      <c r="DT707" s="1271" t="str">
        <f t="shared" si="105"/>
        <v/>
      </c>
      <c r="DU707" s="1271" t="str">
        <f t="shared" si="106"/>
        <v/>
      </c>
      <c r="DV707" s="1271" t="str">
        <f t="shared" si="107"/>
        <v/>
      </c>
      <c r="DW707" s="1271" t="str">
        <f t="shared" si="108"/>
        <v/>
      </c>
      <c r="DX707" s="1271" t="str">
        <f t="shared" si="109"/>
        <v/>
      </c>
      <c r="DY707" s="1271" t="str">
        <f t="shared" si="110"/>
        <v/>
      </c>
      <c r="DZ707" s="1271" t="str">
        <f t="shared" si="111"/>
        <v/>
      </c>
      <c r="EA707" s="1271" t="str">
        <f t="shared" si="112"/>
        <v/>
      </c>
      <c r="EB707" s="1271" t="str">
        <f t="shared" si="113"/>
        <v/>
      </c>
      <c r="EC707" s="1271" t="str">
        <f t="shared" si="114"/>
        <v/>
      </c>
      <c r="ED707" s="1271" t="str">
        <f t="shared" si="115"/>
        <v/>
      </c>
      <c r="EE707" s="1271" t="str">
        <f t="shared" si="116"/>
        <v/>
      </c>
      <c r="EF707" s="1271" t="str">
        <f t="shared" si="117"/>
        <v/>
      </c>
      <c r="EG707" s="1271" t="str">
        <f t="shared" si="118"/>
        <v/>
      </c>
      <c r="EH707" s="1271" t="str">
        <f t="shared" si="119"/>
        <v/>
      </c>
      <c r="EI707" s="1271" t="str">
        <f t="shared" si="120"/>
        <v/>
      </c>
      <c r="EJ707" s="1271" t="str">
        <f t="shared" si="121"/>
        <v/>
      </c>
      <c r="EK707" s="1271" t="str">
        <f t="shared" si="122"/>
        <v/>
      </c>
      <c r="EL707" s="1271" t="str">
        <f t="shared" si="123"/>
        <v/>
      </c>
      <c r="EM707" s="1271" t="str">
        <f t="shared" si="124"/>
        <v/>
      </c>
      <c r="EN707" s="1271" t="str">
        <f t="shared" si="125"/>
        <v/>
      </c>
      <c r="EO707" s="1271" t="str">
        <f t="shared" si="126"/>
        <v/>
      </c>
      <c r="EP707" s="1271" t="str">
        <f t="shared" si="127"/>
        <v/>
      </c>
      <c r="EQ707" s="1271" t="str">
        <f t="shared" si="128"/>
        <v/>
      </c>
      <c r="ER707" s="1271" t="str">
        <f t="shared" si="129"/>
        <v/>
      </c>
      <c r="ES707" s="1271" t="str">
        <f t="shared" si="130"/>
        <v/>
      </c>
      <c r="ET707" s="1271" t="str">
        <f t="shared" si="131"/>
        <v/>
      </c>
      <c r="EU707" s="1271" t="str">
        <f t="shared" si="132"/>
        <v/>
      </c>
      <c r="EV707" s="1271" t="str">
        <f t="shared" si="133"/>
        <v/>
      </c>
      <c r="EW707" s="1519" t="str">
        <f t="shared" si="134"/>
        <v/>
      </c>
      <c r="EX707" s="1519" t="str">
        <f t="shared" si="135"/>
        <v/>
      </c>
      <c r="EY707" s="1519" t="str">
        <f t="shared" si="136"/>
        <v/>
      </c>
      <c r="EZ707" s="1519" t="str">
        <f t="shared" si="137"/>
        <v/>
      </c>
      <c r="FA707" s="1519" t="str">
        <f t="shared" si="138"/>
        <v/>
      </c>
      <c r="FB707" s="1519" t="str">
        <f t="shared" si="139"/>
        <v/>
      </c>
      <c r="FC707" s="1519" t="str">
        <f t="shared" si="140"/>
        <v/>
      </c>
      <c r="FD707" s="1519" t="str">
        <f t="shared" si="141"/>
        <v/>
      </c>
      <c r="FE707" s="1519" t="str">
        <f t="shared" si="142"/>
        <v/>
      </c>
      <c r="FF707" s="1519" t="str">
        <f t="shared" si="143"/>
        <v/>
      </c>
      <c r="FG707" s="1519" t="str">
        <f t="shared" si="144"/>
        <v/>
      </c>
      <c r="FH707" s="1519" t="str">
        <f t="shared" si="145"/>
        <v/>
      </c>
      <c r="FI707" s="1519" t="str">
        <f t="shared" si="146"/>
        <v/>
      </c>
      <c r="FJ707" s="1519" t="str">
        <f t="shared" si="147"/>
        <v/>
      </c>
      <c r="FK707" s="1519" t="str">
        <f t="shared" si="148"/>
        <v/>
      </c>
      <c r="FL707" s="1519" t="str">
        <f t="shared" si="149"/>
        <v/>
      </c>
      <c r="FM707" s="1519" t="str">
        <f t="shared" si="150"/>
        <v/>
      </c>
      <c r="FN707" s="1519" t="str">
        <f t="shared" si="151"/>
        <v/>
      </c>
      <c r="FO707" s="1519" t="str">
        <f t="shared" si="152"/>
        <v/>
      </c>
      <c r="FP707" s="1519" t="str">
        <f t="shared" si="153"/>
        <v/>
      </c>
      <c r="FQ707" s="1519" t="str">
        <f t="shared" si="154"/>
        <v/>
      </c>
      <c r="FR707" s="1519" t="str">
        <f t="shared" si="155"/>
        <v/>
      </c>
      <c r="FS707" s="1519" t="str">
        <f t="shared" si="156"/>
        <v/>
      </c>
      <c r="FT707" s="1519" t="str">
        <f t="shared" si="157"/>
        <v/>
      </c>
      <c r="FU707" s="1519" t="str">
        <f t="shared" si="158"/>
        <v/>
      </c>
      <c r="FV707" s="1519" t="str">
        <f t="shared" si="159"/>
        <v/>
      </c>
      <c r="FW707" s="1519" t="str">
        <f t="shared" si="160"/>
        <v/>
      </c>
      <c r="FX707" s="1519" t="str">
        <f t="shared" si="161"/>
        <v/>
      </c>
      <c r="FY707" s="1519" t="str">
        <f t="shared" si="162"/>
        <v/>
      </c>
      <c r="FZ707" s="1519" t="str">
        <f t="shared" si="163"/>
        <v/>
      </c>
      <c r="GA707" s="1519" t="str">
        <f t="shared" si="164"/>
        <v/>
      </c>
      <c r="GB707" s="1519" t="str">
        <f t="shared" si="165"/>
        <v/>
      </c>
      <c r="GC707" s="1519" t="str">
        <f t="shared" si="166"/>
        <v/>
      </c>
      <c r="GD707" s="1519" t="str">
        <f t="shared" si="167"/>
        <v/>
      </c>
      <c r="GE707" s="1519" t="str">
        <f t="shared" si="168"/>
        <v/>
      </c>
      <c r="GF707" s="1519" t="str">
        <f t="shared" si="169"/>
        <v/>
      </c>
      <c r="GG707" s="1519" t="str">
        <f t="shared" si="170"/>
        <v/>
      </c>
      <c r="GH707" s="1519" t="str">
        <f t="shared" si="171"/>
        <v/>
      </c>
      <c r="GI707" s="1519" t="str">
        <f t="shared" si="172"/>
        <v/>
      </c>
      <c r="GJ707" s="1519" t="str">
        <f t="shared" si="173"/>
        <v/>
      </c>
      <c r="GK707" s="1519" t="str">
        <f t="shared" si="174"/>
        <v/>
      </c>
      <c r="GL707" s="1519" t="str">
        <f t="shared" si="175"/>
        <v/>
      </c>
      <c r="GM707" s="1519" t="str">
        <f t="shared" si="176"/>
        <v/>
      </c>
      <c r="GN707" s="1519" t="str">
        <f t="shared" si="177"/>
        <v/>
      </c>
      <c r="GO707" s="1519" t="str">
        <f t="shared" si="178"/>
        <v/>
      </c>
      <c r="GP707" s="1519" t="str">
        <f t="shared" si="179"/>
        <v/>
      </c>
      <c r="GQ707" s="1519" t="str">
        <f t="shared" si="180"/>
        <v/>
      </c>
      <c r="GR707" s="1519" t="str">
        <f t="shared" si="181"/>
        <v/>
      </c>
      <c r="GS707" s="1519" t="str">
        <f t="shared" si="182"/>
        <v/>
      </c>
      <c r="GT707" s="1519" t="str">
        <f t="shared" si="183"/>
        <v/>
      </c>
      <c r="GU707" s="1519" t="str">
        <f t="shared" si="184"/>
        <v/>
      </c>
      <c r="GV707" s="1519" t="str">
        <f t="shared" si="185"/>
        <v/>
      </c>
      <c r="GW707" s="1519" t="str">
        <f t="shared" si="186"/>
        <v/>
      </c>
      <c r="GX707" s="1519" t="str">
        <f t="shared" si="187"/>
        <v/>
      </c>
      <c r="GY707" s="1519" t="str">
        <f t="shared" si="188"/>
        <v/>
      </c>
      <c r="GZ707" s="1519" t="str">
        <f t="shared" si="189"/>
        <v/>
      </c>
      <c r="HA707" s="1519" t="str">
        <f t="shared" si="190"/>
        <v/>
      </c>
      <c r="HB707" s="1519" t="str">
        <f t="shared" si="191"/>
        <v/>
      </c>
      <c r="HC707" s="1519" t="str">
        <f t="shared" si="192"/>
        <v/>
      </c>
      <c r="HD707" s="1519" t="str">
        <f t="shared" si="193"/>
        <v/>
      </c>
      <c r="HE707" s="1519" t="str">
        <f t="shared" si="194"/>
        <v/>
      </c>
      <c r="HF707" s="1519" t="str">
        <f t="shared" si="195"/>
        <v/>
      </c>
      <c r="HG707" s="1519" t="str">
        <f t="shared" si="196"/>
        <v/>
      </c>
      <c r="HH707" s="1519" t="str">
        <f t="shared" si="197"/>
        <v/>
      </c>
      <c r="HI707" s="1519" t="str">
        <f t="shared" si="198"/>
        <v/>
      </c>
      <c r="HJ707" s="1519" t="str">
        <f t="shared" si="199"/>
        <v/>
      </c>
      <c r="HK707" s="1519" t="str">
        <f t="shared" si="200"/>
        <v/>
      </c>
      <c r="HL707" s="1519" t="str">
        <f t="shared" si="201"/>
        <v/>
      </c>
      <c r="HM707" s="1519" t="str">
        <f t="shared" si="202"/>
        <v/>
      </c>
      <c r="HN707" s="1519" t="str">
        <f t="shared" si="203"/>
        <v/>
      </c>
      <c r="HO707" s="1519" t="str">
        <f t="shared" si="204"/>
        <v/>
      </c>
      <c r="HP707" s="1519" t="str">
        <f t="shared" si="205"/>
        <v/>
      </c>
      <c r="HQ707" s="1519" t="str">
        <f t="shared" si="206"/>
        <v/>
      </c>
      <c r="HR707" s="1519" t="str">
        <f t="shared" si="207"/>
        <v/>
      </c>
      <c r="HS707" s="1519" t="str">
        <f t="shared" si="208"/>
        <v/>
      </c>
      <c r="HT707" s="1519" t="str">
        <f t="shared" si="209"/>
        <v/>
      </c>
      <c r="HU707" s="1519" t="str">
        <f t="shared" si="210"/>
        <v/>
      </c>
      <c r="HV707" s="1519" t="str">
        <f t="shared" si="211"/>
        <v/>
      </c>
      <c r="HW707" s="1519" t="str">
        <f t="shared" si="212"/>
        <v/>
      </c>
      <c r="HX707" s="1519" t="str">
        <f t="shared" si="213"/>
        <v/>
      </c>
      <c r="HY707" s="1519" t="str">
        <f t="shared" si="214"/>
        <v/>
      </c>
      <c r="HZ707" s="1519" t="str">
        <f t="shared" si="215"/>
        <v/>
      </c>
      <c r="IA707" s="1519" t="str">
        <f t="shared" si="216"/>
        <v/>
      </c>
      <c r="IB707" s="1519" t="str">
        <f t="shared" si="217"/>
        <v/>
      </c>
      <c r="IC707" s="1519" t="str">
        <f t="shared" si="218"/>
        <v/>
      </c>
      <c r="ID707" s="1520" t="str">
        <f t="shared" si="219"/>
        <v/>
      </c>
      <c r="IE707" s="1520" t="str">
        <f t="shared" si="220"/>
        <v/>
      </c>
      <c r="IF707" s="1520" t="str">
        <f t="shared" si="221"/>
        <v/>
      </c>
      <c r="IG707" s="1520" t="str">
        <f t="shared" si="222"/>
        <v/>
      </c>
      <c r="IH707" s="1520" t="str">
        <f t="shared" si="223"/>
        <v/>
      </c>
      <c r="II707" s="1271" t="str">
        <f t="shared" si="224"/>
        <v/>
      </c>
      <c r="IJ707" s="1271" t="str">
        <f t="shared" si="225"/>
        <v/>
      </c>
      <c r="IK707" s="1271" t="str">
        <f t="shared" si="226"/>
        <v/>
      </c>
      <c r="IL707" s="1271" t="str">
        <f t="shared" si="227"/>
        <v/>
      </c>
      <c r="IM707" s="1271" t="str">
        <f t="shared" si="228"/>
        <v/>
      </c>
      <c r="IN707" s="1271" t="str">
        <f t="shared" si="229"/>
        <v/>
      </c>
      <c r="IO707" s="1271" t="str">
        <f t="shared" si="230"/>
        <v/>
      </c>
      <c r="IP707" s="1271" t="str">
        <f t="shared" si="231"/>
        <v/>
      </c>
      <c r="IQ707" s="1271" t="str">
        <f t="shared" si="232"/>
        <v/>
      </c>
      <c r="IR707" s="1271" t="str">
        <f t="shared" si="233"/>
        <v/>
      </c>
      <c r="IS707" s="1271" t="str">
        <f t="shared" si="234"/>
        <v/>
      </c>
      <c r="IT707" s="1271" t="str">
        <f t="shared" si="235"/>
        <v/>
      </c>
      <c r="IU707" s="1271" t="str">
        <f t="shared" si="236"/>
        <v/>
      </c>
      <c r="IV707" s="1271" t="str">
        <f t="shared" si="237"/>
        <v/>
      </c>
      <c r="IW707" s="1271" t="str">
        <f t="shared" si="238"/>
        <v/>
      </c>
      <c r="IX707" s="1271" t="str">
        <f t="shared" si="239"/>
        <v/>
      </c>
      <c r="IY707" s="1271" t="str">
        <f t="shared" si="240"/>
        <v/>
      </c>
      <c r="IZ707" s="1271" t="str">
        <f t="shared" si="241"/>
        <v/>
      </c>
      <c r="JA707" s="1271" t="str">
        <f t="shared" si="242"/>
        <v/>
      </c>
      <c r="JB707" s="1271" t="str">
        <f t="shared" si="243"/>
        <v/>
      </c>
      <c r="JC707" s="1518">
        <f t="shared" si="244"/>
        <v>0</v>
      </c>
      <c r="JD707" s="1518">
        <f t="shared" si="245"/>
        <v>0</v>
      </c>
      <c r="JE707" s="1518">
        <f t="shared" si="246"/>
        <v>0</v>
      </c>
      <c r="JF707" s="1518">
        <f t="shared" si="247"/>
        <v>0</v>
      </c>
      <c r="JG707" s="1518">
        <f t="shared" si="248"/>
        <v>0</v>
      </c>
      <c r="JH707" s="1518">
        <f t="shared" si="249"/>
        <v>0</v>
      </c>
      <c r="JI707" s="1518">
        <f t="shared" si="250"/>
        <v>0</v>
      </c>
      <c r="JJ707" s="1518">
        <f t="shared" si="251"/>
        <v>0</v>
      </c>
      <c r="JK707" s="1518">
        <f t="shared" si="252"/>
        <v>0</v>
      </c>
      <c r="JL707" s="1518">
        <f t="shared" si="253"/>
        <v>0</v>
      </c>
      <c r="JM707" s="1518">
        <f t="shared" si="254"/>
        <v>0</v>
      </c>
      <c r="JN707" s="1518">
        <f t="shared" si="255"/>
        <v>0</v>
      </c>
      <c r="JO707" s="1518">
        <f t="shared" si="256"/>
        <v>0</v>
      </c>
      <c r="JP707" s="1518">
        <f t="shared" si="257"/>
        <v>0</v>
      </c>
      <c r="JQ707" s="1518">
        <f t="shared" si="258"/>
        <v>0</v>
      </c>
    </row>
    <row r="708" spans="1:278" ht="12" customHeight="1">
      <c r="A708" s="1687" t="str">
        <f t="shared" si="1"/>
        <v/>
      </c>
      <c r="B708" s="1702" t="str">
        <f>'Part VI-Revenues &amp; Expenses'!B47</f>
        <v>&lt;&lt;Select&gt;&gt;</v>
      </c>
      <c r="C708" s="1703">
        <f>'Part VI-Revenues &amp; Expenses'!C47</f>
        <v>0</v>
      </c>
      <c r="D708" s="1704">
        <f>'Part VI-Revenues &amp; Expenses'!D47</f>
        <v>0</v>
      </c>
      <c r="E708" s="1705">
        <f>'Part VI-Revenues &amp; Expenses'!E47</f>
        <v>0</v>
      </c>
      <c r="F708" s="1705">
        <f>'Part VI-Revenues &amp; Expenses'!F47</f>
        <v>0</v>
      </c>
      <c r="G708" s="1705">
        <f>'Part VI-Revenues &amp; Expenses'!G47</f>
        <v>0</v>
      </c>
      <c r="H708" s="1705">
        <f>'Part VI-Revenues &amp; Expenses'!H47</f>
        <v>0</v>
      </c>
      <c r="I708" s="1705">
        <f>'Part VI-Revenues &amp; Expenses'!I47</f>
        <v>0</v>
      </c>
      <c r="J708" s="1706">
        <f>'Part VI-Revenues &amp; Expenses'!J47</f>
        <v>0</v>
      </c>
      <c r="K708" s="1707">
        <f t="shared" si="2"/>
        <v>0</v>
      </c>
      <c r="L708" s="1707">
        <f t="shared" si="3"/>
        <v>0</v>
      </c>
      <c r="M708" s="1708">
        <f>'Part VI-Revenues &amp; Expenses'!M47</f>
        <v>0</v>
      </c>
      <c r="N708" s="1708">
        <f>'Part VI-Revenues &amp; Expenses'!N47</f>
        <v>0</v>
      </c>
      <c r="O708" s="1708">
        <f>'Part VI-Revenues &amp; Expenses'!O47</f>
        <v>0</v>
      </c>
      <c r="P708" s="1515">
        <f>'Part VI-Revenues &amp; Expenses'!P47</f>
        <v>0</v>
      </c>
      <c r="Q708" s="1709" t="str">
        <f>'Part VI-Revenues &amp; Expenses'!Q47</f>
        <v/>
      </c>
      <c r="R708" s="1710" t="str">
        <f>'Part VI-Revenues &amp; Expenses'!R47</f>
        <v/>
      </c>
      <c r="S708" s="1709">
        <f>'Part VI-Revenues &amp; Expenses'!S47</f>
        <v>0</v>
      </c>
      <c r="T708" s="1710">
        <f>'Part VI-Revenues &amp; Expenses'!T47</f>
        <v>0</v>
      </c>
      <c r="U708" s="1629"/>
      <c r="V708" s="1629"/>
      <c r="W708" s="1271" t="str">
        <f t="shared" si="4"/>
        <v/>
      </c>
      <c r="X708" s="1271" t="str">
        <f t="shared" si="5"/>
        <v/>
      </c>
      <c r="Y708" s="1271" t="str">
        <f t="shared" si="6"/>
        <v/>
      </c>
      <c r="Z708" s="1271" t="str">
        <f t="shared" si="7"/>
        <v/>
      </c>
      <c r="AA708" s="1271" t="str">
        <f t="shared" si="8"/>
        <v/>
      </c>
      <c r="AB708" s="1271" t="str">
        <f t="shared" si="9"/>
        <v/>
      </c>
      <c r="AC708" s="1271" t="str">
        <f t="shared" si="10"/>
        <v/>
      </c>
      <c r="AD708" s="1271" t="str">
        <f t="shared" si="11"/>
        <v/>
      </c>
      <c r="AE708" s="1271" t="str">
        <f t="shared" si="12"/>
        <v/>
      </c>
      <c r="AF708" s="1271" t="str">
        <f t="shared" si="13"/>
        <v/>
      </c>
      <c r="AG708" s="1271" t="str">
        <f t="shared" si="14"/>
        <v/>
      </c>
      <c r="AH708" s="1271" t="str">
        <f t="shared" si="15"/>
        <v/>
      </c>
      <c r="AI708" s="1271" t="str">
        <f t="shared" si="16"/>
        <v/>
      </c>
      <c r="AJ708" s="1271" t="str">
        <f t="shared" si="17"/>
        <v/>
      </c>
      <c r="AK708" s="1271" t="str">
        <f t="shared" si="18"/>
        <v/>
      </c>
      <c r="AL708" s="1271" t="str">
        <f t="shared" si="19"/>
        <v/>
      </c>
      <c r="AM708" s="1271" t="str">
        <f t="shared" si="20"/>
        <v/>
      </c>
      <c r="AN708" s="1271" t="str">
        <f t="shared" si="21"/>
        <v/>
      </c>
      <c r="AO708" s="1271" t="str">
        <f t="shared" si="22"/>
        <v/>
      </c>
      <c r="AP708" s="1271" t="str">
        <f t="shared" si="23"/>
        <v/>
      </c>
      <c r="AQ708" s="1271" t="str">
        <f t="shared" si="24"/>
        <v/>
      </c>
      <c r="AR708" s="1271" t="str">
        <f t="shared" si="25"/>
        <v/>
      </c>
      <c r="AS708" s="1271" t="str">
        <f t="shared" si="26"/>
        <v/>
      </c>
      <c r="AT708" s="1271" t="str">
        <f t="shared" si="27"/>
        <v/>
      </c>
      <c r="AU708" s="1271" t="str">
        <f t="shared" si="28"/>
        <v/>
      </c>
      <c r="AV708" s="1271" t="str">
        <f t="shared" si="29"/>
        <v/>
      </c>
      <c r="AW708" s="1271" t="str">
        <f t="shared" si="30"/>
        <v/>
      </c>
      <c r="AX708" s="1271" t="str">
        <f t="shared" si="31"/>
        <v/>
      </c>
      <c r="AY708" s="1271" t="str">
        <f t="shared" si="32"/>
        <v/>
      </c>
      <c r="AZ708" s="1271" t="str">
        <f t="shared" si="33"/>
        <v/>
      </c>
      <c r="BA708" s="1271" t="str">
        <f t="shared" si="34"/>
        <v/>
      </c>
      <c r="BB708" s="1271" t="str">
        <f t="shared" si="35"/>
        <v/>
      </c>
      <c r="BC708" s="1271" t="str">
        <f t="shared" si="36"/>
        <v/>
      </c>
      <c r="BD708" s="1271" t="str">
        <f t="shared" si="37"/>
        <v/>
      </c>
      <c r="BE708" s="1271" t="str">
        <f t="shared" si="38"/>
        <v/>
      </c>
      <c r="BF708" s="1271" t="str">
        <f t="shared" si="39"/>
        <v/>
      </c>
      <c r="BG708" s="1271" t="str">
        <f t="shared" si="40"/>
        <v/>
      </c>
      <c r="BH708" s="1271" t="str">
        <f t="shared" si="41"/>
        <v/>
      </c>
      <c r="BI708" s="1271" t="str">
        <f t="shared" si="42"/>
        <v/>
      </c>
      <c r="BJ708" s="1271" t="str">
        <f t="shared" si="43"/>
        <v/>
      </c>
      <c r="BK708" s="1271" t="str">
        <f t="shared" si="44"/>
        <v/>
      </c>
      <c r="BL708" s="1271" t="str">
        <f t="shared" si="45"/>
        <v/>
      </c>
      <c r="BM708" s="1271" t="str">
        <f t="shared" si="46"/>
        <v/>
      </c>
      <c r="BN708" s="1271" t="str">
        <f t="shared" si="47"/>
        <v/>
      </c>
      <c r="BO708" s="1271" t="str">
        <f t="shared" si="48"/>
        <v/>
      </c>
      <c r="BP708" s="1271" t="str">
        <f t="shared" si="49"/>
        <v/>
      </c>
      <c r="BQ708" s="1271" t="str">
        <f t="shared" si="50"/>
        <v/>
      </c>
      <c r="BR708" s="1271" t="str">
        <f t="shared" si="51"/>
        <v/>
      </c>
      <c r="BS708" s="1271" t="str">
        <f t="shared" si="52"/>
        <v/>
      </c>
      <c r="BT708" s="1271" t="str">
        <f t="shared" si="53"/>
        <v/>
      </c>
      <c r="BU708" s="1271" t="str">
        <f t="shared" si="54"/>
        <v/>
      </c>
      <c r="BV708" s="1271" t="str">
        <f t="shared" si="55"/>
        <v/>
      </c>
      <c r="BW708" s="1271" t="str">
        <f t="shared" si="56"/>
        <v/>
      </c>
      <c r="BX708" s="1271" t="str">
        <f t="shared" si="57"/>
        <v/>
      </c>
      <c r="BY708" s="1271" t="str">
        <f t="shared" si="58"/>
        <v/>
      </c>
      <c r="BZ708" s="1271" t="str">
        <f t="shared" si="59"/>
        <v/>
      </c>
      <c r="CA708" s="1271" t="str">
        <f t="shared" si="60"/>
        <v/>
      </c>
      <c r="CB708" s="1271" t="str">
        <f t="shared" si="61"/>
        <v/>
      </c>
      <c r="CC708" s="1271" t="str">
        <f t="shared" si="62"/>
        <v/>
      </c>
      <c r="CD708" s="1271" t="str">
        <f t="shared" si="63"/>
        <v/>
      </c>
      <c r="CE708" s="1271" t="str">
        <f t="shared" si="64"/>
        <v/>
      </c>
      <c r="CF708" s="1271" t="str">
        <f t="shared" si="65"/>
        <v/>
      </c>
      <c r="CG708" s="1271" t="str">
        <f t="shared" si="66"/>
        <v/>
      </c>
      <c r="CH708" s="1271" t="str">
        <f t="shared" si="67"/>
        <v/>
      </c>
      <c r="CI708" s="1271" t="str">
        <f t="shared" si="68"/>
        <v/>
      </c>
      <c r="CJ708" s="1271" t="str">
        <f t="shared" si="69"/>
        <v/>
      </c>
      <c r="CK708" s="1271" t="str">
        <f t="shared" si="70"/>
        <v/>
      </c>
      <c r="CL708" s="1271" t="str">
        <f t="shared" si="71"/>
        <v/>
      </c>
      <c r="CM708" s="1271" t="str">
        <f t="shared" si="72"/>
        <v/>
      </c>
      <c r="CN708" s="1271" t="str">
        <f t="shared" si="73"/>
        <v/>
      </c>
      <c r="CO708" s="1271" t="str">
        <f t="shared" si="74"/>
        <v/>
      </c>
      <c r="CP708" s="1271" t="str">
        <f t="shared" si="75"/>
        <v/>
      </c>
      <c r="CQ708" s="1271" t="str">
        <f t="shared" si="76"/>
        <v/>
      </c>
      <c r="CR708" s="1271" t="str">
        <f t="shared" si="77"/>
        <v/>
      </c>
      <c r="CS708" s="1271" t="str">
        <f t="shared" si="78"/>
        <v/>
      </c>
      <c r="CT708" s="1271" t="str">
        <f t="shared" si="79"/>
        <v/>
      </c>
      <c r="CU708" s="1271" t="str">
        <f t="shared" si="80"/>
        <v/>
      </c>
      <c r="CV708" s="1271" t="str">
        <f t="shared" si="81"/>
        <v/>
      </c>
      <c r="CW708" s="1271" t="str">
        <f t="shared" si="82"/>
        <v/>
      </c>
      <c r="CX708" s="1271" t="str">
        <f t="shared" si="83"/>
        <v/>
      </c>
      <c r="CY708" s="1271" t="str">
        <f t="shared" si="84"/>
        <v/>
      </c>
      <c r="CZ708" s="1271" t="str">
        <f t="shared" si="85"/>
        <v/>
      </c>
      <c r="DA708" s="1271" t="str">
        <f t="shared" si="86"/>
        <v/>
      </c>
      <c r="DB708" s="1271" t="str">
        <f t="shared" si="87"/>
        <v/>
      </c>
      <c r="DC708" s="1271" t="str">
        <f t="shared" si="88"/>
        <v/>
      </c>
      <c r="DD708" s="1271" t="str">
        <f t="shared" si="89"/>
        <v/>
      </c>
      <c r="DE708" s="1271" t="str">
        <f t="shared" si="90"/>
        <v/>
      </c>
      <c r="DF708" s="1271" t="str">
        <f t="shared" si="91"/>
        <v/>
      </c>
      <c r="DG708" s="1271" t="str">
        <f t="shared" si="92"/>
        <v/>
      </c>
      <c r="DH708" s="1271" t="str">
        <f t="shared" si="93"/>
        <v/>
      </c>
      <c r="DI708" s="1271" t="str">
        <f t="shared" si="94"/>
        <v/>
      </c>
      <c r="DJ708" s="1271" t="str">
        <f t="shared" si="95"/>
        <v/>
      </c>
      <c r="DK708" s="1271" t="str">
        <f t="shared" si="96"/>
        <v/>
      </c>
      <c r="DL708" s="1271" t="str">
        <f t="shared" si="97"/>
        <v/>
      </c>
      <c r="DM708" s="1271" t="str">
        <f t="shared" si="98"/>
        <v/>
      </c>
      <c r="DN708" s="1271" t="str">
        <f t="shared" si="99"/>
        <v/>
      </c>
      <c r="DO708" s="1271" t="str">
        <f t="shared" si="100"/>
        <v/>
      </c>
      <c r="DP708" s="1271" t="str">
        <f t="shared" si="101"/>
        <v/>
      </c>
      <c r="DQ708" s="1271" t="str">
        <f t="shared" si="102"/>
        <v/>
      </c>
      <c r="DR708" s="1271" t="str">
        <f t="shared" si="103"/>
        <v/>
      </c>
      <c r="DS708" s="1271" t="str">
        <f t="shared" si="104"/>
        <v/>
      </c>
      <c r="DT708" s="1271" t="str">
        <f t="shared" si="105"/>
        <v/>
      </c>
      <c r="DU708" s="1271" t="str">
        <f t="shared" si="106"/>
        <v/>
      </c>
      <c r="DV708" s="1271" t="str">
        <f t="shared" si="107"/>
        <v/>
      </c>
      <c r="DW708" s="1271" t="str">
        <f t="shared" si="108"/>
        <v/>
      </c>
      <c r="DX708" s="1271" t="str">
        <f t="shared" si="109"/>
        <v/>
      </c>
      <c r="DY708" s="1271" t="str">
        <f t="shared" si="110"/>
        <v/>
      </c>
      <c r="DZ708" s="1271" t="str">
        <f t="shared" si="111"/>
        <v/>
      </c>
      <c r="EA708" s="1271" t="str">
        <f t="shared" si="112"/>
        <v/>
      </c>
      <c r="EB708" s="1271" t="str">
        <f t="shared" si="113"/>
        <v/>
      </c>
      <c r="EC708" s="1271" t="str">
        <f t="shared" si="114"/>
        <v/>
      </c>
      <c r="ED708" s="1271" t="str">
        <f t="shared" si="115"/>
        <v/>
      </c>
      <c r="EE708" s="1271" t="str">
        <f t="shared" si="116"/>
        <v/>
      </c>
      <c r="EF708" s="1271" t="str">
        <f t="shared" si="117"/>
        <v/>
      </c>
      <c r="EG708" s="1271" t="str">
        <f t="shared" si="118"/>
        <v/>
      </c>
      <c r="EH708" s="1271" t="str">
        <f t="shared" si="119"/>
        <v/>
      </c>
      <c r="EI708" s="1271" t="str">
        <f t="shared" si="120"/>
        <v/>
      </c>
      <c r="EJ708" s="1271" t="str">
        <f t="shared" si="121"/>
        <v/>
      </c>
      <c r="EK708" s="1271" t="str">
        <f t="shared" si="122"/>
        <v/>
      </c>
      <c r="EL708" s="1271" t="str">
        <f t="shared" si="123"/>
        <v/>
      </c>
      <c r="EM708" s="1271" t="str">
        <f t="shared" si="124"/>
        <v/>
      </c>
      <c r="EN708" s="1271" t="str">
        <f t="shared" si="125"/>
        <v/>
      </c>
      <c r="EO708" s="1271" t="str">
        <f t="shared" si="126"/>
        <v/>
      </c>
      <c r="EP708" s="1271" t="str">
        <f t="shared" si="127"/>
        <v/>
      </c>
      <c r="EQ708" s="1271" t="str">
        <f t="shared" si="128"/>
        <v/>
      </c>
      <c r="ER708" s="1271" t="str">
        <f t="shared" si="129"/>
        <v/>
      </c>
      <c r="ES708" s="1271" t="str">
        <f t="shared" si="130"/>
        <v/>
      </c>
      <c r="ET708" s="1271" t="str">
        <f t="shared" si="131"/>
        <v/>
      </c>
      <c r="EU708" s="1271" t="str">
        <f t="shared" si="132"/>
        <v/>
      </c>
      <c r="EV708" s="1271" t="str">
        <f t="shared" si="133"/>
        <v/>
      </c>
      <c r="EW708" s="1519" t="str">
        <f t="shared" si="134"/>
        <v/>
      </c>
      <c r="EX708" s="1519" t="str">
        <f t="shared" si="135"/>
        <v/>
      </c>
      <c r="EY708" s="1519" t="str">
        <f t="shared" si="136"/>
        <v/>
      </c>
      <c r="EZ708" s="1519" t="str">
        <f t="shared" si="137"/>
        <v/>
      </c>
      <c r="FA708" s="1519" t="str">
        <f t="shared" si="138"/>
        <v/>
      </c>
      <c r="FB708" s="1519" t="str">
        <f t="shared" si="139"/>
        <v/>
      </c>
      <c r="FC708" s="1519" t="str">
        <f t="shared" si="140"/>
        <v/>
      </c>
      <c r="FD708" s="1519" t="str">
        <f t="shared" si="141"/>
        <v/>
      </c>
      <c r="FE708" s="1519" t="str">
        <f t="shared" si="142"/>
        <v/>
      </c>
      <c r="FF708" s="1519" t="str">
        <f t="shared" si="143"/>
        <v/>
      </c>
      <c r="FG708" s="1519" t="str">
        <f t="shared" si="144"/>
        <v/>
      </c>
      <c r="FH708" s="1519" t="str">
        <f t="shared" si="145"/>
        <v/>
      </c>
      <c r="FI708" s="1519" t="str">
        <f t="shared" si="146"/>
        <v/>
      </c>
      <c r="FJ708" s="1519" t="str">
        <f t="shared" si="147"/>
        <v/>
      </c>
      <c r="FK708" s="1519" t="str">
        <f t="shared" si="148"/>
        <v/>
      </c>
      <c r="FL708" s="1519" t="str">
        <f t="shared" si="149"/>
        <v/>
      </c>
      <c r="FM708" s="1519" t="str">
        <f t="shared" si="150"/>
        <v/>
      </c>
      <c r="FN708" s="1519" t="str">
        <f t="shared" si="151"/>
        <v/>
      </c>
      <c r="FO708" s="1519" t="str">
        <f t="shared" si="152"/>
        <v/>
      </c>
      <c r="FP708" s="1519" t="str">
        <f t="shared" si="153"/>
        <v/>
      </c>
      <c r="FQ708" s="1519" t="str">
        <f t="shared" si="154"/>
        <v/>
      </c>
      <c r="FR708" s="1519" t="str">
        <f t="shared" si="155"/>
        <v/>
      </c>
      <c r="FS708" s="1519" t="str">
        <f t="shared" si="156"/>
        <v/>
      </c>
      <c r="FT708" s="1519" t="str">
        <f t="shared" si="157"/>
        <v/>
      </c>
      <c r="FU708" s="1519" t="str">
        <f t="shared" si="158"/>
        <v/>
      </c>
      <c r="FV708" s="1519" t="str">
        <f t="shared" si="159"/>
        <v/>
      </c>
      <c r="FW708" s="1519" t="str">
        <f t="shared" si="160"/>
        <v/>
      </c>
      <c r="FX708" s="1519" t="str">
        <f t="shared" si="161"/>
        <v/>
      </c>
      <c r="FY708" s="1519" t="str">
        <f t="shared" si="162"/>
        <v/>
      </c>
      <c r="FZ708" s="1519" t="str">
        <f t="shared" si="163"/>
        <v/>
      </c>
      <c r="GA708" s="1519" t="str">
        <f t="shared" si="164"/>
        <v/>
      </c>
      <c r="GB708" s="1519" t="str">
        <f t="shared" si="165"/>
        <v/>
      </c>
      <c r="GC708" s="1519" t="str">
        <f t="shared" si="166"/>
        <v/>
      </c>
      <c r="GD708" s="1519" t="str">
        <f t="shared" si="167"/>
        <v/>
      </c>
      <c r="GE708" s="1519" t="str">
        <f t="shared" si="168"/>
        <v/>
      </c>
      <c r="GF708" s="1519" t="str">
        <f t="shared" si="169"/>
        <v/>
      </c>
      <c r="GG708" s="1519" t="str">
        <f t="shared" si="170"/>
        <v/>
      </c>
      <c r="GH708" s="1519" t="str">
        <f t="shared" si="171"/>
        <v/>
      </c>
      <c r="GI708" s="1519" t="str">
        <f t="shared" si="172"/>
        <v/>
      </c>
      <c r="GJ708" s="1519" t="str">
        <f t="shared" si="173"/>
        <v/>
      </c>
      <c r="GK708" s="1519" t="str">
        <f t="shared" si="174"/>
        <v/>
      </c>
      <c r="GL708" s="1519" t="str">
        <f t="shared" si="175"/>
        <v/>
      </c>
      <c r="GM708" s="1519" t="str">
        <f t="shared" si="176"/>
        <v/>
      </c>
      <c r="GN708" s="1519" t="str">
        <f t="shared" si="177"/>
        <v/>
      </c>
      <c r="GO708" s="1519" t="str">
        <f t="shared" si="178"/>
        <v/>
      </c>
      <c r="GP708" s="1519" t="str">
        <f t="shared" si="179"/>
        <v/>
      </c>
      <c r="GQ708" s="1519" t="str">
        <f t="shared" si="180"/>
        <v/>
      </c>
      <c r="GR708" s="1519" t="str">
        <f t="shared" si="181"/>
        <v/>
      </c>
      <c r="GS708" s="1519" t="str">
        <f t="shared" si="182"/>
        <v/>
      </c>
      <c r="GT708" s="1519" t="str">
        <f t="shared" si="183"/>
        <v/>
      </c>
      <c r="GU708" s="1519" t="str">
        <f t="shared" si="184"/>
        <v/>
      </c>
      <c r="GV708" s="1519" t="str">
        <f t="shared" si="185"/>
        <v/>
      </c>
      <c r="GW708" s="1519" t="str">
        <f t="shared" si="186"/>
        <v/>
      </c>
      <c r="GX708" s="1519" t="str">
        <f t="shared" si="187"/>
        <v/>
      </c>
      <c r="GY708" s="1519" t="str">
        <f t="shared" si="188"/>
        <v/>
      </c>
      <c r="GZ708" s="1519" t="str">
        <f t="shared" si="189"/>
        <v/>
      </c>
      <c r="HA708" s="1519" t="str">
        <f t="shared" si="190"/>
        <v/>
      </c>
      <c r="HB708" s="1519" t="str">
        <f t="shared" si="191"/>
        <v/>
      </c>
      <c r="HC708" s="1519" t="str">
        <f t="shared" si="192"/>
        <v/>
      </c>
      <c r="HD708" s="1519" t="str">
        <f t="shared" si="193"/>
        <v/>
      </c>
      <c r="HE708" s="1519" t="str">
        <f t="shared" si="194"/>
        <v/>
      </c>
      <c r="HF708" s="1519" t="str">
        <f t="shared" si="195"/>
        <v/>
      </c>
      <c r="HG708" s="1519" t="str">
        <f t="shared" si="196"/>
        <v/>
      </c>
      <c r="HH708" s="1519" t="str">
        <f t="shared" si="197"/>
        <v/>
      </c>
      <c r="HI708" s="1519" t="str">
        <f t="shared" si="198"/>
        <v/>
      </c>
      <c r="HJ708" s="1519" t="str">
        <f t="shared" si="199"/>
        <v/>
      </c>
      <c r="HK708" s="1519" t="str">
        <f t="shared" si="200"/>
        <v/>
      </c>
      <c r="HL708" s="1519" t="str">
        <f t="shared" si="201"/>
        <v/>
      </c>
      <c r="HM708" s="1519" t="str">
        <f t="shared" si="202"/>
        <v/>
      </c>
      <c r="HN708" s="1519" t="str">
        <f t="shared" si="203"/>
        <v/>
      </c>
      <c r="HO708" s="1519" t="str">
        <f t="shared" si="204"/>
        <v/>
      </c>
      <c r="HP708" s="1519" t="str">
        <f t="shared" si="205"/>
        <v/>
      </c>
      <c r="HQ708" s="1519" t="str">
        <f t="shared" si="206"/>
        <v/>
      </c>
      <c r="HR708" s="1519" t="str">
        <f t="shared" si="207"/>
        <v/>
      </c>
      <c r="HS708" s="1519" t="str">
        <f t="shared" si="208"/>
        <v/>
      </c>
      <c r="HT708" s="1519" t="str">
        <f t="shared" si="209"/>
        <v/>
      </c>
      <c r="HU708" s="1519" t="str">
        <f t="shared" si="210"/>
        <v/>
      </c>
      <c r="HV708" s="1519" t="str">
        <f t="shared" si="211"/>
        <v/>
      </c>
      <c r="HW708" s="1519" t="str">
        <f t="shared" si="212"/>
        <v/>
      </c>
      <c r="HX708" s="1519" t="str">
        <f t="shared" si="213"/>
        <v/>
      </c>
      <c r="HY708" s="1519" t="str">
        <f t="shared" si="214"/>
        <v/>
      </c>
      <c r="HZ708" s="1519" t="str">
        <f t="shared" si="215"/>
        <v/>
      </c>
      <c r="IA708" s="1519" t="str">
        <f t="shared" si="216"/>
        <v/>
      </c>
      <c r="IB708" s="1519" t="str">
        <f t="shared" si="217"/>
        <v/>
      </c>
      <c r="IC708" s="1519" t="str">
        <f t="shared" si="218"/>
        <v/>
      </c>
      <c r="ID708" s="1520" t="str">
        <f t="shared" si="219"/>
        <v/>
      </c>
      <c r="IE708" s="1520" t="str">
        <f t="shared" si="220"/>
        <v/>
      </c>
      <c r="IF708" s="1520" t="str">
        <f t="shared" si="221"/>
        <v/>
      </c>
      <c r="IG708" s="1520" t="str">
        <f t="shared" si="222"/>
        <v/>
      </c>
      <c r="IH708" s="1520" t="str">
        <f t="shared" si="223"/>
        <v/>
      </c>
      <c r="II708" s="1271" t="str">
        <f t="shared" si="224"/>
        <v/>
      </c>
      <c r="IJ708" s="1271" t="str">
        <f t="shared" si="225"/>
        <v/>
      </c>
      <c r="IK708" s="1271" t="str">
        <f t="shared" si="226"/>
        <v/>
      </c>
      <c r="IL708" s="1271" t="str">
        <f t="shared" si="227"/>
        <v/>
      </c>
      <c r="IM708" s="1271" t="str">
        <f t="shared" si="228"/>
        <v/>
      </c>
      <c r="IN708" s="1271" t="str">
        <f t="shared" si="229"/>
        <v/>
      </c>
      <c r="IO708" s="1271" t="str">
        <f t="shared" si="230"/>
        <v/>
      </c>
      <c r="IP708" s="1271" t="str">
        <f t="shared" si="231"/>
        <v/>
      </c>
      <c r="IQ708" s="1271" t="str">
        <f t="shared" si="232"/>
        <v/>
      </c>
      <c r="IR708" s="1271" t="str">
        <f t="shared" si="233"/>
        <v/>
      </c>
      <c r="IS708" s="1271" t="str">
        <f t="shared" si="234"/>
        <v/>
      </c>
      <c r="IT708" s="1271" t="str">
        <f t="shared" si="235"/>
        <v/>
      </c>
      <c r="IU708" s="1271" t="str">
        <f t="shared" si="236"/>
        <v/>
      </c>
      <c r="IV708" s="1271" t="str">
        <f t="shared" si="237"/>
        <v/>
      </c>
      <c r="IW708" s="1271" t="str">
        <f t="shared" si="238"/>
        <v/>
      </c>
      <c r="IX708" s="1271" t="str">
        <f t="shared" si="239"/>
        <v/>
      </c>
      <c r="IY708" s="1271" t="str">
        <f t="shared" si="240"/>
        <v/>
      </c>
      <c r="IZ708" s="1271" t="str">
        <f t="shared" si="241"/>
        <v/>
      </c>
      <c r="JA708" s="1271" t="str">
        <f t="shared" si="242"/>
        <v/>
      </c>
      <c r="JB708" s="1271" t="str">
        <f t="shared" si="243"/>
        <v/>
      </c>
      <c r="JC708" s="1518">
        <f t="shared" si="244"/>
        <v>0</v>
      </c>
      <c r="JD708" s="1518">
        <f t="shared" si="245"/>
        <v>0</v>
      </c>
      <c r="JE708" s="1518">
        <f t="shared" si="246"/>
        <v>0</v>
      </c>
      <c r="JF708" s="1518">
        <f t="shared" si="247"/>
        <v>0</v>
      </c>
      <c r="JG708" s="1518">
        <f t="shared" si="248"/>
        <v>0</v>
      </c>
      <c r="JH708" s="1518">
        <f t="shared" si="249"/>
        <v>0</v>
      </c>
      <c r="JI708" s="1518">
        <f t="shared" si="250"/>
        <v>0</v>
      </c>
      <c r="JJ708" s="1518">
        <f t="shared" si="251"/>
        <v>0</v>
      </c>
      <c r="JK708" s="1518">
        <f t="shared" si="252"/>
        <v>0</v>
      </c>
      <c r="JL708" s="1518">
        <f t="shared" si="253"/>
        <v>0</v>
      </c>
      <c r="JM708" s="1518">
        <f t="shared" si="254"/>
        <v>0</v>
      </c>
      <c r="JN708" s="1518">
        <f t="shared" si="255"/>
        <v>0</v>
      </c>
      <c r="JO708" s="1518">
        <f t="shared" si="256"/>
        <v>0</v>
      </c>
      <c r="JP708" s="1518">
        <f t="shared" si="257"/>
        <v>0</v>
      </c>
      <c r="JQ708" s="1518">
        <f t="shared" si="258"/>
        <v>0</v>
      </c>
    </row>
    <row r="709" spans="1:278" ht="12" customHeight="1">
      <c r="A709" s="1687">
        <f>COUNT(A671,A672,A673,A674,A675,A676,A677,A678,A679,A680,A681,A682,A683,A684,A685,A686,A687,A688,A689,A690,A691,A692,A693,A694,A695,A696,A697,A698,A699,A700)</f>
        <v>0</v>
      </c>
      <c r="B709" s="518"/>
      <c r="C709" s="518"/>
      <c r="D709" s="1711" t="s">
        <v>1062</v>
      </c>
      <c r="E709" s="1712">
        <f>SUM(E671:E708)</f>
        <v>162</v>
      </c>
      <c r="F709" s="1713">
        <f>(E671*F671+E672*F672+E673*F673+E674*F674+E675*F675+E676*F676+E677*F677+E678*F678+E679*F679+E680*F680+E681*F681+E682*F682+E683*F683+E684*F684+E685*F685+E686*F686+E687*F687+E688*F688+E689*F689+E690*F690+E691*F691+E692*F692+E693*F693+E694*F694+E695*F695+E696*F696+E697*F697+E698*F698+E699*F699+E700*F700+E701*F701+E702*F702+E703*F703+E704*F704+E705*F705+E706*F706+E707*F707+E708*F708)</f>
        <v>134359</v>
      </c>
      <c r="G709" s="520"/>
      <c r="H709" s="520"/>
      <c r="I709" s="520"/>
      <c r="J709" s="520"/>
      <c r="K709" s="1714" t="s">
        <v>1358</v>
      </c>
      <c r="L709" s="1712">
        <f>SUM(L671:L708)</f>
        <v>118449</v>
      </c>
      <c r="M709" s="518"/>
      <c r="N709" s="518"/>
      <c r="O709" s="518"/>
      <c r="P709" s="518"/>
      <c r="Q709" s="518"/>
      <c r="R709" s="518"/>
      <c r="S709" s="518"/>
      <c r="T709" s="518"/>
      <c r="U709" s="1692"/>
      <c r="V709" s="1521"/>
      <c r="W709" s="1521">
        <f t="shared" ref="W709:CH709" si="259">SUM(W671:W708)</f>
        <v>0</v>
      </c>
      <c r="X709" s="1521">
        <f t="shared" si="259"/>
        <v>111</v>
      </c>
      <c r="Y709" s="1521">
        <f t="shared" si="259"/>
        <v>18</v>
      </c>
      <c r="Z709" s="1521">
        <f t="shared" si="259"/>
        <v>0</v>
      </c>
      <c r="AA709" s="1521">
        <f t="shared" si="259"/>
        <v>0</v>
      </c>
      <c r="AB709" s="1521">
        <f t="shared" si="259"/>
        <v>0</v>
      </c>
      <c r="AC709" s="1521">
        <f t="shared" si="259"/>
        <v>28</v>
      </c>
      <c r="AD709" s="1521">
        <f t="shared" si="259"/>
        <v>5</v>
      </c>
      <c r="AE709" s="1521">
        <f t="shared" si="259"/>
        <v>0</v>
      </c>
      <c r="AF709" s="1521">
        <f t="shared" si="259"/>
        <v>0</v>
      </c>
      <c r="AG709" s="1521">
        <f t="shared" si="259"/>
        <v>0</v>
      </c>
      <c r="AH709" s="1521">
        <f t="shared" si="259"/>
        <v>0</v>
      </c>
      <c r="AI709" s="1521">
        <f t="shared" si="259"/>
        <v>0</v>
      </c>
      <c r="AJ709" s="1521">
        <f t="shared" si="259"/>
        <v>0</v>
      </c>
      <c r="AK709" s="1521">
        <f t="shared" si="259"/>
        <v>0</v>
      </c>
      <c r="AL709" s="1521">
        <f t="shared" si="259"/>
        <v>0</v>
      </c>
      <c r="AM709" s="1521">
        <f t="shared" si="259"/>
        <v>0</v>
      </c>
      <c r="AN709" s="1521">
        <f t="shared" si="259"/>
        <v>0</v>
      </c>
      <c r="AO709" s="1521">
        <f t="shared" si="259"/>
        <v>0</v>
      </c>
      <c r="AP709" s="1521">
        <f t="shared" si="259"/>
        <v>0</v>
      </c>
      <c r="AQ709" s="1521">
        <f t="shared" si="259"/>
        <v>0</v>
      </c>
      <c r="AR709" s="1521">
        <f t="shared" si="259"/>
        <v>0</v>
      </c>
      <c r="AS709" s="1521">
        <f t="shared" si="259"/>
        <v>0</v>
      </c>
      <c r="AT709" s="1521">
        <f t="shared" si="259"/>
        <v>0</v>
      </c>
      <c r="AU709" s="1521">
        <f t="shared" si="259"/>
        <v>0</v>
      </c>
      <c r="AV709" s="1521">
        <f t="shared" si="259"/>
        <v>0</v>
      </c>
      <c r="AW709" s="1521">
        <f t="shared" si="259"/>
        <v>28</v>
      </c>
      <c r="AX709" s="1521">
        <f t="shared" si="259"/>
        <v>5</v>
      </c>
      <c r="AY709" s="1521">
        <f t="shared" si="259"/>
        <v>0</v>
      </c>
      <c r="AZ709" s="1521">
        <f t="shared" si="259"/>
        <v>0</v>
      </c>
      <c r="BA709" s="1521">
        <f t="shared" si="259"/>
        <v>0</v>
      </c>
      <c r="BB709" s="1521">
        <f t="shared" si="259"/>
        <v>111</v>
      </c>
      <c r="BC709" s="1521">
        <f t="shared" si="259"/>
        <v>18</v>
      </c>
      <c r="BD709" s="1521">
        <f t="shared" si="259"/>
        <v>0</v>
      </c>
      <c r="BE709" s="1521">
        <f t="shared" si="259"/>
        <v>0</v>
      </c>
      <c r="BF709" s="1521">
        <f t="shared" si="259"/>
        <v>0</v>
      </c>
      <c r="BG709" s="1521">
        <f t="shared" si="259"/>
        <v>0</v>
      </c>
      <c r="BH709" s="1521">
        <f t="shared" si="259"/>
        <v>0</v>
      </c>
      <c r="BI709" s="1521">
        <f t="shared" si="259"/>
        <v>0</v>
      </c>
      <c r="BJ709" s="1521">
        <f t="shared" si="259"/>
        <v>0</v>
      </c>
      <c r="BK709" s="1521">
        <f t="shared" si="259"/>
        <v>0</v>
      </c>
      <c r="BL709" s="1521">
        <f t="shared" si="259"/>
        <v>0</v>
      </c>
      <c r="BM709" s="1521">
        <f t="shared" si="259"/>
        <v>0</v>
      </c>
      <c r="BN709" s="1521">
        <f t="shared" si="259"/>
        <v>0</v>
      </c>
      <c r="BO709" s="1521">
        <f t="shared" si="259"/>
        <v>0</v>
      </c>
      <c r="BP709" s="1521">
        <f t="shared" si="259"/>
        <v>0</v>
      </c>
      <c r="BQ709" s="1521">
        <f t="shared" si="259"/>
        <v>0</v>
      </c>
      <c r="BR709" s="1521">
        <f t="shared" si="259"/>
        <v>0</v>
      </c>
      <c r="BS709" s="1521">
        <f t="shared" si="259"/>
        <v>0</v>
      </c>
      <c r="BT709" s="1521">
        <f t="shared" si="259"/>
        <v>0</v>
      </c>
      <c r="BU709" s="1521">
        <f t="shared" si="259"/>
        <v>0</v>
      </c>
      <c r="BV709" s="1521">
        <f t="shared" si="259"/>
        <v>0</v>
      </c>
      <c r="BW709" s="1521">
        <f t="shared" si="259"/>
        <v>0</v>
      </c>
      <c r="BX709" s="1521">
        <f t="shared" si="259"/>
        <v>0</v>
      </c>
      <c r="BY709" s="1521">
        <f t="shared" si="259"/>
        <v>0</v>
      </c>
      <c r="BZ709" s="1521">
        <f t="shared" si="259"/>
        <v>0</v>
      </c>
      <c r="CA709" s="1521">
        <f t="shared" si="259"/>
        <v>86991</v>
      </c>
      <c r="CB709" s="1521">
        <f t="shared" si="259"/>
        <v>18947</v>
      </c>
      <c r="CC709" s="1521">
        <f t="shared" si="259"/>
        <v>0</v>
      </c>
      <c r="CD709" s="1521">
        <f t="shared" si="259"/>
        <v>0</v>
      </c>
      <c r="CE709" s="1521">
        <f t="shared" si="259"/>
        <v>0</v>
      </c>
      <c r="CF709" s="1521">
        <f t="shared" si="259"/>
        <v>23128</v>
      </c>
      <c r="CG709" s="1521">
        <f t="shared" si="259"/>
        <v>5293</v>
      </c>
      <c r="CH709" s="1521">
        <f t="shared" si="259"/>
        <v>0</v>
      </c>
      <c r="CI709" s="1521">
        <f t="shared" ref="CI709:ET709" si="260">SUM(CI671:CI708)</f>
        <v>0</v>
      </c>
      <c r="CJ709" s="1521">
        <f t="shared" si="260"/>
        <v>0</v>
      </c>
      <c r="CK709" s="1521">
        <f t="shared" si="260"/>
        <v>0</v>
      </c>
      <c r="CL709" s="1521">
        <f t="shared" si="260"/>
        <v>0</v>
      </c>
      <c r="CM709" s="1521">
        <f t="shared" si="260"/>
        <v>0</v>
      </c>
      <c r="CN709" s="1521">
        <f t="shared" si="260"/>
        <v>0</v>
      </c>
      <c r="CO709" s="1521">
        <f t="shared" si="260"/>
        <v>0</v>
      </c>
      <c r="CP709" s="1521">
        <f t="shared" si="260"/>
        <v>0</v>
      </c>
      <c r="CQ709" s="1521">
        <f t="shared" si="260"/>
        <v>0</v>
      </c>
      <c r="CR709" s="1521">
        <f t="shared" si="260"/>
        <v>0</v>
      </c>
      <c r="CS709" s="1521">
        <f t="shared" si="260"/>
        <v>0</v>
      </c>
      <c r="CT709" s="1521">
        <f t="shared" si="260"/>
        <v>0</v>
      </c>
      <c r="CU709" s="1521">
        <f t="shared" si="260"/>
        <v>110119</v>
      </c>
      <c r="CV709" s="1521">
        <f t="shared" si="260"/>
        <v>24240</v>
      </c>
      <c r="CW709" s="1521">
        <f t="shared" si="260"/>
        <v>0</v>
      </c>
      <c r="CX709" s="1521">
        <f t="shared" si="260"/>
        <v>0</v>
      </c>
      <c r="CY709" s="1521">
        <f t="shared" si="260"/>
        <v>0</v>
      </c>
      <c r="CZ709" s="1521">
        <f t="shared" si="260"/>
        <v>0</v>
      </c>
      <c r="DA709" s="1521">
        <f t="shared" si="260"/>
        <v>0</v>
      </c>
      <c r="DB709" s="1521">
        <f t="shared" si="260"/>
        <v>0</v>
      </c>
      <c r="DC709" s="1521">
        <f t="shared" si="260"/>
        <v>0</v>
      </c>
      <c r="DD709" s="1521">
        <f t="shared" si="260"/>
        <v>0</v>
      </c>
      <c r="DE709" s="1521">
        <f t="shared" si="260"/>
        <v>139</v>
      </c>
      <c r="DF709" s="1521">
        <f t="shared" si="260"/>
        <v>23</v>
      </c>
      <c r="DG709" s="1521">
        <f t="shared" si="260"/>
        <v>0</v>
      </c>
      <c r="DH709" s="1521">
        <f t="shared" si="260"/>
        <v>0</v>
      </c>
      <c r="DI709" s="1521">
        <f t="shared" si="260"/>
        <v>0</v>
      </c>
      <c r="DJ709" s="1521">
        <f t="shared" si="260"/>
        <v>0</v>
      </c>
      <c r="DK709" s="1521">
        <f t="shared" si="260"/>
        <v>0</v>
      </c>
      <c r="DL709" s="1521">
        <f t="shared" si="260"/>
        <v>0</v>
      </c>
      <c r="DM709" s="1521">
        <f t="shared" si="260"/>
        <v>0</v>
      </c>
      <c r="DN709" s="1521">
        <f t="shared" si="260"/>
        <v>0</v>
      </c>
      <c r="DO709" s="1521">
        <f t="shared" si="260"/>
        <v>0</v>
      </c>
      <c r="DP709" s="1521">
        <f t="shared" si="260"/>
        <v>0</v>
      </c>
      <c r="DQ709" s="1521">
        <f t="shared" si="260"/>
        <v>0</v>
      </c>
      <c r="DR709" s="1521">
        <f t="shared" si="260"/>
        <v>0</v>
      </c>
      <c r="DS709" s="1521">
        <f t="shared" si="260"/>
        <v>0</v>
      </c>
      <c r="DT709" s="1521">
        <f t="shared" si="260"/>
        <v>0</v>
      </c>
      <c r="DU709" s="1521">
        <f t="shared" si="260"/>
        <v>0</v>
      </c>
      <c r="DV709" s="1521">
        <f t="shared" si="260"/>
        <v>0</v>
      </c>
      <c r="DW709" s="1521">
        <f t="shared" si="260"/>
        <v>0</v>
      </c>
      <c r="DX709" s="1521">
        <f t="shared" si="260"/>
        <v>0</v>
      </c>
      <c r="DY709" s="1521">
        <f t="shared" si="260"/>
        <v>0</v>
      </c>
      <c r="DZ709" s="1521">
        <f t="shared" si="260"/>
        <v>0</v>
      </c>
      <c r="EA709" s="1521">
        <f t="shared" si="260"/>
        <v>0</v>
      </c>
      <c r="EB709" s="1521">
        <f t="shared" si="260"/>
        <v>0</v>
      </c>
      <c r="EC709" s="1521">
        <f t="shared" si="260"/>
        <v>0</v>
      </c>
      <c r="ED709" s="1521">
        <f t="shared" si="260"/>
        <v>0</v>
      </c>
      <c r="EE709" s="1521">
        <f t="shared" si="260"/>
        <v>0</v>
      </c>
      <c r="EF709" s="1521">
        <f t="shared" si="260"/>
        <v>0</v>
      </c>
      <c r="EG709" s="1521">
        <f t="shared" si="260"/>
        <v>0</v>
      </c>
      <c r="EH709" s="1521">
        <f t="shared" si="260"/>
        <v>0</v>
      </c>
      <c r="EI709" s="1521">
        <f t="shared" si="260"/>
        <v>0</v>
      </c>
      <c r="EJ709" s="1521">
        <f t="shared" si="260"/>
        <v>0</v>
      </c>
      <c r="EK709" s="1521">
        <f t="shared" si="260"/>
        <v>0</v>
      </c>
      <c r="EL709" s="1521">
        <f t="shared" si="260"/>
        <v>0</v>
      </c>
      <c r="EM709" s="1521">
        <f t="shared" si="260"/>
        <v>0</v>
      </c>
      <c r="EN709" s="1521">
        <f t="shared" si="260"/>
        <v>0</v>
      </c>
      <c r="EO709" s="1521">
        <f t="shared" si="260"/>
        <v>0</v>
      </c>
      <c r="EP709" s="1521">
        <f t="shared" si="260"/>
        <v>0</v>
      </c>
      <c r="EQ709" s="1521">
        <f t="shared" si="260"/>
        <v>0</v>
      </c>
      <c r="ER709" s="1521">
        <f t="shared" si="260"/>
        <v>0</v>
      </c>
      <c r="ES709" s="1521">
        <f t="shared" si="260"/>
        <v>0</v>
      </c>
      <c r="ET709" s="1521">
        <f t="shared" si="260"/>
        <v>0</v>
      </c>
      <c r="EU709" s="1521">
        <f t="shared" ref="EU709:HF709" si="261">SUM(EU671:EU708)</f>
        <v>0</v>
      </c>
      <c r="EV709" s="1521">
        <f t="shared" si="261"/>
        <v>0</v>
      </c>
      <c r="EW709" s="1521">
        <f t="shared" si="261"/>
        <v>0</v>
      </c>
      <c r="EX709" s="1521">
        <f t="shared" si="261"/>
        <v>139</v>
      </c>
      <c r="EY709" s="1521">
        <f t="shared" si="261"/>
        <v>23</v>
      </c>
      <c r="EZ709" s="1521">
        <f t="shared" si="261"/>
        <v>0</v>
      </c>
      <c r="FA709" s="1521">
        <f t="shared" si="261"/>
        <v>0</v>
      </c>
      <c r="FB709" s="1521">
        <f t="shared" si="261"/>
        <v>0</v>
      </c>
      <c r="FC709" s="1521">
        <f t="shared" si="261"/>
        <v>0</v>
      </c>
      <c r="FD709" s="1521">
        <f t="shared" si="261"/>
        <v>0</v>
      </c>
      <c r="FE709" s="1521">
        <f t="shared" si="261"/>
        <v>0</v>
      </c>
      <c r="FF709" s="1521">
        <f t="shared" si="261"/>
        <v>0</v>
      </c>
      <c r="FG709" s="1521">
        <f t="shared" si="261"/>
        <v>0</v>
      </c>
      <c r="FH709" s="1521">
        <f t="shared" si="261"/>
        <v>0</v>
      </c>
      <c r="FI709" s="1521">
        <f t="shared" si="261"/>
        <v>0</v>
      </c>
      <c r="FJ709" s="1521">
        <f t="shared" si="261"/>
        <v>0</v>
      </c>
      <c r="FK709" s="1521">
        <f t="shared" si="261"/>
        <v>0</v>
      </c>
      <c r="FL709" s="1521">
        <f t="shared" si="261"/>
        <v>0</v>
      </c>
      <c r="FM709" s="1521">
        <f t="shared" si="261"/>
        <v>0</v>
      </c>
      <c r="FN709" s="1521">
        <f t="shared" si="261"/>
        <v>0</v>
      </c>
      <c r="FO709" s="1521">
        <f t="shared" si="261"/>
        <v>0</v>
      </c>
      <c r="FP709" s="1521">
        <f t="shared" si="261"/>
        <v>0</v>
      </c>
      <c r="FQ709" s="1521">
        <f t="shared" si="261"/>
        <v>0</v>
      </c>
      <c r="FR709" s="1521">
        <f t="shared" si="261"/>
        <v>0</v>
      </c>
      <c r="FS709" s="1521">
        <f t="shared" si="261"/>
        <v>0</v>
      </c>
      <c r="FT709" s="1521">
        <f t="shared" si="261"/>
        <v>0</v>
      </c>
      <c r="FU709" s="1521">
        <f t="shared" si="261"/>
        <v>0</v>
      </c>
      <c r="FV709" s="1521">
        <f t="shared" si="261"/>
        <v>0</v>
      </c>
      <c r="FW709" s="1521">
        <f t="shared" si="261"/>
        <v>0</v>
      </c>
      <c r="FX709" s="1521">
        <f t="shared" si="261"/>
        <v>0</v>
      </c>
      <c r="FY709" s="1521">
        <f t="shared" si="261"/>
        <v>0</v>
      </c>
      <c r="FZ709" s="1521">
        <f t="shared" si="261"/>
        <v>0</v>
      </c>
      <c r="GA709" s="1521">
        <f t="shared" si="261"/>
        <v>0</v>
      </c>
      <c r="GB709" s="1521">
        <f t="shared" si="261"/>
        <v>0</v>
      </c>
      <c r="GC709" s="1521">
        <f t="shared" si="261"/>
        <v>0</v>
      </c>
      <c r="GD709" s="1521">
        <f t="shared" si="261"/>
        <v>0</v>
      </c>
      <c r="GE709" s="1521">
        <f t="shared" si="261"/>
        <v>0</v>
      </c>
      <c r="GF709" s="1521">
        <f t="shared" si="261"/>
        <v>0</v>
      </c>
      <c r="GG709" s="1521">
        <f t="shared" si="261"/>
        <v>0</v>
      </c>
      <c r="GH709" s="1521">
        <f t="shared" si="261"/>
        <v>0</v>
      </c>
      <c r="GI709" s="1521">
        <f t="shared" si="261"/>
        <v>0</v>
      </c>
      <c r="GJ709" s="1521">
        <f t="shared" si="261"/>
        <v>0</v>
      </c>
      <c r="GK709" s="1521">
        <f t="shared" si="261"/>
        <v>0</v>
      </c>
      <c r="GL709" s="1521">
        <f t="shared" si="261"/>
        <v>0</v>
      </c>
      <c r="GM709" s="1521">
        <f t="shared" si="261"/>
        <v>0</v>
      </c>
      <c r="GN709" s="1521">
        <f t="shared" si="261"/>
        <v>0</v>
      </c>
      <c r="GO709" s="1521">
        <f t="shared" si="261"/>
        <v>0</v>
      </c>
      <c r="GP709" s="1521">
        <f t="shared" si="261"/>
        <v>0</v>
      </c>
      <c r="GQ709" s="1521">
        <f t="shared" si="261"/>
        <v>0</v>
      </c>
      <c r="GR709" s="1521">
        <f t="shared" si="261"/>
        <v>0</v>
      </c>
      <c r="GS709" s="1521">
        <f t="shared" si="261"/>
        <v>0</v>
      </c>
      <c r="GT709" s="1521">
        <f t="shared" si="261"/>
        <v>0</v>
      </c>
      <c r="GU709" s="1521">
        <f t="shared" si="261"/>
        <v>0</v>
      </c>
      <c r="GV709" s="1521">
        <f t="shared" si="261"/>
        <v>0</v>
      </c>
      <c r="GW709" s="1521">
        <f t="shared" si="261"/>
        <v>0</v>
      </c>
      <c r="GX709" s="1521">
        <f t="shared" si="261"/>
        <v>0</v>
      </c>
      <c r="GY709" s="1521">
        <f t="shared" si="261"/>
        <v>0</v>
      </c>
      <c r="GZ709" s="1521">
        <f t="shared" si="261"/>
        <v>0</v>
      </c>
      <c r="HA709" s="1521">
        <f t="shared" si="261"/>
        <v>0</v>
      </c>
      <c r="HB709" s="1521">
        <f t="shared" si="261"/>
        <v>0</v>
      </c>
      <c r="HC709" s="1521">
        <f t="shared" si="261"/>
        <v>0</v>
      </c>
      <c r="HD709" s="1521">
        <f t="shared" si="261"/>
        <v>0</v>
      </c>
      <c r="HE709" s="1521">
        <f t="shared" si="261"/>
        <v>0</v>
      </c>
      <c r="HF709" s="1521">
        <f t="shared" si="261"/>
        <v>0</v>
      </c>
      <c r="HG709" s="1521">
        <f t="shared" ref="HG709:JR709" si="262">SUM(HG671:HG708)</f>
        <v>0</v>
      </c>
      <c r="HH709" s="1521">
        <f t="shared" si="262"/>
        <v>0</v>
      </c>
      <c r="HI709" s="1521">
        <f t="shared" si="262"/>
        <v>0</v>
      </c>
      <c r="HJ709" s="1521">
        <f t="shared" si="262"/>
        <v>0</v>
      </c>
      <c r="HK709" s="1521">
        <f t="shared" si="262"/>
        <v>0</v>
      </c>
      <c r="HL709" s="1521">
        <f t="shared" si="262"/>
        <v>0</v>
      </c>
      <c r="HM709" s="1521">
        <f t="shared" si="262"/>
        <v>0</v>
      </c>
      <c r="HN709" s="1521">
        <f t="shared" si="262"/>
        <v>0</v>
      </c>
      <c r="HO709" s="1521">
        <f t="shared" si="262"/>
        <v>0</v>
      </c>
      <c r="HP709" s="1521">
        <f t="shared" si="262"/>
        <v>0</v>
      </c>
      <c r="HQ709" s="1521">
        <f t="shared" si="262"/>
        <v>0</v>
      </c>
      <c r="HR709" s="1521">
        <f t="shared" si="262"/>
        <v>0</v>
      </c>
      <c r="HS709" s="1521">
        <f t="shared" si="262"/>
        <v>0</v>
      </c>
      <c r="HT709" s="1521">
        <f t="shared" si="262"/>
        <v>0</v>
      </c>
      <c r="HU709" s="1521">
        <f t="shared" si="262"/>
        <v>139</v>
      </c>
      <c r="HV709" s="1521">
        <f t="shared" si="262"/>
        <v>23</v>
      </c>
      <c r="HW709" s="1521">
        <f t="shared" si="262"/>
        <v>0</v>
      </c>
      <c r="HX709" s="1521">
        <f t="shared" si="262"/>
        <v>0</v>
      </c>
      <c r="HY709" s="1521">
        <f t="shared" si="262"/>
        <v>0</v>
      </c>
      <c r="HZ709" s="1521">
        <f t="shared" si="262"/>
        <v>0</v>
      </c>
      <c r="IA709" s="1521">
        <f t="shared" si="262"/>
        <v>0</v>
      </c>
      <c r="IB709" s="1521">
        <f t="shared" si="262"/>
        <v>0</v>
      </c>
      <c r="IC709" s="1521">
        <f t="shared" si="262"/>
        <v>0</v>
      </c>
      <c r="ID709" s="1521">
        <f t="shared" si="262"/>
        <v>0</v>
      </c>
      <c r="IE709" s="1521">
        <f t="shared" si="262"/>
        <v>0</v>
      </c>
      <c r="IF709" s="1521">
        <f t="shared" si="262"/>
        <v>0</v>
      </c>
      <c r="IG709" s="1521">
        <f t="shared" si="262"/>
        <v>0</v>
      </c>
      <c r="IH709" s="1521">
        <f t="shared" si="262"/>
        <v>0</v>
      </c>
      <c r="II709" s="1521">
        <f t="shared" si="262"/>
        <v>0</v>
      </c>
      <c r="IJ709" s="1521">
        <f t="shared" si="262"/>
        <v>0</v>
      </c>
      <c r="IK709" s="1521">
        <f t="shared" si="262"/>
        <v>0</v>
      </c>
      <c r="IL709" s="1521">
        <f t="shared" si="262"/>
        <v>0</v>
      </c>
      <c r="IM709" s="1521">
        <f t="shared" si="262"/>
        <v>0</v>
      </c>
      <c r="IN709" s="1521">
        <f t="shared" si="262"/>
        <v>0</v>
      </c>
      <c r="IO709" s="1521">
        <f t="shared" si="262"/>
        <v>0</v>
      </c>
      <c r="IP709" s="1521">
        <f t="shared" si="262"/>
        <v>0</v>
      </c>
      <c r="IQ709" s="1521">
        <f t="shared" si="262"/>
        <v>0</v>
      </c>
      <c r="IR709" s="1521">
        <f t="shared" si="262"/>
        <v>0</v>
      </c>
      <c r="IS709" s="1521">
        <f t="shared" si="262"/>
        <v>0</v>
      </c>
      <c r="IT709" s="1521">
        <f t="shared" si="262"/>
        <v>0</v>
      </c>
      <c r="IU709" s="1521">
        <f t="shared" si="262"/>
        <v>0</v>
      </c>
      <c r="IV709" s="1521">
        <f t="shared" si="262"/>
        <v>0</v>
      </c>
      <c r="IW709" s="1521">
        <f t="shared" si="262"/>
        <v>0</v>
      </c>
      <c r="IX709" s="1521">
        <f t="shared" si="262"/>
        <v>0</v>
      </c>
      <c r="IY709" s="1521">
        <f t="shared" si="262"/>
        <v>0</v>
      </c>
      <c r="IZ709" s="1521">
        <f t="shared" si="262"/>
        <v>0</v>
      </c>
      <c r="JA709" s="1521">
        <f t="shared" si="262"/>
        <v>0</v>
      </c>
      <c r="JB709" s="1521">
        <f t="shared" si="262"/>
        <v>0</v>
      </c>
      <c r="JC709" s="1521">
        <f t="shared" si="262"/>
        <v>0</v>
      </c>
      <c r="JD709" s="1521">
        <f t="shared" si="262"/>
        <v>0</v>
      </c>
      <c r="JE709" s="1521">
        <f t="shared" si="262"/>
        <v>0</v>
      </c>
      <c r="JF709" s="1521">
        <f t="shared" si="262"/>
        <v>0</v>
      </c>
      <c r="JG709" s="1521">
        <f t="shared" si="262"/>
        <v>0</v>
      </c>
      <c r="JH709" s="1521">
        <f t="shared" si="262"/>
        <v>0</v>
      </c>
      <c r="JI709" s="1521">
        <f t="shared" si="262"/>
        <v>139</v>
      </c>
      <c r="JJ709" s="1521">
        <f t="shared" si="262"/>
        <v>23</v>
      </c>
      <c r="JK709" s="1521">
        <f t="shared" si="262"/>
        <v>0</v>
      </c>
      <c r="JL709" s="1521">
        <f t="shared" si="262"/>
        <v>0</v>
      </c>
      <c r="JM709" s="1521">
        <f t="shared" si="262"/>
        <v>0</v>
      </c>
      <c r="JN709" s="1521">
        <f t="shared" si="262"/>
        <v>0</v>
      </c>
      <c r="JO709" s="1521">
        <f t="shared" si="262"/>
        <v>0</v>
      </c>
      <c r="JP709" s="1521">
        <f t="shared" si="262"/>
        <v>0</v>
      </c>
      <c r="JQ709" s="1521">
        <f t="shared" si="262"/>
        <v>0</v>
      </c>
      <c r="JR709" s="1521">
        <f t="shared" si="262"/>
        <v>0</v>
      </c>
    </row>
    <row r="710" spans="1:278" ht="12" customHeight="1">
      <c r="B710" s="518"/>
      <c r="D710" s="1715"/>
      <c r="E710" s="1712"/>
      <c r="F710" s="1712"/>
      <c r="G710" s="520"/>
      <c r="H710" s="520"/>
      <c r="I710" s="520"/>
      <c r="J710" s="520"/>
      <c r="K710" s="1711" t="s">
        <v>853</v>
      </c>
      <c r="L710" s="1712">
        <f>L709*12</f>
        <v>1421388</v>
      </c>
      <c r="M710" s="518"/>
      <c r="N710" s="518"/>
      <c r="O710" s="518"/>
      <c r="P710" s="518"/>
      <c r="Q710" s="518"/>
      <c r="R710" s="518"/>
      <c r="S710" s="518"/>
      <c r="T710" s="518"/>
      <c r="U710" s="518"/>
      <c r="V710" s="1521"/>
      <c r="W710" s="1521"/>
      <c r="X710" s="1521"/>
      <c r="Y710" s="1521"/>
      <c r="Z710" s="1521"/>
      <c r="AA710" s="1521"/>
      <c r="AB710" s="1521"/>
      <c r="AC710" s="1521"/>
      <c r="AD710" s="1521"/>
      <c r="AE710" s="1521"/>
      <c r="AF710" s="1521"/>
      <c r="AG710" s="1521"/>
      <c r="AH710" s="1521"/>
      <c r="AI710" s="1521"/>
      <c r="AJ710" s="1521"/>
      <c r="AK710" s="1521"/>
      <c r="AL710" s="1521"/>
      <c r="AM710" s="1521"/>
      <c r="AN710" s="1521"/>
      <c r="AO710" s="1521"/>
      <c r="AP710" s="1521"/>
      <c r="AQ710" s="1521"/>
      <c r="AR710" s="1521"/>
      <c r="AS710" s="1521"/>
      <c r="AT710" s="1521"/>
      <c r="AU710" s="1521"/>
      <c r="AV710" s="1521"/>
      <c r="AW710" s="1521"/>
      <c r="AX710" s="1521"/>
      <c r="AY710" s="1521"/>
      <c r="AZ710" s="1521"/>
      <c r="BA710" s="1521"/>
      <c r="BB710" s="1521"/>
      <c r="BC710" s="1521"/>
      <c r="BD710" s="1521"/>
      <c r="BE710" s="1521"/>
      <c r="BF710" s="1521"/>
      <c r="BG710" s="1521"/>
      <c r="BH710" s="1521"/>
      <c r="BI710" s="1521"/>
      <c r="BJ710" s="1521"/>
      <c r="BK710" s="1521"/>
      <c r="BL710" s="1521"/>
      <c r="BM710" s="1521"/>
      <c r="BN710" s="1521"/>
      <c r="BO710" s="1521"/>
      <c r="BP710" s="1521"/>
      <c r="BQ710" s="1521"/>
      <c r="BR710" s="1521"/>
      <c r="BS710" s="1521"/>
      <c r="BT710" s="1521"/>
      <c r="BU710" s="1521"/>
      <c r="BV710" s="1521"/>
      <c r="BW710" s="1521"/>
      <c r="BX710" s="1521"/>
      <c r="BY710" s="1521"/>
      <c r="BZ710" s="1521"/>
      <c r="CA710" s="1521"/>
      <c r="CB710" s="1521"/>
      <c r="CC710" s="1521"/>
      <c r="CD710" s="1521"/>
      <c r="CE710" s="1521"/>
      <c r="CF710" s="1521"/>
      <c r="CG710" s="1521"/>
      <c r="CH710" s="1521"/>
      <c r="CI710" s="1521"/>
      <c r="CJ710" s="1521"/>
      <c r="CK710" s="1521"/>
      <c r="CL710" s="1521"/>
      <c r="CM710" s="1521"/>
      <c r="CN710" s="1521"/>
      <c r="CO710" s="1521"/>
      <c r="CP710" s="1521"/>
      <c r="CQ710" s="1521"/>
      <c r="CR710" s="1521"/>
      <c r="CS710" s="1521"/>
      <c r="CT710" s="1521"/>
      <c r="CU710" s="1521"/>
      <c r="CV710" s="1521"/>
      <c r="CW710" s="1521"/>
      <c r="CX710" s="1521"/>
      <c r="CY710" s="1521"/>
      <c r="CZ710" s="1521"/>
      <c r="DA710" s="1521"/>
      <c r="DB710" s="1521"/>
      <c r="DC710" s="1521"/>
      <c r="DD710" s="1521"/>
      <c r="DE710" s="1521"/>
      <c r="DF710" s="1521"/>
      <c r="DG710" s="1521"/>
      <c r="DH710" s="1521"/>
      <c r="DI710" s="1521"/>
      <c r="DJ710" s="1521"/>
      <c r="DK710" s="1521"/>
      <c r="DL710" s="1521"/>
      <c r="DM710" s="1521"/>
      <c r="DN710" s="1521"/>
      <c r="DO710" s="1521"/>
      <c r="DP710" s="1521"/>
      <c r="DQ710" s="1521"/>
      <c r="DR710" s="1521"/>
      <c r="DS710" s="1521"/>
      <c r="DT710" s="1521"/>
      <c r="DU710" s="1521"/>
      <c r="DV710" s="1521"/>
      <c r="DW710" s="1521"/>
      <c r="DX710" s="1521"/>
      <c r="DY710" s="1521"/>
      <c r="DZ710" s="1521"/>
      <c r="EA710" s="1521"/>
      <c r="EB710" s="1521"/>
      <c r="EC710" s="1521"/>
      <c r="ED710" s="1521"/>
      <c r="EE710" s="1521"/>
      <c r="EF710" s="1521"/>
      <c r="EG710" s="1521"/>
      <c r="EH710" s="1521"/>
      <c r="EI710" s="1521"/>
      <c r="EJ710" s="1521"/>
      <c r="EK710" s="1521"/>
      <c r="EL710" s="1521"/>
      <c r="EM710" s="1521"/>
      <c r="EN710" s="1521"/>
      <c r="EO710" s="1521"/>
      <c r="EP710" s="1521"/>
      <c r="EQ710" s="1521"/>
      <c r="ER710" s="1521"/>
      <c r="ES710" s="1521"/>
      <c r="ET710" s="1521"/>
      <c r="EU710" s="1521"/>
      <c r="EV710" s="1521"/>
      <c r="EW710" s="1521"/>
      <c r="EX710" s="1521"/>
      <c r="EY710" s="1521"/>
      <c r="EZ710" s="1521"/>
      <c r="FA710" s="1521"/>
      <c r="FB710" s="1521"/>
      <c r="FC710" s="1521"/>
      <c r="FD710" s="1521"/>
      <c r="FE710" s="1521"/>
      <c r="FF710" s="1521"/>
      <c r="FG710" s="1521"/>
      <c r="FH710" s="1521"/>
      <c r="FI710" s="1521"/>
      <c r="FJ710" s="1521"/>
      <c r="FK710" s="1521"/>
      <c r="FL710" s="1521"/>
      <c r="FM710" s="1521"/>
      <c r="FN710" s="1521"/>
      <c r="FO710" s="1521"/>
      <c r="FP710" s="1521"/>
      <c r="FQ710" s="1521"/>
      <c r="FR710" s="1521"/>
      <c r="FS710" s="1521"/>
      <c r="FT710" s="1521"/>
      <c r="FU710" s="1521"/>
      <c r="FV710" s="1521"/>
      <c r="FW710" s="1521"/>
      <c r="FX710" s="1521"/>
      <c r="FY710" s="1521"/>
      <c r="FZ710" s="1521"/>
      <c r="GA710" s="1521"/>
      <c r="GB710" s="1521"/>
      <c r="GC710" s="1521"/>
      <c r="GD710" s="1521"/>
      <c r="GE710" s="1521"/>
      <c r="GF710" s="1521"/>
      <c r="GG710" s="1521"/>
      <c r="GH710" s="1521"/>
      <c r="GI710" s="1521"/>
      <c r="GJ710" s="1521"/>
      <c r="GK710" s="1521"/>
      <c r="GL710" s="1521"/>
      <c r="GM710" s="1521"/>
      <c r="GN710" s="1521"/>
      <c r="GO710" s="1521"/>
      <c r="GP710" s="1521"/>
      <c r="GQ710" s="1521"/>
      <c r="GR710" s="1521"/>
      <c r="GS710" s="1521"/>
      <c r="GT710" s="1521"/>
      <c r="GU710" s="1521"/>
      <c r="GV710" s="1521"/>
      <c r="GW710" s="1521"/>
      <c r="GX710" s="1521"/>
      <c r="GY710" s="1521"/>
      <c r="GZ710" s="1521"/>
      <c r="HA710" s="1521"/>
      <c r="HB710" s="1521"/>
      <c r="HC710" s="1521"/>
      <c r="HD710" s="1521"/>
      <c r="HE710" s="1521"/>
      <c r="HF710" s="1521"/>
      <c r="HG710" s="1521"/>
      <c r="HH710" s="1521"/>
      <c r="HI710" s="1521"/>
      <c r="HJ710" s="1521"/>
      <c r="HK710" s="1521"/>
      <c r="HL710" s="1521"/>
      <c r="HM710" s="1521"/>
      <c r="HN710" s="1521"/>
      <c r="HO710" s="1521"/>
      <c r="HP710" s="1521"/>
      <c r="HQ710" s="1521"/>
      <c r="HR710" s="1521"/>
      <c r="HS710" s="1521"/>
      <c r="HT710" s="1521"/>
      <c r="HU710" s="1521"/>
      <c r="HV710" s="1521"/>
      <c r="HW710" s="1521"/>
      <c r="HX710" s="1521"/>
      <c r="HY710" s="1521"/>
      <c r="HZ710" s="1521"/>
      <c r="IA710" s="1521"/>
      <c r="IB710" s="1521"/>
      <c r="IC710" s="1521"/>
      <c r="ID710" s="1521"/>
      <c r="IE710" s="1521"/>
      <c r="IF710" s="1521"/>
      <c r="IG710" s="1521"/>
      <c r="IH710" s="1521"/>
      <c r="II710" s="1521"/>
      <c r="IJ710" s="1521"/>
      <c r="IK710" s="1521"/>
      <c r="IL710" s="1521"/>
      <c r="IM710" s="1521"/>
      <c r="IN710" s="1521"/>
      <c r="IO710" s="1521"/>
      <c r="IP710" s="1521"/>
      <c r="IQ710" s="1521"/>
      <c r="IR710" s="1521"/>
      <c r="IS710" s="1521"/>
      <c r="IT710" s="1521"/>
      <c r="IU710" s="1521"/>
      <c r="IV710" s="1521"/>
      <c r="IW710" s="1521"/>
      <c r="IX710" s="1521"/>
      <c r="IY710" s="1521"/>
      <c r="IZ710" s="1521"/>
      <c r="JA710" s="1521"/>
      <c r="JB710" s="1521"/>
    </row>
    <row r="711" spans="1:278" ht="3" customHeight="1">
      <c r="A711" s="519"/>
      <c r="B711" s="518"/>
      <c r="D711" s="1715"/>
      <c r="E711" s="1712"/>
      <c r="F711" s="1712"/>
      <c r="G711" s="520"/>
      <c r="H711" s="520"/>
      <c r="I711" s="520"/>
      <c r="J711" s="520"/>
      <c r="K711" s="1715"/>
      <c r="L711" s="1712"/>
      <c r="M711" s="518"/>
      <c r="N711" s="518"/>
      <c r="O711" s="518"/>
      <c r="P711" s="518"/>
      <c r="Q711" s="518"/>
      <c r="R711" s="518"/>
      <c r="S711" s="518"/>
      <c r="T711" s="518"/>
      <c r="U711" s="518"/>
      <c r="V711" s="1521"/>
      <c r="W711" s="1521"/>
      <c r="X711" s="1521"/>
      <c r="Y711" s="1521"/>
      <c r="Z711" s="1521"/>
      <c r="AA711" s="1521"/>
      <c r="AB711" s="1521"/>
      <c r="AC711" s="1521"/>
      <c r="AD711" s="1521"/>
      <c r="AE711" s="1521"/>
      <c r="AF711" s="1521"/>
      <c r="AG711" s="1521"/>
      <c r="AH711" s="1521"/>
      <c r="AI711" s="1521"/>
      <c r="AJ711" s="1521"/>
      <c r="AK711" s="1521"/>
      <c r="AL711" s="1521"/>
      <c r="AM711" s="1521"/>
      <c r="AN711" s="1521"/>
      <c r="AO711" s="1521"/>
      <c r="AP711" s="1521"/>
      <c r="AQ711" s="1521"/>
      <c r="AR711" s="1521"/>
      <c r="AS711" s="1521"/>
      <c r="AT711" s="1521"/>
      <c r="AU711" s="1521"/>
      <c r="AV711" s="1521"/>
      <c r="AW711" s="1521"/>
      <c r="AX711" s="1521"/>
      <c r="AY711" s="1521"/>
      <c r="AZ711" s="1521"/>
      <c r="BA711" s="1521"/>
      <c r="BB711" s="1521"/>
      <c r="BC711" s="1521"/>
      <c r="BD711" s="1521"/>
      <c r="BE711" s="1521"/>
      <c r="BF711" s="1521"/>
      <c r="BG711" s="1521"/>
      <c r="BH711" s="1521"/>
      <c r="BI711" s="1521"/>
      <c r="BJ711" s="1521"/>
      <c r="BK711" s="1521"/>
      <c r="BL711" s="1521"/>
      <c r="BM711" s="1521"/>
      <c r="BN711" s="1521"/>
      <c r="BO711" s="1521"/>
      <c r="BP711" s="1521"/>
      <c r="BQ711" s="1521"/>
      <c r="BR711" s="1521"/>
      <c r="BS711" s="1521"/>
      <c r="BT711" s="1521"/>
      <c r="BU711" s="1521"/>
      <c r="BV711" s="1521"/>
      <c r="BW711" s="1521"/>
      <c r="BX711" s="1521"/>
      <c r="BY711" s="1521"/>
      <c r="BZ711" s="1521"/>
      <c r="CA711" s="1521"/>
      <c r="CB711" s="1521"/>
      <c r="CC711" s="1521"/>
      <c r="CD711" s="1521"/>
      <c r="CE711" s="1521"/>
      <c r="CF711" s="1521"/>
      <c r="CG711" s="1521"/>
      <c r="CH711" s="1521"/>
      <c r="CI711" s="1521"/>
      <c r="CJ711" s="1521"/>
      <c r="CK711" s="1521"/>
      <c r="CL711" s="1521"/>
      <c r="CM711" s="1521"/>
      <c r="CN711" s="1521"/>
      <c r="CO711" s="1521"/>
      <c r="CP711" s="1521"/>
      <c r="CQ711" s="1521"/>
      <c r="CR711" s="1521"/>
      <c r="CS711" s="1521"/>
      <c r="CT711" s="1521"/>
      <c r="CU711" s="1521"/>
      <c r="CV711" s="1521"/>
      <c r="CW711" s="1521"/>
      <c r="CX711" s="1521"/>
      <c r="CY711" s="1521"/>
      <c r="CZ711" s="1521"/>
      <c r="DA711" s="1521"/>
      <c r="DB711" s="1521"/>
      <c r="DC711" s="1521"/>
      <c r="DD711" s="1521"/>
      <c r="DE711" s="1521"/>
      <c r="DF711" s="1521"/>
      <c r="DG711" s="1521"/>
      <c r="DH711" s="1521"/>
      <c r="DI711" s="1521"/>
      <c r="DJ711" s="1521"/>
      <c r="DK711" s="1521"/>
      <c r="DL711" s="1521"/>
      <c r="DM711" s="1521"/>
      <c r="DN711" s="1521"/>
      <c r="DO711" s="1521"/>
      <c r="DP711" s="1521"/>
      <c r="DQ711" s="1521"/>
      <c r="DR711" s="1521"/>
      <c r="DS711" s="1521"/>
      <c r="DT711" s="1521"/>
      <c r="DU711" s="1521"/>
      <c r="DV711" s="1521"/>
      <c r="DW711" s="1521"/>
      <c r="DX711" s="1521"/>
      <c r="DY711" s="1521"/>
      <c r="DZ711" s="1521"/>
      <c r="EA711" s="1521"/>
      <c r="EB711" s="1521"/>
      <c r="EC711" s="1521"/>
      <c r="ED711" s="1521"/>
      <c r="EE711" s="1521"/>
      <c r="EF711" s="1521"/>
      <c r="EG711" s="1521"/>
      <c r="EH711" s="1521"/>
      <c r="EI711" s="1521"/>
      <c r="EJ711" s="1521"/>
      <c r="EK711" s="1521"/>
      <c r="EL711" s="1521"/>
      <c r="EM711" s="1521"/>
      <c r="EN711" s="1521"/>
      <c r="EO711" s="1521"/>
      <c r="EP711" s="1521"/>
      <c r="EQ711" s="1521"/>
      <c r="ER711" s="1521"/>
      <c r="ES711" s="1521"/>
      <c r="ET711" s="1521"/>
      <c r="EU711" s="1521"/>
      <c r="EV711" s="1521"/>
      <c r="EW711" s="1521"/>
      <c r="EX711" s="1521"/>
      <c r="EY711" s="1521"/>
      <c r="EZ711" s="1521"/>
      <c r="FA711" s="1521"/>
      <c r="FB711" s="1521"/>
      <c r="FC711" s="1521"/>
      <c r="FD711" s="1521"/>
      <c r="FE711" s="1521"/>
      <c r="FF711" s="1521"/>
      <c r="FG711" s="1521"/>
      <c r="FH711" s="1521"/>
      <c r="FI711" s="1521"/>
      <c r="FJ711" s="1521"/>
      <c r="FK711" s="1521"/>
      <c r="FL711" s="1521"/>
      <c r="FM711" s="1521"/>
      <c r="FN711" s="1521"/>
      <c r="FO711" s="1521"/>
      <c r="FP711" s="1521"/>
      <c r="FQ711" s="1521"/>
      <c r="FR711" s="1521"/>
      <c r="FS711" s="1521"/>
      <c r="FT711" s="1521"/>
      <c r="FU711" s="1521"/>
      <c r="FV711" s="1521"/>
      <c r="FW711" s="1521"/>
      <c r="FX711" s="1521"/>
      <c r="FY711" s="1521"/>
      <c r="FZ711" s="1521"/>
      <c r="GA711" s="1521"/>
      <c r="GB711" s="1521"/>
      <c r="GC711" s="1521"/>
      <c r="GD711" s="1521"/>
      <c r="GE711" s="1521"/>
      <c r="GF711" s="1521"/>
      <c r="GG711" s="1521"/>
      <c r="GH711" s="1521"/>
      <c r="GI711" s="1521"/>
      <c r="GJ711" s="1521"/>
      <c r="GK711" s="1521"/>
      <c r="GL711" s="1521"/>
      <c r="GM711" s="1521"/>
      <c r="GN711" s="1521"/>
      <c r="GO711" s="1521"/>
      <c r="GP711" s="1521"/>
      <c r="GQ711" s="1521"/>
      <c r="GR711" s="1521"/>
      <c r="GS711" s="1521"/>
      <c r="GT711" s="1521"/>
      <c r="GU711" s="1521"/>
      <c r="GV711" s="1521"/>
      <c r="GW711" s="1521"/>
      <c r="GX711" s="1521"/>
      <c r="GY711" s="1521"/>
      <c r="GZ711" s="1521"/>
      <c r="HA711" s="1521"/>
      <c r="HB711" s="1521"/>
      <c r="HC711" s="1521"/>
      <c r="HD711" s="1521"/>
      <c r="HE711" s="1521"/>
      <c r="HF711" s="1521"/>
      <c r="HG711" s="1521"/>
      <c r="HH711" s="1521"/>
      <c r="HI711" s="1521"/>
      <c r="HJ711" s="1521"/>
      <c r="HK711" s="1521"/>
      <c r="HL711" s="1521"/>
      <c r="HM711" s="1521"/>
      <c r="HN711" s="1521"/>
      <c r="HO711" s="1521"/>
      <c r="HP711" s="1521"/>
      <c r="HQ711" s="1521"/>
      <c r="HR711" s="1521"/>
      <c r="HS711" s="1521"/>
      <c r="HT711" s="1521"/>
      <c r="HU711" s="1521"/>
      <c r="HV711" s="1521"/>
      <c r="HW711" s="1521"/>
      <c r="HX711" s="1521"/>
      <c r="HY711" s="1521"/>
      <c r="HZ711" s="1521"/>
      <c r="IA711" s="1521"/>
      <c r="IB711" s="1521"/>
      <c r="IC711" s="1521"/>
      <c r="ID711" s="1521"/>
      <c r="IE711" s="1521"/>
      <c r="IF711" s="1521"/>
      <c r="IG711" s="1521"/>
      <c r="IH711" s="1521"/>
      <c r="II711" s="1521"/>
      <c r="IJ711" s="1521"/>
      <c r="IK711" s="1521"/>
      <c r="IL711" s="1521"/>
      <c r="IM711" s="1521"/>
      <c r="IN711" s="1521"/>
      <c r="IO711" s="1521"/>
      <c r="IP711" s="1521"/>
      <c r="IQ711" s="1521"/>
      <c r="IR711" s="1521"/>
      <c r="IS711" s="1521"/>
      <c r="IT711" s="1521"/>
      <c r="IU711" s="1521"/>
      <c r="IV711" s="1521"/>
      <c r="IW711" s="1521"/>
      <c r="IX711" s="1521"/>
      <c r="IY711" s="1521"/>
      <c r="IZ711" s="1521"/>
      <c r="JA711" s="1521"/>
      <c r="JB711" s="1521"/>
    </row>
    <row r="712" spans="1:278" ht="12" customHeight="1">
      <c r="A712" s="1716" t="s">
        <v>4577</v>
      </c>
      <c r="B712" s="1673"/>
      <c r="C712" s="1673"/>
      <c r="D712" s="1673"/>
      <c r="E712" s="1673"/>
      <c r="F712" s="1673"/>
      <c r="G712" s="1673"/>
      <c r="H712" s="1673"/>
      <c r="I712" s="1673"/>
      <c r="J712" s="1673"/>
      <c r="K712" s="1673"/>
      <c r="L712" s="1673"/>
      <c r="M712" s="1673"/>
      <c r="N712" s="1673"/>
      <c r="O712" s="1673"/>
      <c r="P712" s="1673"/>
      <c r="Q712" s="1717"/>
      <c r="R712" s="518"/>
      <c r="S712" s="518"/>
      <c r="T712" s="518"/>
      <c r="U712" s="518"/>
      <c r="V712" s="1521"/>
      <c r="W712" s="1521"/>
      <c r="X712" s="1521"/>
      <c r="Y712" s="1521"/>
      <c r="Z712" s="1521"/>
      <c r="AA712" s="1521"/>
      <c r="AB712" s="1521"/>
      <c r="AC712" s="1521"/>
      <c r="AD712" s="1521"/>
      <c r="AE712" s="1521"/>
      <c r="AF712" s="1521"/>
      <c r="AG712" s="1521"/>
      <c r="AH712" s="1521"/>
      <c r="AI712" s="1521"/>
      <c r="AJ712" s="1521"/>
      <c r="AK712" s="1521"/>
      <c r="AL712" s="1521"/>
      <c r="AM712" s="1521"/>
      <c r="AN712" s="1521"/>
      <c r="AO712" s="1521"/>
      <c r="AP712" s="1521"/>
      <c r="AQ712" s="1521"/>
      <c r="AR712" s="1521"/>
      <c r="AS712" s="1521"/>
      <c r="AT712" s="1521"/>
      <c r="AU712" s="1521"/>
      <c r="AV712" s="1521"/>
      <c r="AW712" s="1521"/>
      <c r="AX712" s="1521"/>
      <c r="AY712" s="1521"/>
      <c r="AZ712" s="1521"/>
      <c r="BA712" s="1521"/>
      <c r="BB712" s="1521"/>
      <c r="BC712" s="1521"/>
      <c r="BD712" s="1521"/>
      <c r="BE712" s="1521"/>
      <c r="BF712" s="1521"/>
      <c r="BG712" s="1521"/>
      <c r="BH712" s="1521"/>
      <c r="BI712" s="1521"/>
      <c r="BJ712" s="1521"/>
      <c r="BK712" s="1521"/>
      <c r="BL712" s="1521"/>
      <c r="BM712" s="1521"/>
      <c r="BN712" s="1521"/>
      <c r="BO712" s="1521"/>
      <c r="BP712" s="1521"/>
      <c r="BQ712" s="1521"/>
      <c r="BR712" s="1521"/>
      <c r="BS712" s="1521"/>
      <c r="BT712" s="1521"/>
      <c r="BU712" s="1521"/>
      <c r="BV712" s="1521"/>
      <c r="BW712" s="1521"/>
      <c r="BX712" s="1521"/>
      <c r="BY712" s="1521"/>
      <c r="BZ712" s="1521"/>
      <c r="CA712" s="1521"/>
      <c r="CB712" s="1521"/>
      <c r="CC712" s="1521"/>
      <c r="CD712" s="1521"/>
      <c r="CE712" s="1521"/>
      <c r="CF712" s="1521"/>
      <c r="CG712" s="1521"/>
      <c r="CH712" s="1521"/>
      <c r="CI712" s="1521"/>
      <c r="CJ712" s="1521"/>
      <c r="CK712" s="1521"/>
      <c r="CL712" s="1521"/>
      <c r="CM712" s="1521"/>
      <c r="CN712" s="1521"/>
      <c r="CO712" s="1521"/>
      <c r="CP712" s="1521"/>
      <c r="CQ712" s="1521"/>
      <c r="CR712" s="1521"/>
      <c r="CS712" s="1521"/>
      <c r="CT712" s="1521"/>
      <c r="CU712" s="1521"/>
      <c r="CV712" s="1521"/>
      <c r="CW712" s="1521"/>
      <c r="CX712" s="1521"/>
      <c r="CY712" s="1521"/>
      <c r="CZ712" s="1521"/>
      <c r="DA712" s="1521"/>
      <c r="DB712" s="1521"/>
      <c r="DC712" s="1521"/>
      <c r="DD712" s="1521"/>
      <c r="DE712" s="1521"/>
      <c r="DF712" s="1521"/>
      <c r="DG712" s="1521"/>
      <c r="DH712" s="1521"/>
      <c r="DI712" s="1521"/>
      <c r="DJ712" s="1521"/>
      <c r="DK712" s="1521"/>
      <c r="DL712" s="1521"/>
      <c r="DM712" s="1521"/>
      <c r="DN712" s="1521"/>
      <c r="DO712" s="1521"/>
      <c r="DP712" s="1521"/>
      <c r="DQ712" s="1521"/>
      <c r="DR712" s="1521"/>
      <c r="DS712" s="1521"/>
      <c r="DT712" s="1521"/>
      <c r="DU712" s="1521"/>
      <c r="DV712" s="1521"/>
      <c r="DW712" s="1521"/>
      <c r="DX712" s="1521"/>
      <c r="DY712" s="1521"/>
      <c r="DZ712" s="1521"/>
      <c r="EA712" s="1521"/>
      <c r="EB712" s="1521"/>
      <c r="EC712" s="1521"/>
      <c r="ED712" s="1521"/>
      <c r="EE712" s="1521"/>
      <c r="EF712" s="1521"/>
      <c r="EG712" s="1521"/>
      <c r="EH712" s="1521"/>
      <c r="EI712" s="1521"/>
      <c r="EJ712" s="1521"/>
      <c r="EK712" s="1521"/>
      <c r="EL712" s="1521"/>
      <c r="EM712" s="1521"/>
      <c r="EN712" s="1521"/>
      <c r="EO712" s="1521"/>
      <c r="EP712" s="1521"/>
      <c r="EQ712" s="1521"/>
      <c r="ER712" s="1521"/>
      <c r="ES712" s="1521"/>
      <c r="ET712" s="1521"/>
      <c r="EU712" s="1521"/>
      <c r="EV712" s="1521"/>
      <c r="EW712" s="1521"/>
      <c r="EX712" s="1521"/>
      <c r="EY712" s="1521"/>
      <c r="EZ712" s="1521"/>
      <c r="FA712" s="1521"/>
      <c r="FB712" s="1521"/>
      <c r="FC712" s="1521"/>
      <c r="FD712" s="1521"/>
      <c r="FE712" s="1521"/>
      <c r="FF712" s="1521"/>
      <c r="FG712" s="1521"/>
      <c r="FH712" s="1521"/>
      <c r="FI712" s="1521"/>
      <c r="FJ712" s="1521"/>
      <c r="FK712" s="1521"/>
      <c r="FL712" s="1521"/>
      <c r="FM712" s="1521"/>
      <c r="FN712" s="1521"/>
      <c r="FO712" s="1521"/>
      <c r="FP712" s="1521"/>
      <c r="FQ712" s="1521"/>
      <c r="FR712" s="1521"/>
      <c r="FS712" s="1521"/>
      <c r="FT712" s="1521"/>
      <c r="FU712" s="1521"/>
      <c r="FV712" s="1521"/>
      <c r="FW712" s="1521"/>
      <c r="FX712" s="1521"/>
      <c r="FY712" s="1521"/>
      <c r="FZ712" s="1521"/>
      <c r="GA712" s="1521"/>
      <c r="GB712" s="1521"/>
      <c r="GC712" s="1521"/>
      <c r="GD712" s="1521"/>
      <c r="GE712" s="1521"/>
      <c r="GF712" s="1521"/>
      <c r="GG712" s="1521"/>
      <c r="GH712" s="1521"/>
      <c r="GI712" s="1521"/>
      <c r="GJ712" s="1521"/>
      <c r="GK712" s="1521"/>
      <c r="GL712" s="1521"/>
      <c r="GM712" s="1521"/>
      <c r="GN712" s="1521"/>
      <c r="GO712" s="1521"/>
      <c r="GP712" s="1521"/>
      <c r="GQ712" s="1521"/>
      <c r="GR712" s="1521"/>
      <c r="GS712" s="1521"/>
      <c r="GT712" s="1521"/>
      <c r="GU712" s="1521"/>
      <c r="GV712" s="1521"/>
      <c r="GW712" s="1521"/>
      <c r="GX712" s="1521"/>
      <c r="GY712" s="1521"/>
      <c r="GZ712" s="1521"/>
      <c r="HA712" s="1521"/>
      <c r="HB712" s="1521"/>
      <c r="HC712" s="1521"/>
      <c r="HD712" s="1521"/>
      <c r="HE712" s="1521"/>
      <c r="HF712" s="1521"/>
      <c r="HG712" s="1521"/>
      <c r="HH712" s="1521"/>
      <c r="HI712" s="1521"/>
      <c r="HJ712" s="1521"/>
      <c r="HK712" s="1521"/>
      <c r="HL712" s="1521"/>
      <c r="HM712" s="1521"/>
      <c r="HN712" s="1521"/>
      <c r="HO712" s="1521"/>
      <c r="HP712" s="1521"/>
      <c r="HQ712" s="1521"/>
      <c r="HR712" s="1521"/>
      <c r="HS712" s="1521"/>
      <c r="HT712" s="1521"/>
      <c r="HU712" s="1521"/>
      <c r="HV712" s="1521"/>
      <c r="HW712" s="1521"/>
      <c r="HX712" s="1521"/>
      <c r="HY712" s="1521"/>
      <c r="HZ712" s="1521"/>
      <c r="IA712" s="1521"/>
      <c r="IB712" s="1521"/>
      <c r="IC712" s="1521"/>
      <c r="ID712" s="1521"/>
      <c r="IE712" s="1521"/>
      <c r="IF712" s="1521"/>
      <c r="IG712" s="1521"/>
      <c r="IH712" s="1521"/>
      <c r="II712" s="1521"/>
      <c r="IJ712" s="1521"/>
      <c r="IK712" s="1521"/>
      <c r="IL712" s="1521"/>
      <c r="IM712" s="1521"/>
      <c r="IN712" s="1521"/>
      <c r="IO712" s="1521"/>
      <c r="IP712" s="1521"/>
      <c r="IQ712" s="1521"/>
      <c r="IR712" s="1521"/>
      <c r="IS712" s="1521"/>
      <c r="IT712" s="1521"/>
      <c r="IU712" s="1521"/>
      <c r="IV712" s="1521"/>
      <c r="IW712" s="1521"/>
      <c r="IX712" s="1521"/>
      <c r="IY712" s="1521"/>
      <c r="IZ712" s="1521"/>
      <c r="JA712" s="1521"/>
      <c r="JB712" s="1521"/>
    </row>
    <row r="713" spans="1:278" ht="12" customHeight="1">
      <c r="A713" s="1673"/>
      <c r="B713" s="1673"/>
      <c r="C713" s="1673"/>
      <c r="D713" s="1673"/>
      <c r="E713" s="1673"/>
      <c r="F713" s="1673"/>
      <c r="G713" s="1673"/>
      <c r="H713" s="1673"/>
      <c r="I713" s="1673"/>
      <c r="J713" s="1673"/>
      <c r="K713" s="1673"/>
      <c r="L713" s="1673"/>
      <c r="M713" s="1673"/>
      <c r="N713" s="1673"/>
      <c r="O713" s="1673"/>
      <c r="P713" s="1673"/>
      <c r="Q713" s="1717"/>
      <c r="R713" s="518"/>
      <c r="S713" s="518"/>
      <c r="T713" s="518"/>
      <c r="U713" s="518"/>
      <c r="V713" s="1521"/>
      <c r="W713" s="1521"/>
      <c r="X713" s="1521"/>
      <c r="Y713" s="1521"/>
      <c r="Z713" s="1521"/>
      <c r="AA713" s="1521"/>
      <c r="AB713" s="1521"/>
      <c r="AC713" s="1521"/>
      <c r="AD713" s="1521"/>
      <c r="AE713" s="1521"/>
      <c r="AF713" s="1521"/>
      <c r="AG713" s="1521"/>
      <c r="AH713" s="1521"/>
      <c r="AI713" s="1521"/>
      <c r="AJ713" s="1521"/>
      <c r="AK713" s="1521"/>
      <c r="AL713" s="1521"/>
      <c r="AM713" s="1521"/>
      <c r="AN713" s="1521"/>
      <c r="AO713" s="1521"/>
      <c r="AP713" s="1521"/>
      <c r="AQ713" s="1521"/>
      <c r="AR713" s="1521"/>
      <c r="AS713" s="1521"/>
      <c r="AT713" s="1521"/>
      <c r="AU713" s="1521"/>
      <c r="AV713" s="1521"/>
      <c r="AW713" s="1521"/>
      <c r="AX713" s="1521"/>
      <c r="AY713" s="1521"/>
      <c r="AZ713" s="1521"/>
      <c r="BA713" s="1521"/>
      <c r="BB713" s="1521"/>
      <c r="BC713" s="1521"/>
      <c r="BD713" s="1521"/>
      <c r="BE713" s="1521"/>
      <c r="BF713" s="1521"/>
      <c r="BG713" s="1521"/>
      <c r="BH713" s="1521"/>
      <c r="BI713" s="1521"/>
      <c r="BJ713" s="1521"/>
      <c r="BK713" s="1521"/>
      <c r="BL713" s="1521"/>
      <c r="BM713" s="1521"/>
      <c r="BN713" s="1521"/>
      <c r="BO713" s="1521"/>
      <c r="BP713" s="1521"/>
      <c r="BQ713" s="1521"/>
      <c r="BR713" s="1521"/>
      <c r="BS713" s="1521"/>
      <c r="BT713" s="1521"/>
      <c r="BU713" s="1521"/>
      <c r="BV713" s="1521"/>
      <c r="BW713" s="1521"/>
      <c r="BX713" s="1521"/>
      <c r="BY713" s="1521"/>
      <c r="BZ713" s="1521"/>
      <c r="CA713" s="1521"/>
      <c r="CB713" s="1521"/>
      <c r="CC713" s="1521"/>
      <c r="CD713" s="1521"/>
      <c r="CE713" s="1521"/>
      <c r="CF713" s="1521"/>
      <c r="CG713" s="1521"/>
      <c r="CH713" s="1521"/>
      <c r="CI713" s="1521"/>
      <c r="CJ713" s="1521"/>
      <c r="CK713" s="1521"/>
      <c r="CL713" s="1521"/>
      <c r="CM713" s="1521"/>
      <c r="CN713" s="1521"/>
      <c r="CO713" s="1521"/>
      <c r="CP713" s="1521"/>
      <c r="CQ713" s="1521"/>
      <c r="CR713" s="1521"/>
      <c r="CS713" s="1521"/>
      <c r="CT713" s="1521"/>
      <c r="CU713" s="1521"/>
      <c r="CV713" s="1521"/>
      <c r="CW713" s="1521"/>
      <c r="CX713" s="1521"/>
      <c r="CY713" s="1521"/>
      <c r="CZ713" s="1521"/>
      <c r="DA713" s="1521"/>
      <c r="DB713" s="1521"/>
      <c r="DC713" s="1521"/>
      <c r="DD713" s="1521"/>
      <c r="DE713" s="1521"/>
      <c r="DF713" s="1521"/>
      <c r="DG713" s="1521"/>
      <c r="DH713" s="1521"/>
      <c r="DI713" s="1521"/>
      <c r="DJ713" s="1521"/>
      <c r="DK713" s="1521"/>
      <c r="DL713" s="1521"/>
      <c r="DM713" s="1521"/>
      <c r="DN713" s="1521"/>
      <c r="DO713" s="1521"/>
      <c r="DP713" s="1521"/>
      <c r="DQ713" s="1521"/>
      <c r="DR713" s="1521"/>
      <c r="DS713" s="1521"/>
      <c r="DT713" s="1521"/>
      <c r="DU713" s="1521"/>
      <c r="DV713" s="1521"/>
      <c r="DW713" s="1521"/>
      <c r="DX713" s="1521"/>
      <c r="DY713" s="1521"/>
      <c r="DZ713" s="1521"/>
      <c r="EA713" s="1521"/>
      <c r="EB713" s="1521"/>
      <c r="EC713" s="1521"/>
      <c r="ED713" s="1521"/>
      <c r="EE713" s="1521"/>
      <c r="EF713" s="1521"/>
      <c r="EG713" s="1521"/>
      <c r="EH713" s="1521"/>
      <c r="EI713" s="1521"/>
      <c r="EJ713" s="1521"/>
      <c r="EK713" s="1521"/>
      <c r="EL713" s="1521"/>
      <c r="EM713" s="1521"/>
      <c r="EN713" s="1521"/>
      <c r="EO713" s="1521"/>
      <c r="EP713" s="1521"/>
      <c r="EQ713" s="1521"/>
      <c r="ER713" s="1521"/>
      <c r="ES713" s="1521"/>
      <c r="ET713" s="1521"/>
      <c r="EU713" s="1521"/>
      <c r="EV713" s="1521"/>
      <c r="EW713" s="1521"/>
      <c r="EX713" s="1521"/>
      <c r="EY713" s="1521"/>
      <c r="EZ713" s="1521"/>
      <c r="FA713" s="1521"/>
      <c r="FB713" s="1521"/>
      <c r="FC713" s="1521"/>
      <c r="FD713" s="1521"/>
      <c r="FE713" s="1521"/>
      <c r="FF713" s="1521"/>
      <c r="FG713" s="1521"/>
      <c r="FH713" s="1521"/>
      <c r="FI713" s="1521"/>
      <c r="FJ713" s="1521"/>
      <c r="FK713" s="1521"/>
      <c r="FL713" s="1521"/>
      <c r="FM713" s="1521"/>
      <c r="FN713" s="1521"/>
      <c r="FO713" s="1521"/>
      <c r="FP713" s="1521"/>
      <c r="FQ713" s="1521"/>
      <c r="FR713" s="1521"/>
      <c r="FS713" s="1521"/>
      <c r="FT713" s="1521"/>
      <c r="FU713" s="1521"/>
      <c r="FV713" s="1521"/>
      <c r="FW713" s="1521"/>
      <c r="FX713" s="1521"/>
      <c r="FY713" s="1521"/>
      <c r="FZ713" s="1521"/>
      <c r="GA713" s="1521"/>
      <c r="GB713" s="1521"/>
      <c r="GC713" s="1521"/>
      <c r="GD713" s="1521"/>
      <c r="GE713" s="1521"/>
      <c r="GF713" s="1521"/>
      <c r="GG713" s="1521"/>
      <c r="GH713" s="1521"/>
      <c r="GI713" s="1521"/>
      <c r="GJ713" s="1521"/>
      <c r="GK713" s="1521"/>
      <c r="GL713" s="1521"/>
      <c r="GM713" s="1521"/>
      <c r="GN713" s="1521"/>
      <c r="GO713" s="1521"/>
      <c r="GP713" s="1521"/>
      <c r="GQ713" s="1521"/>
      <c r="GR713" s="1521"/>
      <c r="GS713" s="1521"/>
      <c r="GT713" s="1521"/>
      <c r="GU713" s="1521"/>
      <c r="GV713" s="1521"/>
      <c r="GW713" s="1521"/>
      <c r="GX713" s="1521"/>
      <c r="GY713" s="1521"/>
      <c r="GZ713" s="1521"/>
      <c r="HA713" s="1521"/>
      <c r="HB713" s="1521"/>
      <c r="HC713" s="1521"/>
      <c r="HD713" s="1521"/>
      <c r="HE713" s="1521"/>
      <c r="HF713" s="1521"/>
      <c r="HG713" s="1521"/>
      <c r="HH713" s="1521"/>
      <c r="HI713" s="1521"/>
      <c r="HJ713" s="1521"/>
      <c r="HK713" s="1521"/>
      <c r="HL713" s="1521"/>
      <c r="HM713" s="1521"/>
      <c r="HN713" s="1521"/>
      <c r="HO713" s="1521"/>
      <c r="HP713" s="1521"/>
      <c r="HQ713" s="1521"/>
      <c r="HR713" s="1521"/>
      <c r="HS713" s="1521"/>
      <c r="HT713" s="1521"/>
      <c r="HU713" s="1521"/>
      <c r="HV713" s="1521"/>
      <c r="HW713" s="1521"/>
      <c r="HX713" s="1521"/>
      <c r="HY713" s="1521"/>
      <c r="HZ713" s="1521"/>
      <c r="IA713" s="1521"/>
      <c r="IB713" s="1521"/>
      <c r="IC713" s="1521"/>
      <c r="ID713" s="1521"/>
      <c r="IE713" s="1521"/>
      <c r="IF713" s="1521"/>
      <c r="IG713" s="1521"/>
      <c r="IH713" s="1521"/>
      <c r="II713" s="1521"/>
      <c r="IJ713" s="1521"/>
      <c r="IK713" s="1521"/>
      <c r="IL713" s="1521"/>
      <c r="IM713" s="1521"/>
      <c r="IN713" s="1521"/>
      <c r="IO713" s="1521"/>
      <c r="IP713" s="1521"/>
      <c r="IQ713" s="1521"/>
      <c r="IR713" s="1521"/>
      <c r="IS713" s="1521"/>
      <c r="IT713" s="1521"/>
      <c r="IU713" s="1521"/>
      <c r="IV713" s="1521"/>
      <c r="IW713" s="1521"/>
      <c r="IX713" s="1521"/>
      <c r="IY713" s="1521"/>
      <c r="IZ713" s="1521"/>
      <c r="JA713" s="1521"/>
      <c r="JB713" s="1521"/>
    </row>
    <row r="714" spans="1:278" ht="14.45" customHeight="1">
      <c r="A714" s="1522" t="s">
        <v>777</v>
      </c>
      <c r="B714" s="1522" t="s">
        <v>559</v>
      </c>
      <c r="R714" s="1718"/>
      <c r="S714" s="1719"/>
      <c r="T714" s="1719"/>
      <c r="U714" s="521" t="str">
        <f>B714</f>
        <v>UNIT SUMMARY</v>
      </c>
      <c r="V714" s="1522" t="s">
        <v>559</v>
      </c>
      <c r="AI714" s="518"/>
      <c r="GT714" s="1518"/>
      <c r="GY714" s="1518"/>
      <c r="GZ714" s="1518"/>
      <c r="HA714" s="1518"/>
      <c r="HB714" s="1518"/>
      <c r="HC714" s="1518"/>
      <c r="HD714" s="1518"/>
      <c r="HE714" s="1518"/>
      <c r="HF714" s="1518"/>
      <c r="HG714" s="1518"/>
      <c r="HH714" s="1518"/>
      <c r="HI714" s="1518"/>
      <c r="HJ714" s="1518"/>
      <c r="HK714" s="1518"/>
      <c r="HL714" s="1518"/>
      <c r="HM714" s="1518"/>
      <c r="HN714" s="1518"/>
      <c r="HO714" s="1518"/>
      <c r="HP714" s="1518"/>
      <c r="HQ714" s="1518"/>
      <c r="HR714" s="1518"/>
      <c r="HS714" s="1518"/>
      <c r="HT714" s="1518"/>
      <c r="HU714" s="1518"/>
      <c r="HV714" s="1518"/>
      <c r="HW714" s="1518"/>
      <c r="HX714" s="1518"/>
      <c r="HY714" s="1518"/>
      <c r="HZ714" s="1518"/>
      <c r="IA714" s="1518"/>
      <c r="IB714" s="1518"/>
      <c r="IC714" s="1518"/>
      <c r="ID714" s="1518"/>
      <c r="IK714" s="1522"/>
      <c r="IL714" s="1522"/>
      <c r="JB714" s="1522"/>
    </row>
    <row r="715" spans="1:278" ht="3" customHeight="1">
      <c r="A715" s="1522"/>
      <c r="B715" s="1522"/>
      <c r="R715" s="1720"/>
      <c r="S715" s="1721"/>
      <c r="T715" s="1721"/>
      <c r="U715" s="1522"/>
      <c r="V715" s="1522"/>
      <c r="AI715" s="518"/>
      <c r="GT715" s="1518"/>
      <c r="GY715" s="1518"/>
      <c r="GZ715" s="1518"/>
      <c r="HA715" s="1518"/>
      <c r="HB715" s="1518"/>
      <c r="HC715" s="1518"/>
      <c r="HD715" s="1518"/>
      <c r="HE715" s="1518"/>
      <c r="HF715" s="1518"/>
      <c r="HG715" s="1518"/>
      <c r="HH715" s="1518"/>
      <c r="HI715" s="1518"/>
      <c r="HJ715" s="1518"/>
      <c r="HK715" s="1518"/>
      <c r="HL715" s="1518"/>
      <c r="HM715" s="1518"/>
      <c r="HN715" s="1518"/>
      <c r="HO715" s="1518"/>
      <c r="HP715" s="1518"/>
      <c r="HQ715" s="1518"/>
      <c r="HR715" s="1518"/>
      <c r="HS715" s="1518"/>
      <c r="HT715" s="1518"/>
      <c r="HU715" s="1518"/>
      <c r="HV715" s="1518"/>
      <c r="HW715" s="1518"/>
      <c r="HX715" s="1518"/>
      <c r="HY715" s="1518"/>
      <c r="HZ715" s="1518"/>
      <c r="IA715" s="1518"/>
      <c r="IB715" s="1518"/>
      <c r="IC715" s="1518"/>
      <c r="ID715" s="1518"/>
      <c r="IK715" s="1522"/>
      <c r="IL715" s="1522"/>
      <c r="JB715" s="1522"/>
    </row>
    <row r="716" spans="1:278" ht="14.45" customHeight="1">
      <c r="A716" s="1522"/>
      <c r="B716" s="1522" t="s">
        <v>1184</v>
      </c>
      <c r="J716" s="517" t="s">
        <v>593</v>
      </c>
      <c r="K716" s="517" t="s">
        <v>560</v>
      </c>
      <c r="L716" s="517" t="s">
        <v>561</v>
      </c>
      <c r="M716" s="517" t="s">
        <v>562</v>
      </c>
      <c r="N716" s="517" t="s">
        <v>563</v>
      </c>
      <c r="O716" s="517" t="s">
        <v>564</v>
      </c>
      <c r="R716" s="1720"/>
      <c r="S716" s="1721"/>
      <c r="T716" s="1721"/>
      <c r="U716" s="1684" t="s">
        <v>1925</v>
      </c>
      <c r="V716" s="1684"/>
      <c r="AB716" s="517"/>
      <c r="AC716" s="517"/>
      <c r="AD716" s="517"/>
      <c r="AE716" s="517"/>
      <c r="AF716" s="517"/>
      <c r="AG716" s="517"/>
      <c r="AI716" s="518"/>
      <c r="GT716" s="1518"/>
      <c r="GY716" s="1518"/>
      <c r="GZ716" s="1518"/>
      <c r="HA716" s="1518"/>
      <c r="HB716" s="1518"/>
      <c r="HC716" s="1518"/>
      <c r="HD716" s="1518"/>
      <c r="HE716" s="1518"/>
      <c r="HF716" s="1518"/>
      <c r="HG716" s="1518"/>
      <c r="HH716" s="1518"/>
      <c r="HI716" s="1518"/>
      <c r="HJ716" s="1518"/>
      <c r="HK716" s="1518"/>
      <c r="HL716" s="1518"/>
      <c r="HM716" s="1518"/>
      <c r="HN716" s="1518"/>
      <c r="HO716" s="1518"/>
      <c r="HP716" s="1518"/>
      <c r="HQ716" s="1518"/>
      <c r="HR716" s="1518"/>
      <c r="HS716" s="1518"/>
      <c r="HT716" s="1518"/>
      <c r="HU716" s="1518"/>
      <c r="HV716" s="1518"/>
      <c r="HW716" s="1518"/>
      <c r="HX716" s="1518"/>
      <c r="HY716" s="1518"/>
      <c r="HZ716" s="1518"/>
      <c r="IA716" s="1518"/>
      <c r="IB716" s="1518"/>
      <c r="IC716" s="1518"/>
      <c r="ID716" s="1518"/>
      <c r="IK716" s="1522"/>
      <c r="IL716" s="1522"/>
      <c r="JB716" s="1522"/>
    </row>
    <row r="717" spans="1:278" ht="12" customHeight="1">
      <c r="C717" s="518" t="s">
        <v>1186</v>
      </c>
      <c r="D717" s="518"/>
      <c r="E717" s="518"/>
      <c r="F717" s="518"/>
      <c r="H717" s="519" t="s">
        <v>1198</v>
      </c>
      <c r="J717" s="1722">
        <f>W709</f>
        <v>0</v>
      </c>
      <c r="K717" s="1722">
        <f>X709</f>
        <v>111</v>
      </c>
      <c r="L717" s="1722">
        <f>Y709</f>
        <v>18</v>
      </c>
      <c r="M717" s="1722">
        <f>Z709</f>
        <v>0</v>
      </c>
      <c r="N717" s="1722">
        <f>AA709</f>
        <v>0</v>
      </c>
      <c r="O717" s="1722">
        <f t="shared" ref="O717:O723" si="263">SUM(J717:N717)</f>
        <v>129</v>
      </c>
      <c r="P717" s="1673" t="s">
        <v>4460</v>
      </c>
      <c r="Q717" s="1723"/>
      <c r="R717" s="1724"/>
      <c r="S717" s="1724"/>
      <c r="T717" s="1724"/>
      <c r="U717" s="1629">
        <f>'Part VI-Revenues &amp; Expenses'!U56</f>
        <v>0</v>
      </c>
      <c r="V717" s="1629"/>
      <c r="W717" s="518"/>
      <c r="X717" s="518"/>
      <c r="Y717" s="518"/>
      <c r="Z717" s="518"/>
      <c r="AA717" s="519"/>
      <c r="AB717" s="520"/>
      <c r="AC717" s="520"/>
      <c r="AD717" s="520"/>
      <c r="AE717" s="520"/>
      <c r="AF717" s="520"/>
      <c r="AG717" s="520"/>
      <c r="AH717" s="519"/>
      <c r="AI717" s="518"/>
      <c r="GT717" s="1518"/>
      <c r="GY717" s="1518"/>
      <c r="GZ717" s="1518"/>
      <c r="HA717" s="1518"/>
      <c r="HB717" s="1518"/>
      <c r="HC717" s="1518"/>
      <c r="HD717" s="1518"/>
      <c r="HE717" s="1518"/>
      <c r="HF717" s="1518"/>
      <c r="HG717" s="1518"/>
      <c r="HH717" s="1518"/>
      <c r="HI717" s="1518"/>
      <c r="HJ717" s="1518"/>
      <c r="HK717" s="1518"/>
      <c r="HL717" s="1518"/>
      <c r="HM717" s="1518"/>
      <c r="HN717" s="1518"/>
      <c r="HO717" s="1518"/>
      <c r="HP717" s="1518"/>
      <c r="HQ717" s="1518"/>
      <c r="HR717" s="1518"/>
      <c r="HS717" s="1518"/>
      <c r="HT717" s="1518"/>
      <c r="HU717" s="1518"/>
      <c r="HV717" s="1518"/>
      <c r="HW717" s="1518"/>
      <c r="HX717" s="1518"/>
      <c r="HY717" s="1518"/>
      <c r="HZ717" s="1518"/>
      <c r="IA717" s="1518"/>
      <c r="IB717" s="1518"/>
      <c r="IC717" s="1518"/>
      <c r="ID717" s="1518"/>
      <c r="IK717" s="1522"/>
      <c r="IL717" s="1522"/>
      <c r="JB717" s="1522"/>
    </row>
    <row r="718" spans="1:278" ht="12" customHeight="1">
      <c r="A718" s="1697" t="s">
        <v>460</v>
      </c>
      <c r="B718" s="1697"/>
      <c r="C718" s="521"/>
      <c r="D718" s="518"/>
      <c r="E718" s="518"/>
      <c r="F718" s="518"/>
      <c r="H718" s="519" t="s">
        <v>120</v>
      </c>
      <c r="J718" s="1722">
        <f>AB709</f>
        <v>0</v>
      </c>
      <c r="K718" s="1722">
        <f>AC709</f>
        <v>28</v>
      </c>
      <c r="L718" s="1722">
        <f>AD709</f>
        <v>5</v>
      </c>
      <c r="M718" s="1722">
        <f>AE709</f>
        <v>0</v>
      </c>
      <c r="N718" s="1722">
        <f>AF709</f>
        <v>0</v>
      </c>
      <c r="O718" s="1722">
        <f t="shared" si="263"/>
        <v>33</v>
      </c>
      <c r="P718" s="1673"/>
      <c r="Q718" s="1723"/>
      <c r="R718" s="1724"/>
      <c r="S718" s="1724"/>
      <c r="T718" s="1724"/>
      <c r="U718" s="1629"/>
      <c r="V718" s="1629"/>
      <c r="W718" s="521"/>
      <c r="X718" s="518"/>
      <c r="Y718" s="518"/>
      <c r="Z718" s="518"/>
      <c r="AA718" s="519"/>
      <c r="AB718" s="520"/>
      <c r="AC718" s="520"/>
      <c r="AD718" s="520"/>
      <c r="AE718" s="520"/>
      <c r="AF718" s="520"/>
      <c r="AG718" s="520"/>
      <c r="AH718" s="519"/>
      <c r="AI718" s="518"/>
      <c r="GT718" s="1518"/>
      <c r="GY718" s="1518"/>
      <c r="GZ718" s="1518"/>
      <c r="HA718" s="1518"/>
      <c r="HB718" s="1518"/>
      <c r="HC718" s="1518"/>
      <c r="HD718" s="1518"/>
      <c r="HE718" s="1518"/>
      <c r="HF718" s="1518"/>
      <c r="HG718" s="1518"/>
      <c r="HH718" s="1518"/>
      <c r="HI718" s="1518"/>
      <c r="HJ718" s="1518"/>
      <c r="HK718" s="1518"/>
      <c r="HL718" s="1518"/>
      <c r="HM718" s="1518"/>
      <c r="HN718" s="1518"/>
      <c r="HO718" s="1518"/>
      <c r="HP718" s="1518"/>
      <c r="HQ718" s="1518"/>
      <c r="HR718" s="1518"/>
      <c r="HS718" s="1518"/>
      <c r="HT718" s="1518"/>
      <c r="HU718" s="1518"/>
      <c r="HV718" s="1518"/>
      <c r="HW718" s="1518"/>
      <c r="HX718" s="1518"/>
      <c r="HY718" s="1518"/>
      <c r="HZ718" s="1518"/>
      <c r="IA718" s="1518"/>
      <c r="IB718" s="1518"/>
      <c r="IC718" s="1518"/>
      <c r="ID718" s="1518"/>
      <c r="IK718" s="1522"/>
      <c r="IL718" s="1522"/>
      <c r="JB718" s="1522"/>
    </row>
    <row r="719" spans="1:278" ht="12" customHeight="1">
      <c r="A719" s="1697"/>
      <c r="B719" s="1697"/>
      <c r="C719" s="521"/>
      <c r="D719" s="518"/>
      <c r="E719" s="518"/>
      <c r="F719" s="518"/>
      <c r="H719" s="519" t="s">
        <v>564</v>
      </c>
      <c r="J719" s="1722">
        <f>SUM(J717:J718)</f>
        <v>0</v>
      </c>
      <c r="K719" s="1722">
        <f>SUM(K717:K718)</f>
        <v>139</v>
      </c>
      <c r="L719" s="1722">
        <f>SUM(L717:L718)</f>
        <v>23</v>
      </c>
      <c r="M719" s="1722">
        <f>SUM(M717:M718)</f>
        <v>0</v>
      </c>
      <c r="N719" s="1722">
        <f>SUM(N717:N718)</f>
        <v>0</v>
      </c>
      <c r="O719" s="1722">
        <f t="shared" si="263"/>
        <v>162</v>
      </c>
      <c r="P719" s="1673"/>
      <c r="R719" s="1724"/>
      <c r="S719" s="1724"/>
      <c r="T719" s="1724"/>
      <c r="U719" s="1629"/>
      <c r="V719" s="1629"/>
      <c r="W719" s="521"/>
      <c r="X719" s="518"/>
      <c r="Y719" s="518"/>
      <c r="Z719" s="518"/>
      <c r="AA719" s="519"/>
      <c r="AB719" s="520"/>
      <c r="AC719" s="520"/>
      <c r="AD719" s="520"/>
      <c r="AE719" s="520"/>
      <c r="AF719" s="520"/>
      <c r="AG719" s="520"/>
      <c r="AH719" s="519"/>
      <c r="AI719" s="518"/>
      <c r="GT719" s="1518"/>
      <c r="GY719" s="1518"/>
      <c r="GZ719" s="1518"/>
      <c r="HA719" s="1518"/>
      <c r="HB719" s="1518"/>
      <c r="HC719" s="1518"/>
      <c r="HD719" s="1518"/>
      <c r="HE719" s="1518"/>
      <c r="HF719" s="1518"/>
      <c r="HG719" s="1518"/>
      <c r="HH719" s="1518"/>
      <c r="HI719" s="1518"/>
      <c r="HJ719" s="1518"/>
      <c r="HK719" s="1518"/>
      <c r="HL719" s="1518"/>
      <c r="HM719" s="1518"/>
      <c r="HN719" s="1518"/>
      <c r="HO719" s="1518"/>
      <c r="HP719" s="1518"/>
      <c r="HQ719" s="1518"/>
      <c r="HR719" s="1518"/>
      <c r="HS719" s="1518"/>
      <c r="HT719" s="1518"/>
      <c r="HU719" s="1518"/>
      <c r="HV719" s="1518"/>
      <c r="HW719" s="1518"/>
      <c r="HX719" s="1518"/>
      <c r="HY719" s="1518"/>
      <c r="HZ719" s="1518"/>
      <c r="IA719" s="1518"/>
      <c r="IB719" s="1518"/>
      <c r="IC719" s="1518"/>
      <c r="ID719" s="1518"/>
      <c r="IK719" s="1522"/>
      <c r="IL719" s="1522"/>
      <c r="JB719" s="1522"/>
    </row>
    <row r="720" spans="1:278" ht="12" customHeight="1">
      <c r="A720" s="1697"/>
      <c r="B720" s="1697"/>
      <c r="C720" s="518" t="s">
        <v>317</v>
      </c>
      <c r="D720" s="518"/>
      <c r="E720" s="518"/>
      <c r="F720" s="518"/>
      <c r="H720" s="519"/>
      <c r="J720" s="1722">
        <f>AL709</f>
        <v>0</v>
      </c>
      <c r="K720" s="1722">
        <f>AM709</f>
        <v>0</v>
      </c>
      <c r="L720" s="1722">
        <f>AN709</f>
        <v>0</v>
      </c>
      <c r="M720" s="1722">
        <f>AO709</f>
        <v>0</v>
      </c>
      <c r="N720" s="1722">
        <f>AP709</f>
        <v>0</v>
      </c>
      <c r="O720" s="1722">
        <f t="shared" si="263"/>
        <v>0</v>
      </c>
      <c r="R720" s="1724"/>
      <c r="S720" s="1724"/>
      <c r="T720" s="1724"/>
      <c r="U720" s="1629"/>
      <c r="V720" s="1629"/>
      <c r="W720" s="518"/>
      <c r="X720" s="518"/>
      <c r="Y720" s="518"/>
      <c r="Z720" s="518"/>
      <c r="AA720" s="519"/>
      <c r="AB720" s="520"/>
      <c r="AC720" s="520"/>
      <c r="AD720" s="520"/>
      <c r="AE720" s="520"/>
      <c r="AF720" s="520"/>
      <c r="AG720" s="520"/>
      <c r="AH720" s="502"/>
      <c r="AI720" s="518"/>
      <c r="GT720" s="1518"/>
      <c r="GY720" s="1518"/>
      <c r="GZ720" s="1518"/>
      <c r="HA720" s="1518"/>
      <c r="HB720" s="1518"/>
      <c r="HC720" s="1518"/>
      <c r="HD720" s="1518"/>
      <c r="HE720" s="1518"/>
      <c r="HF720" s="1518"/>
      <c r="HG720" s="1518"/>
      <c r="HH720" s="1518"/>
      <c r="HI720" s="1518"/>
      <c r="HJ720" s="1518"/>
      <c r="HK720" s="1518"/>
      <c r="HL720" s="1518"/>
      <c r="HM720" s="1518"/>
      <c r="HN720" s="1518"/>
      <c r="HO720" s="1518"/>
      <c r="HP720" s="1518"/>
      <c r="HQ720" s="1518"/>
      <c r="HR720" s="1518"/>
      <c r="HS720" s="1518"/>
      <c r="HT720" s="1518"/>
      <c r="HU720" s="1518"/>
      <c r="HV720" s="1518"/>
      <c r="HW720" s="1518"/>
      <c r="HX720" s="1518"/>
      <c r="HY720" s="1518"/>
      <c r="HZ720" s="1518"/>
      <c r="IA720" s="1518"/>
      <c r="IB720" s="1518"/>
      <c r="IC720" s="1518"/>
      <c r="ID720" s="1518"/>
      <c r="IK720" s="1522"/>
      <c r="IL720" s="1522"/>
      <c r="JB720" s="1522"/>
    </row>
    <row r="721" spans="1:262" ht="12" customHeight="1">
      <c r="A721" s="1697"/>
      <c r="B721" s="1697"/>
      <c r="C721" s="518" t="s">
        <v>1187</v>
      </c>
      <c r="D721" s="518"/>
      <c r="E721" s="518"/>
      <c r="F721" s="518"/>
      <c r="H721" s="519"/>
      <c r="J721" s="1722">
        <f>SUM(J719:J720)</f>
        <v>0</v>
      </c>
      <c r="K721" s="1722">
        <f>SUM(K719:K720)</f>
        <v>139</v>
      </c>
      <c r="L721" s="1722">
        <f>SUM(L719:L720)</f>
        <v>23</v>
      </c>
      <c r="M721" s="1722">
        <f>SUM(M719:M720)</f>
        <v>0</v>
      </c>
      <c r="N721" s="1722">
        <f>SUM(N719:N720)</f>
        <v>0</v>
      </c>
      <c r="O721" s="1722">
        <f t="shared" si="263"/>
        <v>162</v>
      </c>
      <c r="R721" s="1724"/>
      <c r="S721" s="1724"/>
      <c r="T721" s="1724"/>
      <c r="U721" s="1629"/>
      <c r="V721" s="1629"/>
      <c r="W721" s="518"/>
      <c r="X721" s="518"/>
      <c r="Y721" s="518"/>
      <c r="Z721" s="518"/>
      <c r="AA721" s="519"/>
      <c r="AB721" s="520"/>
      <c r="AC721" s="520"/>
      <c r="AD721" s="520"/>
      <c r="AE721" s="520"/>
      <c r="AF721" s="520"/>
      <c r="AG721" s="520"/>
      <c r="AH721" s="502"/>
      <c r="AI721" s="518"/>
      <c r="GT721" s="1518"/>
      <c r="GY721" s="1518"/>
      <c r="GZ721" s="1518"/>
      <c r="HA721" s="1518"/>
      <c r="HB721" s="1518"/>
      <c r="HC721" s="1518"/>
      <c r="HD721" s="1518"/>
      <c r="HE721" s="1518"/>
      <c r="HF721" s="1518"/>
      <c r="HG721" s="1518"/>
      <c r="HH721" s="1518"/>
      <c r="HI721" s="1518"/>
      <c r="HJ721" s="1518"/>
      <c r="HK721" s="1518"/>
      <c r="HL721" s="1518"/>
      <c r="HM721" s="1518"/>
      <c r="HN721" s="1518"/>
      <c r="HO721" s="1518"/>
      <c r="HP721" s="1518"/>
      <c r="HQ721" s="1518"/>
      <c r="HR721" s="1518"/>
      <c r="HS721" s="1518"/>
      <c r="HT721" s="1518"/>
      <c r="HU721" s="1518"/>
      <c r="HV721" s="1518"/>
      <c r="HW721" s="1518"/>
      <c r="HX721" s="1518"/>
      <c r="HY721" s="1518"/>
      <c r="HZ721" s="1518"/>
      <c r="IA721" s="1518"/>
      <c r="IB721" s="1518"/>
      <c r="IC721" s="1518"/>
      <c r="ID721" s="1518"/>
      <c r="IK721" s="1522"/>
      <c r="IL721" s="1522"/>
      <c r="JB721" s="1522"/>
    </row>
    <row r="722" spans="1:262" ht="12" customHeight="1">
      <c r="A722" s="1697"/>
      <c r="B722" s="1697"/>
      <c r="C722" s="518" t="s">
        <v>2610</v>
      </c>
      <c r="D722" s="518"/>
      <c r="E722" s="518"/>
      <c r="F722" s="518"/>
      <c r="H722" s="519"/>
      <c r="J722" s="1722">
        <f>BU709</f>
        <v>0</v>
      </c>
      <c r="K722" s="1722">
        <f>BV709</f>
        <v>0</v>
      </c>
      <c r="L722" s="1722">
        <f>BW709</f>
        <v>0</v>
      </c>
      <c r="M722" s="1722">
        <f>BX709</f>
        <v>0</v>
      </c>
      <c r="N722" s="1722">
        <f>BY709</f>
        <v>0</v>
      </c>
      <c r="O722" s="1722">
        <f t="shared" si="263"/>
        <v>0</v>
      </c>
      <c r="P722" s="1532" t="s">
        <v>4461</v>
      </c>
      <c r="R722" s="1724"/>
      <c r="S722" s="1724"/>
      <c r="T722" s="1724"/>
      <c r="U722" s="1629"/>
      <c r="V722" s="1629"/>
      <c r="W722" s="518"/>
      <c r="X722" s="518"/>
      <c r="Y722" s="518"/>
      <c r="Z722" s="518"/>
      <c r="AA722" s="519"/>
      <c r="AB722" s="520"/>
      <c r="AC722" s="520"/>
      <c r="AD722" s="520"/>
      <c r="AE722" s="520"/>
      <c r="AF722" s="520"/>
      <c r="AG722" s="520"/>
      <c r="AH722" s="519"/>
      <c r="AI722" s="518"/>
      <c r="GT722" s="1518"/>
      <c r="GY722" s="1518"/>
      <c r="GZ722" s="1518"/>
      <c r="HA722" s="1518"/>
      <c r="HB722" s="1518"/>
      <c r="HC722" s="1518"/>
      <c r="HD722" s="1518"/>
      <c r="HE722" s="1518"/>
      <c r="HF722" s="1518"/>
      <c r="HG722" s="1518"/>
      <c r="HH722" s="1518"/>
      <c r="HI722" s="1518"/>
      <c r="HJ722" s="1518"/>
      <c r="HK722" s="1518"/>
      <c r="HL722" s="1518"/>
      <c r="HM722" s="1518"/>
      <c r="HN722" s="1518"/>
      <c r="HO722" s="1518"/>
      <c r="HP722" s="1518"/>
      <c r="HQ722" s="1518"/>
      <c r="HR722" s="1518"/>
      <c r="HS722" s="1518"/>
      <c r="HT722" s="1518"/>
      <c r="HU722" s="1518"/>
      <c r="HV722" s="1518"/>
      <c r="HW722" s="1518"/>
      <c r="HX722" s="1518"/>
      <c r="HY722" s="1518"/>
      <c r="HZ722" s="1518"/>
      <c r="IA722" s="1518"/>
      <c r="IB722" s="1518"/>
      <c r="IC722" s="1518"/>
      <c r="ID722" s="1518"/>
      <c r="IK722" s="1522"/>
      <c r="IL722" s="1522"/>
      <c r="JB722" s="1522"/>
    </row>
    <row r="723" spans="1:262" ht="12" customHeight="1">
      <c r="A723" s="1697"/>
      <c r="B723" s="1697"/>
      <c r="C723" s="518" t="s">
        <v>564</v>
      </c>
      <c r="D723" s="518"/>
      <c r="E723" s="518"/>
      <c r="F723" s="518"/>
      <c r="H723" s="519"/>
      <c r="J723" s="1722">
        <f>SUM(J721:J722)</f>
        <v>0</v>
      </c>
      <c r="K723" s="1722">
        <f>SUM(K721:K722)</f>
        <v>139</v>
      </c>
      <c r="L723" s="1722">
        <f>SUM(L721:L722)</f>
        <v>23</v>
      </c>
      <c r="M723" s="1722">
        <f>SUM(M721:M722)</f>
        <v>0</v>
      </c>
      <c r="N723" s="1722">
        <f>SUM(N721:N722)</f>
        <v>0</v>
      </c>
      <c r="O723" s="1722">
        <f t="shared" si="263"/>
        <v>162</v>
      </c>
      <c r="R723" s="1724"/>
      <c r="S723" s="1724"/>
      <c r="T723" s="1724"/>
      <c r="U723" s="1629"/>
      <c r="V723" s="1629"/>
      <c r="W723" s="518"/>
      <c r="X723" s="518"/>
      <c r="Y723" s="518"/>
      <c r="Z723" s="518"/>
      <c r="AA723" s="519"/>
      <c r="AB723" s="520"/>
      <c r="AC723" s="520"/>
      <c r="AD723" s="520"/>
      <c r="AE723" s="520"/>
      <c r="AF723" s="520"/>
      <c r="AG723" s="520"/>
      <c r="AI723" s="518"/>
      <c r="GT723" s="1518"/>
      <c r="GY723" s="1518"/>
      <c r="GZ723" s="1518"/>
      <c r="HA723" s="1518"/>
      <c r="HB723" s="1518"/>
      <c r="HC723" s="1518"/>
      <c r="HD723" s="1518"/>
      <c r="HE723" s="1518"/>
      <c r="HF723" s="1518"/>
      <c r="HG723" s="1518"/>
      <c r="HH723" s="1518"/>
      <c r="HI723" s="1518"/>
      <c r="HJ723" s="1518"/>
      <c r="HK723" s="1518"/>
      <c r="HL723" s="1518"/>
      <c r="HM723" s="1518"/>
      <c r="HN723" s="1518"/>
      <c r="HO723" s="1518"/>
      <c r="HP723" s="1518"/>
      <c r="HQ723" s="1518"/>
      <c r="HR723" s="1518"/>
      <c r="HS723" s="1518"/>
      <c r="HT723" s="1518"/>
      <c r="HU723" s="1518"/>
      <c r="HV723" s="1518"/>
      <c r="HW723" s="1518"/>
      <c r="HX723" s="1518"/>
      <c r="HY723" s="1518"/>
      <c r="HZ723" s="1518"/>
      <c r="IA723" s="1518"/>
      <c r="IB723" s="1518"/>
      <c r="IC723" s="1518"/>
      <c r="ID723" s="1518"/>
      <c r="IK723" s="1522"/>
      <c r="IL723" s="1522"/>
      <c r="JB723" s="1522"/>
    </row>
    <row r="724" spans="1:262" ht="9" customHeight="1">
      <c r="A724" s="1697"/>
      <c r="B724" s="1697"/>
      <c r="C724" s="518"/>
      <c r="D724" s="518"/>
      <c r="E724" s="518"/>
      <c r="F724" s="518"/>
      <c r="H724" s="519"/>
      <c r="J724" s="1725"/>
      <c r="K724" s="1725"/>
      <c r="L724" s="1725"/>
      <c r="M724" s="1725"/>
      <c r="N724" s="1725"/>
      <c r="O724" s="1725"/>
      <c r="R724" s="1724"/>
      <c r="S724" s="1724"/>
      <c r="T724" s="1724"/>
      <c r="U724" s="1533" t="str">
        <f>C725</f>
        <v>PBRA-Assisted</v>
      </c>
      <c r="W724" s="518"/>
      <c r="X724" s="518"/>
      <c r="Y724" s="518"/>
      <c r="Z724" s="518"/>
      <c r="AA724" s="519"/>
      <c r="AB724" s="518"/>
      <c r="AC724" s="518"/>
      <c r="AD724" s="518"/>
      <c r="AE724" s="518"/>
      <c r="AF724" s="518"/>
      <c r="AG724" s="518"/>
      <c r="AI724" s="518"/>
      <c r="GT724" s="1518"/>
      <c r="GY724" s="1518"/>
      <c r="GZ724" s="1518"/>
      <c r="HA724" s="1518"/>
      <c r="HB724" s="1518"/>
      <c r="HC724" s="1518"/>
      <c r="HD724" s="1518"/>
      <c r="HE724" s="1518"/>
      <c r="HF724" s="1518"/>
      <c r="HG724" s="1518"/>
      <c r="HH724" s="1518"/>
      <c r="HI724" s="1518"/>
      <c r="HJ724" s="1518"/>
      <c r="HK724" s="1518"/>
      <c r="HL724" s="1518"/>
      <c r="HM724" s="1518"/>
      <c r="HN724" s="1518"/>
      <c r="HO724" s="1518"/>
      <c r="HP724" s="1518"/>
      <c r="HQ724" s="1518"/>
      <c r="HR724" s="1518"/>
      <c r="HS724" s="1518"/>
      <c r="HT724" s="1518"/>
      <c r="HU724" s="1518"/>
      <c r="HV724" s="1518"/>
      <c r="HW724" s="1518"/>
      <c r="HX724" s="1518"/>
      <c r="HY724" s="1518"/>
      <c r="HZ724" s="1518"/>
      <c r="IA724" s="1518"/>
      <c r="IB724" s="1518"/>
      <c r="IC724" s="1518"/>
      <c r="ID724" s="1518"/>
      <c r="IK724" s="1522"/>
      <c r="IL724" s="1522"/>
      <c r="JB724" s="1522"/>
    </row>
    <row r="725" spans="1:262" ht="12" customHeight="1">
      <c r="A725" s="1697"/>
      <c r="B725" s="1697"/>
      <c r="C725" s="518" t="s">
        <v>974</v>
      </c>
      <c r="D725" s="518"/>
      <c r="E725" s="522"/>
      <c r="F725" s="518"/>
      <c r="H725" s="519" t="s">
        <v>1198</v>
      </c>
      <c r="J725" s="1722">
        <f>BA709</f>
        <v>0</v>
      </c>
      <c r="K725" s="1722">
        <f>BB709</f>
        <v>111</v>
      </c>
      <c r="L725" s="1722">
        <f>BC709</f>
        <v>18</v>
      </c>
      <c r="M725" s="1722">
        <f>BD709</f>
        <v>0</v>
      </c>
      <c r="N725" s="1722">
        <f>BE709</f>
        <v>0</v>
      </c>
      <c r="O725" s="1722">
        <f>SUM(J725:N725)</f>
        <v>129</v>
      </c>
      <c r="R725" s="1724"/>
      <c r="S725" s="1724"/>
      <c r="T725" s="1724"/>
      <c r="U725" s="1629">
        <f>'Part VI-Revenues &amp; Expenses'!U64</f>
        <v>0</v>
      </c>
      <c r="V725" s="1629"/>
      <c r="W725" s="518"/>
      <c r="X725" s="518"/>
      <c r="Y725" s="522"/>
      <c r="Z725" s="518"/>
      <c r="AA725" s="519"/>
      <c r="AB725" s="520"/>
      <c r="AC725" s="520"/>
      <c r="AD725" s="520"/>
      <c r="AE725" s="520"/>
      <c r="AF725" s="520"/>
      <c r="AG725" s="520"/>
      <c r="AH725" s="519"/>
      <c r="AI725" s="518"/>
      <c r="GT725" s="1518"/>
      <c r="GY725" s="1518"/>
      <c r="GZ725" s="1518"/>
      <c r="HA725" s="1518"/>
      <c r="HB725" s="1518"/>
      <c r="HC725" s="1518"/>
      <c r="HD725" s="1518"/>
      <c r="HE725" s="1518"/>
      <c r="HF725" s="1518"/>
      <c r="HG725" s="1518"/>
      <c r="HH725" s="1518"/>
      <c r="HI725" s="1518"/>
      <c r="HJ725" s="1518"/>
      <c r="HK725" s="1518"/>
      <c r="HL725" s="1518"/>
      <c r="HM725" s="1518"/>
      <c r="HN725" s="1518"/>
      <c r="HO725" s="1518"/>
      <c r="HP725" s="1518"/>
      <c r="HQ725" s="1518"/>
      <c r="HR725" s="1518"/>
      <c r="HS725" s="1518"/>
      <c r="HT725" s="1518"/>
      <c r="HU725" s="1518"/>
      <c r="HV725" s="1518"/>
      <c r="HW725" s="1518"/>
      <c r="HX725" s="1518"/>
      <c r="HY725" s="1518"/>
      <c r="HZ725" s="1518"/>
      <c r="IA725" s="1518"/>
      <c r="IB725" s="1518"/>
      <c r="IC725" s="1518"/>
      <c r="ID725" s="1518"/>
      <c r="IK725" s="1522"/>
      <c r="IL725" s="1522"/>
      <c r="JB725" s="1522"/>
    </row>
    <row r="726" spans="1:262" ht="12" customHeight="1">
      <c r="A726" s="1697"/>
      <c r="B726" s="1697"/>
      <c r="C726" s="519" t="s">
        <v>2611</v>
      </c>
      <c r="D726" s="518"/>
      <c r="E726" s="522"/>
      <c r="F726" s="518"/>
      <c r="H726" s="519" t="s">
        <v>120</v>
      </c>
      <c r="J726" s="1722">
        <f>AV709</f>
        <v>0</v>
      </c>
      <c r="K726" s="1722">
        <f>AW709</f>
        <v>28</v>
      </c>
      <c r="L726" s="1722">
        <f>AX709</f>
        <v>5</v>
      </c>
      <c r="M726" s="1722">
        <f>AY709</f>
        <v>0</v>
      </c>
      <c r="N726" s="1722">
        <f>AZ709</f>
        <v>0</v>
      </c>
      <c r="O726" s="1722">
        <f>SUM(J726:N726)</f>
        <v>33</v>
      </c>
      <c r="R726" s="1724"/>
      <c r="S726" s="1724"/>
      <c r="T726" s="1724"/>
      <c r="U726" s="1629"/>
      <c r="V726" s="1629"/>
      <c r="W726" s="519"/>
      <c r="X726" s="518"/>
      <c r="Y726" s="522"/>
      <c r="Z726" s="518"/>
      <c r="AA726" s="519"/>
      <c r="AB726" s="520"/>
      <c r="AC726" s="520"/>
      <c r="AD726" s="520"/>
      <c r="AE726" s="520"/>
      <c r="AF726" s="520"/>
      <c r="AG726" s="520"/>
      <c r="AH726" s="519"/>
      <c r="AI726" s="518"/>
      <c r="GT726" s="1518"/>
      <c r="GY726" s="1518"/>
      <c r="GZ726" s="1518"/>
      <c r="HA726" s="1518"/>
      <c r="HB726" s="1518"/>
      <c r="HC726" s="1518"/>
      <c r="HD726" s="1518"/>
      <c r="HE726" s="1518"/>
      <c r="HF726" s="1518"/>
      <c r="HG726" s="1518"/>
      <c r="HH726" s="1518"/>
      <c r="HI726" s="1518"/>
      <c r="HJ726" s="1518"/>
      <c r="HK726" s="1518"/>
      <c r="HL726" s="1518"/>
      <c r="HM726" s="1518"/>
      <c r="HN726" s="1518"/>
      <c r="HO726" s="1518"/>
      <c r="HP726" s="1518"/>
      <c r="HQ726" s="1518"/>
      <c r="HR726" s="1518"/>
      <c r="HS726" s="1518"/>
      <c r="HT726" s="1518"/>
      <c r="HU726" s="1518"/>
      <c r="HV726" s="1518"/>
      <c r="HW726" s="1518"/>
      <c r="HX726" s="1518"/>
      <c r="HY726" s="1518"/>
      <c r="HZ726" s="1518"/>
      <c r="IA726" s="1518"/>
      <c r="IB726" s="1518"/>
      <c r="IC726" s="1518"/>
      <c r="ID726" s="1518"/>
      <c r="IK726" s="1522"/>
      <c r="IL726" s="1522"/>
      <c r="JB726" s="1522"/>
    </row>
    <row r="727" spans="1:262" ht="12" customHeight="1">
      <c r="A727" s="1697"/>
      <c r="B727" s="1697"/>
      <c r="C727" s="521"/>
      <c r="D727" s="518"/>
      <c r="E727" s="522"/>
      <c r="F727" s="518"/>
      <c r="H727" s="519" t="s">
        <v>564</v>
      </c>
      <c r="J727" s="1722">
        <f>SUM(J725:J726)</f>
        <v>0</v>
      </c>
      <c r="K727" s="1722">
        <f>SUM(K725:K726)</f>
        <v>139</v>
      </c>
      <c r="L727" s="1722">
        <f>SUM(L725:L726)</f>
        <v>23</v>
      </c>
      <c r="M727" s="1722">
        <f>SUM(M725:M726)</f>
        <v>0</v>
      </c>
      <c r="N727" s="1722">
        <f>SUM(N725:N726)</f>
        <v>0</v>
      </c>
      <c r="O727" s="1722">
        <f>SUM(J727:N727)</f>
        <v>162</v>
      </c>
      <c r="R727" s="1724"/>
      <c r="S727" s="1724"/>
      <c r="T727" s="1724"/>
      <c r="U727" s="1629"/>
      <c r="V727" s="1629"/>
      <c r="W727" s="521"/>
      <c r="X727" s="518"/>
      <c r="Y727" s="522"/>
      <c r="Z727" s="518"/>
      <c r="AA727" s="519"/>
      <c r="AB727" s="520"/>
      <c r="AC727" s="520"/>
      <c r="AD727" s="520"/>
      <c r="AE727" s="520"/>
      <c r="AF727" s="520"/>
      <c r="AG727" s="520"/>
      <c r="AH727" s="519"/>
      <c r="AI727" s="518"/>
      <c r="GT727" s="1518"/>
      <c r="GY727" s="1518"/>
      <c r="GZ727" s="1518"/>
      <c r="HA727" s="1518"/>
      <c r="HB727" s="1518"/>
      <c r="HC727" s="1518"/>
      <c r="HD727" s="1518"/>
      <c r="HE727" s="1518"/>
      <c r="HF727" s="1518"/>
      <c r="HG727" s="1518"/>
      <c r="HH727" s="1518"/>
      <c r="HI727" s="1518"/>
      <c r="HJ727" s="1518"/>
      <c r="HK727" s="1518"/>
      <c r="HL727" s="1518"/>
      <c r="HM727" s="1518"/>
      <c r="HN727" s="1518"/>
      <c r="HO727" s="1518"/>
      <c r="HP727" s="1518"/>
      <c r="HQ727" s="1518"/>
      <c r="HR727" s="1518"/>
      <c r="HS727" s="1518"/>
      <c r="HT727" s="1518"/>
      <c r="HU727" s="1518"/>
      <c r="HV727" s="1518"/>
      <c r="HW727" s="1518"/>
      <c r="HX727" s="1518"/>
      <c r="HY727" s="1518"/>
      <c r="HZ727" s="1518"/>
      <c r="IA727" s="1518"/>
      <c r="IB727" s="1518"/>
      <c r="IC727" s="1518"/>
      <c r="ID727" s="1518"/>
      <c r="IK727" s="1522"/>
      <c r="IL727" s="1522"/>
      <c r="JB727" s="1522"/>
    </row>
    <row r="728" spans="1:262" ht="9" customHeight="1">
      <c r="A728" s="1697"/>
      <c r="B728" s="1697"/>
      <c r="C728" s="518"/>
      <c r="D728" s="518"/>
      <c r="E728" s="518"/>
      <c r="F728" s="518"/>
      <c r="H728" s="519"/>
      <c r="J728" s="1725"/>
      <c r="K728" s="1725"/>
      <c r="L728" s="1725"/>
      <c r="M728" s="1725"/>
      <c r="N728" s="1725"/>
      <c r="O728" s="1725"/>
      <c r="R728" s="1724"/>
      <c r="S728" s="1724"/>
      <c r="T728" s="1724"/>
      <c r="U728" s="1533" t="str">
        <f>C729</f>
        <v>PHA Operating Subsidy-Assisted</v>
      </c>
      <c r="W728" s="518"/>
      <c r="X728" s="518"/>
      <c r="Y728" s="518"/>
      <c r="Z728" s="518"/>
      <c r="AA728" s="519"/>
      <c r="AB728" s="518"/>
      <c r="AC728" s="518"/>
      <c r="AD728" s="518"/>
      <c r="AE728" s="518"/>
      <c r="AF728" s="518"/>
      <c r="AG728" s="518"/>
      <c r="AI728" s="518"/>
      <c r="GT728" s="1518"/>
      <c r="GY728" s="1518"/>
      <c r="GZ728" s="1518"/>
      <c r="HA728" s="1518"/>
      <c r="HB728" s="1518"/>
      <c r="HC728" s="1518"/>
      <c r="HD728" s="1518"/>
      <c r="HE728" s="1518"/>
      <c r="HF728" s="1518"/>
      <c r="HG728" s="1518"/>
      <c r="HH728" s="1518"/>
      <c r="HI728" s="1518"/>
      <c r="HJ728" s="1518"/>
      <c r="HK728" s="1518"/>
      <c r="HL728" s="1518"/>
      <c r="HM728" s="1518"/>
      <c r="HN728" s="1518"/>
      <c r="HO728" s="1518"/>
      <c r="HP728" s="1518"/>
      <c r="HQ728" s="1518"/>
      <c r="HR728" s="1518"/>
      <c r="HS728" s="1518"/>
      <c r="HT728" s="1518"/>
      <c r="HU728" s="1518"/>
      <c r="HV728" s="1518"/>
      <c r="HW728" s="1518"/>
      <c r="HX728" s="1518"/>
      <c r="HY728" s="1518"/>
      <c r="HZ728" s="1518"/>
      <c r="IA728" s="1518"/>
      <c r="IB728" s="1518"/>
      <c r="IC728" s="1518"/>
      <c r="ID728" s="1518"/>
      <c r="IK728" s="1522"/>
      <c r="IL728" s="1522"/>
      <c r="JB728" s="1522"/>
    </row>
    <row r="729" spans="1:262" ht="12" customHeight="1">
      <c r="A729" s="1697"/>
      <c r="B729" s="1697"/>
      <c r="C729" s="1517" t="s">
        <v>930</v>
      </c>
      <c r="D729" s="1517"/>
      <c r="E729" s="1517"/>
      <c r="F729" s="518"/>
      <c r="H729" s="519" t="s">
        <v>1198</v>
      </c>
      <c r="J729" s="1722">
        <f>BP709</f>
        <v>0</v>
      </c>
      <c r="K729" s="1722">
        <f>BQ709</f>
        <v>0</v>
      </c>
      <c r="L729" s="1722">
        <f>BR709</f>
        <v>0</v>
      </c>
      <c r="M729" s="1722">
        <f>BS709</f>
        <v>0</v>
      </c>
      <c r="N729" s="1722">
        <f>BT709</f>
        <v>0</v>
      </c>
      <c r="O729" s="1722">
        <f>SUM(J729:N729)</f>
        <v>0</v>
      </c>
      <c r="R729" s="1724"/>
      <c r="S729" s="1724"/>
      <c r="T729" s="1724"/>
      <c r="U729" s="1629">
        <f>'Part VI-Revenues &amp; Expenses'!U68</f>
        <v>0</v>
      </c>
      <c r="V729" s="1629"/>
      <c r="W729" s="518"/>
      <c r="X729" s="518"/>
      <c r="Y729" s="522"/>
      <c r="Z729" s="518"/>
      <c r="AA729" s="519"/>
      <c r="AB729" s="520"/>
      <c r="AC729" s="520"/>
      <c r="AD729" s="520"/>
      <c r="AE729" s="520"/>
      <c r="AF729" s="520"/>
      <c r="AG729" s="520"/>
      <c r="AH729" s="519"/>
      <c r="AI729" s="518"/>
      <c r="GT729" s="1518"/>
      <c r="GY729" s="1518"/>
      <c r="GZ729" s="1518"/>
      <c r="HA729" s="1518"/>
      <c r="HB729" s="1518"/>
      <c r="HC729" s="1518"/>
      <c r="HD729" s="1518"/>
      <c r="HE729" s="1518"/>
      <c r="HF729" s="1518"/>
      <c r="HG729" s="1518"/>
      <c r="HH729" s="1518"/>
      <c r="HI729" s="1518"/>
      <c r="HJ729" s="1518"/>
      <c r="HK729" s="1518"/>
      <c r="HL729" s="1518"/>
      <c r="HM729" s="1518"/>
      <c r="HN729" s="1518"/>
      <c r="HO729" s="1518"/>
      <c r="HP729" s="1518"/>
      <c r="HQ729" s="1518"/>
      <c r="HR729" s="1518"/>
      <c r="HS729" s="1518"/>
      <c r="HT729" s="1518"/>
      <c r="HU729" s="1518"/>
      <c r="HV729" s="1518"/>
      <c r="HW729" s="1518"/>
      <c r="HX729" s="1518"/>
      <c r="HY729" s="1518"/>
      <c r="HZ729" s="1518"/>
      <c r="IA729" s="1518"/>
      <c r="IB729" s="1518"/>
      <c r="IC729" s="1518"/>
      <c r="ID729" s="1518"/>
      <c r="IK729" s="1522"/>
      <c r="IL729" s="1522"/>
      <c r="JB729" s="1522"/>
    </row>
    <row r="730" spans="1:262" ht="12" customHeight="1">
      <c r="A730" s="1697"/>
      <c r="B730" s="1697"/>
      <c r="C730" s="1517"/>
      <c r="D730" s="1517"/>
      <c r="E730" s="1517"/>
      <c r="F730" s="518"/>
      <c r="H730" s="519" t="s">
        <v>120</v>
      </c>
      <c r="J730" s="1722">
        <f>BK709</f>
        <v>0</v>
      </c>
      <c r="K730" s="1722">
        <f>BL709</f>
        <v>0</v>
      </c>
      <c r="L730" s="1722">
        <f>BM709</f>
        <v>0</v>
      </c>
      <c r="M730" s="1722">
        <f>BN709</f>
        <v>0</v>
      </c>
      <c r="N730" s="1722">
        <f>BO709</f>
        <v>0</v>
      </c>
      <c r="O730" s="1722">
        <f>SUM(J730:N730)</f>
        <v>0</v>
      </c>
      <c r="R730" s="1724"/>
      <c r="S730" s="1724"/>
      <c r="T730" s="1724"/>
      <c r="U730" s="1629"/>
      <c r="V730" s="1629"/>
      <c r="W730" s="519"/>
      <c r="X730" s="518"/>
      <c r="Y730" s="522"/>
      <c r="Z730" s="518"/>
      <c r="AA730" s="519"/>
      <c r="AB730" s="520"/>
      <c r="AC730" s="520"/>
      <c r="AD730" s="520"/>
      <c r="AE730" s="520"/>
      <c r="AF730" s="520"/>
      <c r="AG730" s="520"/>
      <c r="AH730" s="519"/>
      <c r="AI730" s="518"/>
      <c r="GT730" s="1518"/>
      <c r="GY730" s="1518"/>
      <c r="GZ730" s="1518"/>
      <c r="HA730" s="1518"/>
      <c r="HB730" s="1518"/>
      <c r="HC730" s="1518"/>
      <c r="HD730" s="1518"/>
      <c r="HE730" s="1518"/>
      <c r="HF730" s="1518"/>
      <c r="HG730" s="1518"/>
      <c r="HH730" s="1518"/>
      <c r="HI730" s="1518"/>
      <c r="HJ730" s="1518"/>
      <c r="HK730" s="1518"/>
      <c r="HL730" s="1518"/>
      <c r="HM730" s="1518"/>
      <c r="HN730" s="1518"/>
      <c r="HO730" s="1518"/>
      <c r="HP730" s="1518"/>
      <c r="HQ730" s="1518"/>
      <c r="HR730" s="1518"/>
      <c r="HS730" s="1518"/>
      <c r="HT730" s="1518"/>
      <c r="HU730" s="1518"/>
      <c r="HV730" s="1518"/>
      <c r="HW730" s="1518"/>
      <c r="HX730" s="1518"/>
      <c r="HY730" s="1518"/>
      <c r="HZ730" s="1518"/>
      <c r="IA730" s="1518"/>
      <c r="IB730" s="1518"/>
      <c r="IC730" s="1518"/>
      <c r="ID730" s="1518"/>
      <c r="IK730" s="1522"/>
      <c r="IL730" s="1522"/>
      <c r="JB730" s="1522"/>
    </row>
    <row r="731" spans="1:262" ht="12" customHeight="1">
      <c r="A731" s="1697"/>
      <c r="B731" s="1697"/>
      <c r="C731" s="519" t="s">
        <v>2611</v>
      </c>
      <c r="D731" s="518"/>
      <c r="E731" s="522"/>
      <c r="F731" s="518"/>
      <c r="H731" s="519" t="s">
        <v>564</v>
      </c>
      <c r="J731" s="1722">
        <f>SUM(J729:J730)</f>
        <v>0</v>
      </c>
      <c r="K731" s="1722">
        <f>SUM(K729:K730)</f>
        <v>0</v>
      </c>
      <c r="L731" s="1722">
        <f>SUM(L729:L730)</f>
        <v>0</v>
      </c>
      <c r="M731" s="1722">
        <f>SUM(M729:M730)</f>
        <v>0</v>
      </c>
      <c r="N731" s="1722">
        <f>SUM(N729:N730)</f>
        <v>0</v>
      </c>
      <c r="O731" s="1722">
        <f>SUM(J731:N731)</f>
        <v>0</v>
      </c>
      <c r="R731" s="1724"/>
      <c r="S731" s="1724"/>
      <c r="T731" s="1724"/>
      <c r="U731" s="1629"/>
      <c r="V731" s="1629"/>
      <c r="W731" s="521"/>
      <c r="X731" s="518"/>
      <c r="Y731" s="522"/>
      <c r="Z731" s="518"/>
      <c r="AA731" s="519"/>
      <c r="AB731" s="520"/>
      <c r="AC731" s="520"/>
      <c r="AD731" s="520"/>
      <c r="AE731" s="520"/>
      <c r="AF731" s="520"/>
      <c r="AG731" s="520"/>
      <c r="AH731" s="519"/>
      <c r="AI731" s="518"/>
      <c r="GT731" s="1518"/>
      <c r="GY731" s="1518"/>
      <c r="GZ731" s="1518"/>
      <c r="HA731" s="1518"/>
      <c r="HB731" s="1518"/>
      <c r="HC731" s="1518"/>
      <c r="HD731" s="1518"/>
      <c r="HE731" s="1518"/>
      <c r="HF731" s="1518"/>
      <c r="HG731" s="1518"/>
      <c r="HH731" s="1518"/>
      <c r="HI731" s="1518"/>
      <c r="HJ731" s="1518"/>
      <c r="HK731" s="1518"/>
      <c r="HL731" s="1518"/>
      <c r="HM731" s="1518"/>
      <c r="HN731" s="1518"/>
      <c r="HO731" s="1518"/>
      <c r="HP731" s="1518"/>
      <c r="HQ731" s="1518"/>
      <c r="HR731" s="1518"/>
      <c r="HS731" s="1518"/>
      <c r="HT731" s="1518"/>
      <c r="HU731" s="1518"/>
      <c r="HV731" s="1518"/>
      <c r="HW731" s="1518"/>
      <c r="HX731" s="1518"/>
      <c r="HY731" s="1518"/>
      <c r="HZ731" s="1518"/>
      <c r="IA731" s="1518"/>
      <c r="IB731" s="1518"/>
      <c r="IC731" s="1518"/>
      <c r="ID731" s="1518"/>
      <c r="IK731" s="1522"/>
      <c r="IL731" s="1522"/>
      <c r="JB731" s="1522"/>
    </row>
    <row r="732" spans="1:262" ht="9" customHeight="1">
      <c r="A732" s="1697"/>
      <c r="B732" s="1697"/>
      <c r="D732" s="1517"/>
      <c r="E732" s="522"/>
      <c r="F732" s="518"/>
      <c r="H732" s="519"/>
      <c r="J732" s="1725"/>
      <c r="K732" s="1725"/>
      <c r="L732" s="1725"/>
      <c r="M732" s="1725"/>
      <c r="N732" s="1725"/>
      <c r="O732" s="1725"/>
      <c r="R732" s="1724"/>
      <c r="S732" s="1724"/>
      <c r="T732" s="1724"/>
      <c r="U732" s="1533" t="str">
        <f>C733</f>
        <v>Type of Construction Activity</v>
      </c>
      <c r="W732" s="518"/>
      <c r="X732" s="518"/>
      <c r="Y732" s="522"/>
      <c r="Z732" s="518"/>
      <c r="AA732" s="519"/>
      <c r="AB732" s="518"/>
      <c r="AC732" s="518"/>
      <c r="AD732" s="518"/>
      <c r="AE732" s="518"/>
      <c r="AF732" s="518"/>
      <c r="AG732" s="518"/>
      <c r="AI732" s="518"/>
      <c r="GT732" s="1518"/>
      <c r="GY732" s="1518"/>
      <c r="GZ732" s="1518"/>
      <c r="HA732" s="1518"/>
      <c r="HB732" s="1518"/>
      <c r="HC732" s="1518"/>
      <c r="HD732" s="1518"/>
      <c r="HE732" s="1518"/>
      <c r="HF732" s="1518"/>
      <c r="HG732" s="1518"/>
      <c r="HH732" s="1518"/>
      <c r="HI732" s="1518"/>
      <c r="HJ732" s="1518"/>
      <c r="HK732" s="1518"/>
      <c r="HL732" s="1518"/>
      <c r="HM732" s="1518"/>
      <c r="HN732" s="1518"/>
      <c r="HO732" s="1518"/>
      <c r="HP732" s="1518"/>
      <c r="HQ732" s="1518"/>
      <c r="HR732" s="1518"/>
      <c r="HS732" s="1518"/>
      <c r="HT732" s="1518"/>
      <c r="HU732" s="1518"/>
      <c r="HV732" s="1518"/>
      <c r="HW732" s="1518"/>
      <c r="HX732" s="1518"/>
      <c r="HY732" s="1518"/>
      <c r="HZ732" s="1518"/>
      <c r="IA732" s="1518"/>
      <c r="IB732" s="1518"/>
      <c r="IC732" s="1518"/>
      <c r="ID732" s="1518"/>
      <c r="IK732" s="1522"/>
      <c r="IL732" s="1522"/>
      <c r="JB732" s="1522"/>
    </row>
    <row r="733" spans="1:262" ht="12" customHeight="1">
      <c r="A733" s="1697"/>
      <c r="B733" s="1697"/>
      <c r="C733" s="1629" t="s">
        <v>40</v>
      </c>
      <c r="D733" s="1629"/>
      <c r="E733" s="522" t="s">
        <v>2386</v>
      </c>
      <c r="F733" s="518"/>
      <c r="H733" s="519" t="s">
        <v>1494</v>
      </c>
      <c r="J733" s="1722">
        <f>DD709</f>
        <v>0</v>
      </c>
      <c r="K733" s="1722">
        <f>DE709</f>
        <v>139</v>
      </c>
      <c r="L733" s="1722">
        <f>DF709</f>
        <v>23</v>
      </c>
      <c r="M733" s="1722">
        <f>DG709</f>
        <v>0</v>
      </c>
      <c r="N733" s="1722">
        <f>DH709</f>
        <v>0</v>
      </c>
      <c r="O733" s="1722">
        <f t="shared" ref="O733:O743" si="264">SUM(J733:N733)</f>
        <v>162</v>
      </c>
      <c r="R733" s="1724"/>
      <c r="S733" s="1724"/>
      <c r="T733" s="1724"/>
      <c r="U733" s="1629">
        <f>'Part VI-Revenues &amp; Expenses'!U72</f>
        <v>0</v>
      </c>
      <c r="V733" s="1629"/>
      <c r="W733" s="518"/>
      <c r="X733" s="518"/>
      <c r="Y733" s="522"/>
      <c r="Z733" s="518"/>
      <c r="AA733" s="519"/>
      <c r="AB733" s="520"/>
      <c r="AC733" s="520"/>
      <c r="AD733" s="520"/>
      <c r="AE733" s="520"/>
      <c r="AF733" s="520"/>
      <c r="AG733" s="520"/>
      <c r="IK733" s="1522"/>
      <c r="IL733" s="1522"/>
      <c r="JB733" s="1522"/>
    </row>
    <row r="734" spans="1:262" ht="12" customHeight="1">
      <c r="A734" s="1697"/>
      <c r="B734" s="1697"/>
      <c r="C734" s="1629"/>
      <c r="D734" s="1629"/>
      <c r="E734" s="522"/>
      <c r="F734" s="518"/>
      <c r="H734" s="519" t="s">
        <v>317</v>
      </c>
      <c r="J734" s="1722">
        <f>DI709</f>
        <v>0</v>
      </c>
      <c r="K734" s="1722">
        <f>DJ709</f>
        <v>0</v>
      </c>
      <c r="L734" s="1722">
        <f>DK709</f>
        <v>0</v>
      </c>
      <c r="M734" s="1722">
        <f>DL709</f>
        <v>0</v>
      </c>
      <c r="N734" s="1722">
        <f>DM709</f>
        <v>0</v>
      </c>
      <c r="O734" s="1722">
        <f t="shared" si="264"/>
        <v>0</v>
      </c>
      <c r="R734" s="1724"/>
      <c r="S734" s="1724"/>
      <c r="T734" s="1724"/>
      <c r="U734" s="1629"/>
      <c r="V734" s="1629"/>
      <c r="W734" s="518"/>
      <c r="X734" s="518"/>
      <c r="Y734" s="522"/>
      <c r="Z734" s="518"/>
      <c r="AA734" s="519"/>
      <c r="AB734" s="520"/>
      <c r="AC734" s="520"/>
      <c r="AD734" s="520"/>
      <c r="AE734" s="520"/>
      <c r="AF734" s="520"/>
      <c r="AG734" s="520"/>
      <c r="AH734" s="502"/>
      <c r="AI734" s="518"/>
      <c r="GT734" s="1518"/>
      <c r="GY734" s="1518"/>
      <c r="GZ734" s="1518"/>
      <c r="HA734" s="1518"/>
      <c r="HB734" s="1518"/>
      <c r="HC734" s="1518"/>
      <c r="HD734" s="1518"/>
      <c r="HE734" s="1518"/>
      <c r="HF734" s="1518"/>
      <c r="HG734" s="1518"/>
      <c r="HH734" s="1518"/>
      <c r="HI734" s="1518"/>
      <c r="HJ734" s="1518"/>
      <c r="HK734" s="1518"/>
      <c r="HL734" s="1518"/>
      <c r="HM734" s="1518"/>
      <c r="HN734" s="1518"/>
      <c r="HO734" s="1518"/>
      <c r="HP734" s="1518"/>
      <c r="HQ734" s="1518"/>
      <c r="HR734" s="1518"/>
      <c r="HS734" s="1518"/>
      <c r="HT734" s="1518"/>
      <c r="HU734" s="1518"/>
      <c r="HV734" s="1518"/>
      <c r="HW734" s="1518"/>
      <c r="HX734" s="1518"/>
      <c r="HY734" s="1518"/>
      <c r="HZ734" s="1518"/>
      <c r="IA734" s="1518"/>
      <c r="IB734" s="1518"/>
      <c r="IC734" s="1518"/>
      <c r="ID734" s="1518"/>
      <c r="IK734" s="1522"/>
      <c r="IL734" s="1522"/>
      <c r="JB734" s="1522"/>
    </row>
    <row r="735" spans="1:262" ht="12" customHeight="1">
      <c r="A735" s="1697"/>
      <c r="B735" s="1697"/>
      <c r="C735" s="1629"/>
      <c r="D735" s="1629"/>
      <c r="E735" s="522"/>
      <c r="F735" s="518"/>
      <c r="H735" s="519" t="s">
        <v>33</v>
      </c>
      <c r="J735" s="1722">
        <f>SUM(J733:J734)+DN709</f>
        <v>0</v>
      </c>
      <c r="K735" s="1722">
        <f>SUM(K733:K734)+DO709</f>
        <v>139</v>
      </c>
      <c r="L735" s="1722">
        <f>SUM(L733:L734)+DP709</f>
        <v>23</v>
      </c>
      <c r="M735" s="1722">
        <f>SUM(M733:M734)+DQ709</f>
        <v>0</v>
      </c>
      <c r="N735" s="1722">
        <f>SUM(N733:N734)+DR709</f>
        <v>0</v>
      </c>
      <c r="O735" s="1722">
        <f t="shared" si="264"/>
        <v>162</v>
      </c>
      <c r="R735" s="1724"/>
      <c r="S735" s="1724"/>
      <c r="T735" s="1724"/>
      <c r="U735" s="1629"/>
      <c r="V735" s="1629"/>
      <c r="W735" s="521"/>
      <c r="X735" s="518"/>
      <c r="Y735" s="522"/>
      <c r="Z735" s="518"/>
      <c r="AA735" s="519"/>
      <c r="AB735" s="520"/>
      <c r="AC735" s="520"/>
      <c r="AD735" s="520"/>
      <c r="AE735" s="520"/>
      <c r="AF735" s="520"/>
      <c r="AG735" s="520"/>
      <c r="AH735" s="519"/>
      <c r="AI735" s="518"/>
      <c r="GT735" s="1518"/>
      <c r="GY735" s="1518"/>
      <c r="GZ735" s="1518"/>
      <c r="HA735" s="1518"/>
      <c r="HB735" s="1518"/>
      <c r="HC735" s="1518"/>
      <c r="HD735" s="1518"/>
      <c r="HE735" s="1518"/>
      <c r="HF735" s="1518"/>
      <c r="HG735" s="1518"/>
      <c r="HH735" s="1518"/>
      <c r="HI735" s="1518"/>
      <c r="HJ735" s="1518"/>
      <c r="HK735" s="1518"/>
      <c r="HL735" s="1518"/>
      <c r="HM735" s="1518"/>
      <c r="HN735" s="1518"/>
      <c r="HO735" s="1518"/>
      <c r="HP735" s="1518"/>
      <c r="HQ735" s="1518"/>
      <c r="HR735" s="1518"/>
      <c r="HS735" s="1518"/>
      <c r="HT735" s="1518"/>
      <c r="HU735" s="1518"/>
      <c r="HV735" s="1518"/>
      <c r="HW735" s="1518"/>
      <c r="HX735" s="1518"/>
      <c r="HY735" s="1518"/>
      <c r="HZ735" s="1518"/>
      <c r="IA735" s="1518"/>
      <c r="IB735" s="1518"/>
      <c r="IC735" s="1518"/>
      <c r="ID735" s="1518"/>
      <c r="IK735" s="1522"/>
      <c r="IL735" s="1522"/>
      <c r="JB735" s="1522"/>
    </row>
    <row r="736" spans="1:262" ht="12" customHeight="1">
      <c r="A736" s="1697"/>
      <c r="B736" s="1697"/>
      <c r="C736" s="1629"/>
      <c r="D736" s="1629"/>
      <c r="E736" s="522" t="s">
        <v>2225</v>
      </c>
      <c r="F736" s="518"/>
      <c r="H736" s="519" t="s">
        <v>1494</v>
      </c>
      <c r="J736" s="1722">
        <f>DS709</f>
        <v>0</v>
      </c>
      <c r="K736" s="1722">
        <f>DT709</f>
        <v>0</v>
      </c>
      <c r="L736" s="1722">
        <f>DU709</f>
        <v>0</v>
      </c>
      <c r="M736" s="1722">
        <f>DV709</f>
        <v>0</v>
      </c>
      <c r="N736" s="1722">
        <f>DW709</f>
        <v>0</v>
      </c>
      <c r="O736" s="1722">
        <f t="shared" si="264"/>
        <v>0</v>
      </c>
      <c r="R736" s="1724"/>
      <c r="S736" s="1724"/>
      <c r="T736" s="1724"/>
      <c r="U736" s="1629"/>
      <c r="V736" s="1629"/>
      <c r="W736" s="518"/>
      <c r="X736" s="518"/>
      <c r="Y736" s="522"/>
      <c r="Z736" s="518"/>
      <c r="AA736" s="519"/>
      <c r="AB736" s="520"/>
      <c r="AC736" s="520"/>
      <c r="AD736" s="520"/>
      <c r="AE736" s="520"/>
      <c r="AF736" s="520"/>
      <c r="AG736" s="520"/>
      <c r="IK736" s="1522"/>
      <c r="IL736" s="1522"/>
      <c r="JB736" s="1522"/>
    </row>
    <row r="737" spans="1:262" ht="12" customHeight="1">
      <c r="A737" s="1697"/>
      <c r="B737" s="1697"/>
      <c r="C737" s="1629"/>
      <c r="D737" s="1629"/>
      <c r="E737" s="522"/>
      <c r="F737" s="518"/>
      <c r="H737" s="519" t="s">
        <v>317</v>
      </c>
      <c r="J737" s="1722">
        <f>DX709</f>
        <v>0</v>
      </c>
      <c r="K737" s="1722">
        <f>DY709</f>
        <v>0</v>
      </c>
      <c r="L737" s="1722">
        <f>DZ709</f>
        <v>0</v>
      </c>
      <c r="M737" s="1722">
        <f>EA709</f>
        <v>0</v>
      </c>
      <c r="N737" s="1722">
        <f>EB709</f>
        <v>0</v>
      </c>
      <c r="O737" s="1722">
        <f t="shared" si="264"/>
        <v>0</v>
      </c>
      <c r="R737" s="1724"/>
      <c r="S737" s="1724"/>
      <c r="T737" s="1724"/>
      <c r="U737" s="1629"/>
      <c r="V737" s="1629"/>
      <c r="W737" s="518"/>
      <c r="X737" s="518"/>
      <c r="Y737" s="522"/>
      <c r="Z737" s="518"/>
      <c r="AA737" s="519"/>
      <c r="AB737" s="520"/>
      <c r="AC737" s="520"/>
      <c r="AD737" s="520"/>
      <c r="AE737" s="520"/>
      <c r="AF737" s="520"/>
      <c r="AG737" s="520"/>
      <c r="AH737" s="502"/>
      <c r="AI737" s="518"/>
      <c r="GT737" s="1518"/>
      <c r="GY737" s="1518"/>
      <c r="GZ737" s="1518"/>
      <c r="HA737" s="1518"/>
      <c r="HB737" s="1518"/>
      <c r="HC737" s="1518"/>
      <c r="HD737" s="1518"/>
      <c r="HE737" s="1518"/>
      <c r="HF737" s="1518"/>
      <c r="HG737" s="1518"/>
      <c r="HH737" s="1518"/>
      <c r="HI737" s="1518"/>
      <c r="HJ737" s="1518"/>
      <c r="HK737" s="1518"/>
      <c r="HL737" s="1518"/>
      <c r="HM737" s="1518"/>
      <c r="HN737" s="1518"/>
      <c r="HO737" s="1518"/>
      <c r="HP737" s="1518"/>
      <c r="HQ737" s="1518"/>
      <c r="HR737" s="1518"/>
      <c r="HS737" s="1518"/>
      <c r="HT737" s="1518"/>
      <c r="HU737" s="1518"/>
      <c r="HV737" s="1518"/>
      <c r="HW737" s="1518"/>
      <c r="HX737" s="1518"/>
      <c r="HY737" s="1518"/>
      <c r="HZ737" s="1518"/>
      <c r="IA737" s="1518"/>
      <c r="IB737" s="1518"/>
      <c r="IC737" s="1518"/>
      <c r="ID737" s="1518"/>
      <c r="IK737" s="1522"/>
      <c r="IL737" s="1522"/>
      <c r="JB737" s="1522"/>
    </row>
    <row r="738" spans="1:262" ht="12" customHeight="1">
      <c r="A738" s="1697"/>
      <c r="B738" s="1697"/>
      <c r="C738" s="1629"/>
      <c r="D738" s="1629"/>
      <c r="E738" s="522"/>
      <c r="F738" s="518"/>
      <c r="H738" s="519" t="s">
        <v>33</v>
      </c>
      <c r="J738" s="1722">
        <f>SUM(J736:J737)+EC709</f>
        <v>0</v>
      </c>
      <c r="K738" s="1722">
        <f>SUM(K736:K737)+ED709</f>
        <v>0</v>
      </c>
      <c r="L738" s="1722">
        <f>SUM(L736:L737)+EE709</f>
        <v>0</v>
      </c>
      <c r="M738" s="1722">
        <f>SUM(M736:M737)+EF709</f>
        <v>0</v>
      </c>
      <c r="N738" s="1722">
        <f>SUM(N736:N737)+EG709</f>
        <v>0</v>
      </c>
      <c r="O738" s="1722">
        <f t="shared" si="264"/>
        <v>0</v>
      </c>
      <c r="R738" s="1724"/>
      <c r="S738" s="1724"/>
      <c r="T738" s="1724"/>
      <c r="U738" s="1629"/>
      <c r="V738" s="1629"/>
      <c r="W738" s="521"/>
      <c r="X738" s="518"/>
      <c r="Y738" s="522"/>
      <c r="Z738" s="518"/>
      <c r="AA738" s="519"/>
      <c r="AB738" s="520"/>
      <c r="AC738" s="520"/>
      <c r="AD738" s="520"/>
      <c r="AE738" s="520"/>
      <c r="AF738" s="520"/>
      <c r="AG738" s="520"/>
      <c r="AH738" s="519"/>
      <c r="AI738" s="518"/>
      <c r="GT738" s="1518"/>
      <c r="GY738" s="1518"/>
      <c r="GZ738" s="1518"/>
      <c r="HA738" s="1518"/>
      <c r="HB738" s="1518"/>
      <c r="HC738" s="1518"/>
      <c r="HD738" s="1518"/>
      <c r="HE738" s="1518"/>
      <c r="HF738" s="1518"/>
      <c r="HG738" s="1518"/>
      <c r="HH738" s="1518"/>
      <c r="HI738" s="1518"/>
      <c r="HJ738" s="1518"/>
      <c r="HK738" s="1518"/>
      <c r="HL738" s="1518"/>
      <c r="HM738" s="1518"/>
      <c r="HN738" s="1518"/>
      <c r="HO738" s="1518"/>
      <c r="HP738" s="1518"/>
      <c r="HQ738" s="1518"/>
      <c r="HR738" s="1518"/>
      <c r="HS738" s="1518"/>
      <c r="HT738" s="1518"/>
      <c r="HU738" s="1518"/>
      <c r="HV738" s="1518"/>
      <c r="HW738" s="1518"/>
      <c r="HX738" s="1518"/>
      <c r="HY738" s="1518"/>
      <c r="HZ738" s="1518"/>
      <c r="IA738" s="1518"/>
      <c r="IB738" s="1518"/>
      <c r="IC738" s="1518"/>
      <c r="ID738" s="1518"/>
      <c r="IK738" s="1522"/>
      <c r="IL738" s="1522"/>
      <c r="JB738" s="1522"/>
    </row>
    <row r="739" spans="1:262" ht="12" customHeight="1">
      <c r="A739" s="1697"/>
      <c r="B739" s="1697"/>
      <c r="C739" s="1634"/>
      <c r="D739" s="518"/>
      <c r="E739" s="1634" t="s">
        <v>1480</v>
      </c>
      <c r="F739" s="1634"/>
      <c r="H739" s="519" t="s">
        <v>1494</v>
      </c>
      <c r="J739" s="1722">
        <f>EH709</f>
        <v>0</v>
      </c>
      <c r="K739" s="1722">
        <f>EI709</f>
        <v>0</v>
      </c>
      <c r="L739" s="1722">
        <f>EJ709</f>
        <v>0</v>
      </c>
      <c r="M739" s="1722">
        <f>EK709</f>
        <v>0</v>
      </c>
      <c r="N739" s="1722">
        <f>EL709</f>
        <v>0</v>
      </c>
      <c r="O739" s="1722">
        <f t="shared" si="264"/>
        <v>0</v>
      </c>
      <c r="R739" s="1724"/>
      <c r="S739" s="1724"/>
      <c r="T739" s="1724"/>
      <c r="U739" s="1629"/>
      <c r="V739" s="1629"/>
      <c r="W739" s="518"/>
      <c r="X739" s="518"/>
      <c r="Y739" s="522"/>
      <c r="Z739" s="518"/>
      <c r="AA739" s="519"/>
      <c r="AB739" s="520"/>
      <c r="AC739" s="520"/>
      <c r="AD739" s="520"/>
      <c r="AE739" s="520"/>
      <c r="AF739" s="520"/>
      <c r="AG739" s="520"/>
      <c r="IK739" s="1522"/>
      <c r="IL739" s="1522"/>
      <c r="JB739" s="1522"/>
    </row>
    <row r="740" spans="1:262" ht="12" customHeight="1">
      <c r="A740" s="1697"/>
      <c r="B740" s="1697"/>
      <c r="C740" s="1634"/>
      <c r="D740" s="518"/>
      <c r="E740" s="1634"/>
      <c r="F740" s="1634"/>
      <c r="H740" s="519" t="s">
        <v>317</v>
      </c>
      <c r="J740" s="1722">
        <f>EM709</f>
        <v>0</v>
      </c>
      <c r="K740" s="1722">
        <f>EN709</f>
        <v>0</v>
      </c>
      <c r="L740" s="1722">
        <f>EO709</f>
        <v>0</v>
      </c>
      <c r="M740" s="1722">
        <f>EP709</f>
        <v>0</v>
      </c>
      <c r="N740" s="1722">
        <f>EQ709</f>
        <v>0</v>
      </c>
      <c r="O740" s="1722">
        <f t="shared" si="264"/>
        <v>0</v>
      </c>
      <c r="R740" s="1724"/>
      <c r="S740" s="1724"/>
      <c r="T740" s="1724"/>
      <c r="U740" s="1629"/>
      <c r="V740" s="1629"/>
      <c r="W740" s="518"/>
      <c r="X740" s="518"/>
      <c r="Y740" s="518"/>
      <c r="Z740" s="518"/>
      <c r="AA740" s="519"/>
      <c r="AB740" s="520"/>
      <c r="AC740" s="520"/>
      <c r="AD740" s="520"/>
      <c r="AE740" s="520"/>
      <c r="AF740" s="520"/>
      <c r="AG740" s="520"/>
      <c r="AH740" s="502"/>
      <c r="AI740" s="518"/>
      <c r="GT740" s="1518"/>
      <c r="GY740" s="1518"/>
      <c r="GZ740" s="1518"/>
      <c r="HA740" s="1518"/>
      <c r="HB740" s="1518"/>
      <c r="HC740" s="1518"/>
      <c r="HD740" s="1518"/>
      <c r="HE740" s="1518"/>
      <c r="HF740" s="1518"/>
      <c r="HG740" s="1518"/>
      <c r="HH740" s="1518"/>
      <c r="HI740" s="1518"/>
      <c r="HJ740" s="1518"/>
      <c r="HK740" s="1518"/>
      <c r="HL740" s="1518"/>
      <c r="HM740" s="1518"/>
      <c r="HN740" s="1518"/>
      <c r="HO740" s="1518"/>
      <c r="HP740" s="1518"/>
      <c r="HQ740" s="1518"/>
      <c r="HR740" s="1518"/>
      <c r="HS740" s="1518"/>
      <c r="HT740" s="1518"/>
      <c r="HU740" s="1518"/>
      <c r="HV740" s="1518"/>
      <c r="HW740" s="1518"/>
      <c r="HX740" s="1518"/>
      <c r="HY740" s="1518"/>
      <c r="HZ740" s="1518"/>
      <c r="IA740" s="1518"/>
      <c r="IB740" s="1518"/>
      <c r="IC740" s="1518"/>
      <c r="ID740" s="1518"/>
      <c r="IK740" s="1522"/>
      <c r="IL740" s="1522"/>
      <c r="JB740" s="1522"/>
    </row>
    <row r="741" spans="1:262" ht="12" customHeight="1">
      <c r="A741" s="1697"/>
      <c r="B741" s="1697"/>
      <c r="C741" s="1634"/>
      <c r="D741" s="518"/>
      <c r="E741" s="522"/>
      <c r="F741" s="518"/>
      <c r="H741" s="519" t="s">
        <v>33</v>
      </c>
      <c r="J741" s="1722">
        <f>SUM(J739:J740)+ER709</f>
        <v>0</v>
      </c>
      <c r="K741" s="1722">
        <f>SUM(K739:K740)+ES709</f>
        <v>0</v>
      </c>
      <c r="L741" s="1722">
        <f>SUM(L739:L740)+ET709</f>
        <v>0</v>
      </c>
      <c r="M741" s="1722">
        <f>SUM(M739:M740)+EU709</f>
        <v>0</v>
      </c>
      <c r="N741" s="1722">
        <f>SUM(N739:N740)+EV709</f>
        <v>0</v>
      </c>
      <c r="O741" s="1722">
        <f t="shared" si="264"/>
        <v>0</v>
      </c>
      <c r="R741" s="1724"/>
      <c r="S741" s="1724"/>
      <c r="T741" s="1724"/>
      <c r="U741" s="1629"/>
      <c r="V741" s="1629"/>
      <c r="W741" s="521"/>
      <c r="X741" s="518"/>
      <c r="Y741" s="522"/>
      <c r="Z741" s="518"/>
      <c r="AA741" s="519"/>
      <c r="AB741" s="520"/>
      <c r="AC741" s="520"/>
      <c r="AD741" s="520"/>
      <c r="AE741" s="520"/>
      <c r="AF741" s="520"/>
      <c r="AG741" s="520"/>
      <c r="AH741" s="519"/>
      <c r="AI741" s="518"/>
      <c r="GT741" s="1518"/>
      <c r="GY741" s="1518"/>
      <c r="GZ741" s="1518"/>
      <c r="HA741" s="1518"/>
      <c r="HB741" s="1518"/>
      <c r="HC741" s="1518"/>
      <c r="HD741" s="1518"/>
      <c r="HE741" s="1518"/>
      <c r="HF741" s="1518"/>
      <c r="HG741" s="1518"/>
      <c r="HH741" s="1518"/>
      <c r="HI741" s="1518"/>
      <c r="HJ741" s="1518"/>
      <c r="HK741" s="1518"/>
      <c r="HL741" s="1518"/>
      <c r="HM741" s="1518"/>
      <c r="HN741" s="1518"/>
      <c r="HO741" s="1518"/>
      <c r="HP741" s="1518"/>
      <c r="HQ741" s="1518"/>
      <c r="HR741" s="1518"/>
      <c r="HS741" s="1518"/>
      <c r="HT741" s="1518"/>
      <c r="HU741" s="1518"/>
      <c r="HV741" s="1518"/>
      <c r="HW741" s="1518"/>
      <c r="HX741" s="1518"/>
      <c r="HY741" s="1518"/>
      <c r="HZ741" s="1518"/>
      <c r="IA741" s="1518"/>
      <c r="IB741" s="1518"/>
      <c r="IC741" s="1518"/>
      <c r="ID741" s="1518"/>
      <c r="IK741" s="1522"/>
      <c r="IL741" s="1522"/>
      <c r="JB741" s="1522"/>
    </row>
    <row r="742" spans="1:262" ht="12" customHeight="1">
      <c r="A742" s="1697"/>
      <c r="B742" s="1697"/>
      <c r="C742" s="1634"/>
      <c r="D742" s="518"/>
      <c r="E742" s="522" t="s">
        <v>380</v>
      </c>
      <c r="F742" s="518"/>
      <c r="G742" s="1532"/>
      <c r="J742" s="1722">
        <f>'Part VI-Revenues &amp; Expenses'!J81</f>
        <v>0</v>
      </c>
      <c r="K742" s="1722">
        <f>'Part VI-Revenues &amp; Expenses'!K81</f>
        <v>0</v>
      </c>
      <c r="L742" s="1722">
        <f>'Part VI-Revenues &amp; Expenses'!L81</f>
        <v>0</v>
      </c>
      <c r="M742" s="1722">
        <f>'Part VI-Revenues &amp; Expenses'!M81</f>
        <v>0</v>
      </c>
      <c r="N742" s="1722">
        <f>'Part VI-Revenues &amp; Expenses'!N81</f>
        <v>0</v>
      </c>
      <c r="O742" s="1722">
        <f t="shared" si="264"/>
        <v>0</v>
      </c>
      <c r="U742" s="1629"/>
      <c r="V742" s="1629"/>
      <c r="W742" s="518"/>
      <c r="X742" s="518"/>
      <c r="Y742" s="518"/>
      <c r="Z742" s="518"/>
      <c r="AA742" s="519"/>
      <c r="AB742" s="520"/>
      <c r="AC742" s="520"/>
      <c r="AD742" s="520"/>
      <c r="AE742" s="520"/>
      <c r="AF742" s="520"/>
      <c r="AG742" s="520"/>
      <c r="AH742" s="502"/>
      <c r="AI742" s="518"/>
      <c r="GT742" s="1518"/>
      <c r="GY742" s="1518"/>
      <c r="GZ742" s="1518"/>
      <c r="HA742" s="1518"/>
      <c r="HB742" s="1518"/>
      <c r="HC742" s="1518"/>
      <c r="HD742" s="1518"/>
      <c r="HE742" s="1518"/>
      <c r="HF742" s="1518"/>
      <c r="HG742" s="1518"/>
      <c r="HH742" s="1518"/>
      <c r="HI742" s="1518"/>
      <c r="HJ742" s="1518"/>
      <c r="HK742" s="1518"/>
      <c r="HL742" s="1518"/>
      <c r="HM742" s="1518"/>
      <c r="HN742" s="1518"/>
      <c r="HO742" s="1518"/>
      <c r="HP742" s="1518"/>
      <c r="HQ742" s="1518"/>
      <c r="HR742" s="1518"/>
      <c r="HS742" s="1518"/>
      <c r="HT742" s="1518"/>
      <c r="HU742" s="1518"/>
      <c r="HV742" s="1518"/>
      <c r="HW742" s="1518"/>
      <c r="HX742" s="1518"/>
      <c r="HY742" s="1518"/>
      <c r="HZ742" s="1518"/>
      <c r="IA742" s="1518"/>
      <c r="IB742" s="1518"/>
      <c r="IC742" s="1518"/>
      <c r="ID742" s="1518"/>
      <c r="IK742" s="1522"/>
      <c r="IL742" s="1522"/>
      <c r="JB742" s="1522"/>
    </row>
    <row r="743" spans="1:262" ht="12" customHeight="1">
      <c r="A743" s="1726" t="str">
        <f>IF(AND('Part IV-Uses of Funds'!$T$164="Yes",'Part IX A-Scoring Criteria'!$O$310&gt;0,O743&lt;1),"SHOW HISTORIC UNITS HERE &gt;&gt;&gt;&gt;","")</f>
        <v/>
      </c>
      <c r="B743" s="1726"/>
      <c r="C743" s="1726"/>
      <c r="D743" s="1726"/>
      <c r="E743" s="522" t="s">
        <v>4578</v>
      </c>
      <c r="F743" s="518"/>
      <c r="G743" s="1532"/>
      <c r="J743" s="1722">
        <f>'Part VI-Revenues &amp; Expenses'!J82</f>
        <v>0</v>
      </c>
      <c r="K743" s="1722">
        <f>'Part VI-Revenues &amp; Expenses'!K82</f>
        <v>0</v>
      </c>
      <c r="L743" s="1722">
        <f>'Part VI-Revenues &amp; Expenses'!L82</f>
        <v>0</v>
      </c>
      <c r="M743" s="1722">
        <f>'Part VI-Revenues &amp; Expenses'!M82</f>
        <v>0</v>
      </c>
      <c r="N743" s="1722">
        <f>'Part VI-Revenues &amp; Expenses'!N82</f>
        <v>0</v>
      </c>
      <c r="O743" s="1722">
        <f t="shared" si="264"/>
        <v>0</v>
      </c>
      <c r="U743" s="1629"/>
      <c r="V743" s="1629"/>
      <c r="W743" s="518"/>
      <c r="X743" s="518"/>
      <c r="Y743" s="518"/>
      <c r="Z743" s="518"/>
      <c r="AA743" s="519"/>
      <c r="AB743" s="520"/>
      <c r="AC743" s="520"/>
      <c r="AD743" s="520"/>
      <c r="AE743" s="520"/>
      <c r="AF743" s="520"/>
      <c r="AG743" s="520"/>
      <c r="AH743" s="502"/>
      <c r="AI743" s="518"/>
      <c r="GT743" s="1518"/>
      <c r="GY743" s="1518"/>
      <c r="GZ743" s="1518"/>
      <c r="HA743" s="1518"/>
      <c r="HB743" s="1518"/>
      <c r="HC743" s="1518"/>
      <c r="HD743" s="1518"/>
      <c r="HE743" s="1518"/>
      <c r="HF743" s="1518"/>
      <c r="HG743" s="1518"/>
      <c r="HH743" s="1518"/>
      <c r="HI743" s="1518"/>
      <c r="HJ743" s="1518"/>
      <c r="HK743" s="1518"/>
      <c r="HL743" s="1518"/>
      <c r="HM743" s="1518"/>
      <c r="HN743" s="1518"/>
      <c r="HO743" s="1518"/>
      <c r="HP743" s="1518"/>
      <c r="HQ743" s="1518"/>
      <c r="HR743" s="1518"/>
      <c r="HS743" s="1518"/>
      <c r="HT743" s="1518"/>
      <c r="HU743" s="1518"/>
      <c r="HV743" s="1518"/>
      <c r="HW743" s="1518"/>
      <c r="HX743" s="1518"/>
      <c r="HY743" s="1518"/>
      <c r="HZ743" s="1518"/>
      <c r="IA743" s="1518"/>
      <c r="IB743" s="1518"/>
      <c r="IC743" s="1518"/>
      <c r="ID743" s="1518"/>
      <c r="IK743" s="1522"/>
      <c r="IL743" s="1522"/>
      <c r="JB743" s="1522"/>
    </row>
    <row r="744" spans="1:262" ht="9" customHeight="1">
      <c r="A744" s="1727"/>
      <c r="B744" s="1727"/>
      <c r="C744" s="1727"/>
      <c r="D744" s="1727"/>
      <c r="E744" s="522"/>
      <c r="F744" s="518"/>
      <c r="G744" s="1532"/>
      <c r="J744" s="519"/>
      <c r="K744" s="519"/>
      <c r="L744" s="519"/>
      <c r="M744" s="519"/>
      <c r="N744" s="519"/>
      <c r="O744" s="519"/>
      <c r="U744" s="1629"/>
      <c r="V744" s="1629"/>
      <c r="W744" s="518"/>
      <c r="X744" s="518"/>
      <c r="Y744" s="518"/>
      <c r="Z744" s="518"/>
      <c r="AA744" s="519"/>
      <c r="AB744" s="520"/>
      <c r="AC744" s="520"/>
      <c r="AD744" s="520"/>
      <c r="AE744" s="520"/>
      <c r="AF744" s="520"/>
      <c r="AG744" s="520"/>
      <c r="AH744" s="502"/>
      <c r="AI744" s="518"/>
      <c r="GT744" s="1518"/>
      <c r="GY744" s="1518"/>
      <c r="GZ744" s="1518"/>
      <c r="HA744" s="1518"/>
      <c r="HB744" s="1518"/>
      <c r="HC744" s="1518"/>
      <c r="HD744" s="1518"/>
      <c r="HE744" s="1518"/>
      <c r="HF744" s="1518"/>
      <c r="HG744" s="1518"/>
      <c r="HH744" s="1518"/>
      <c r="HI744" s="1518"/>
      <c r="HJ744" s="1518"/>
      <c r="HK744" s="1518"/>
      <c r="HL744" s="1518"/>
      <c r="HM744" s="1518"/>
      <c r="HN744" s="1518"/>
      <c r="HO744" s="1518"/>
      <c r="HP744" s="1518"/>
      <c r="HQ744" s="1518"/>
      <c r="HR744" s="1518"/>
      <c r="HS744" s="1518"/>
      <c r="HT744" s="1518"/>
      <c r="HU744" s="1518"/>
      <c r="HV744" s="1518"/>
      <c r="HW744" s="1518"/>
      <c r="HX744" s="1518"/>
      <c r="HY744" s="1518"/>
      <c r="HZ744" s="1518"/>
      <c r="IA744" s="1518"/>
      <c r="IB744" s="1518"/>
      <c r="IC744" s="1518"/>
      <c r="ID744" s="1518"/>
      <c r="IK744" s="1522"/>
      <c r="IL744" s="1522"/>
      <c r="JB744" s="1522"/>
    </row>
    <row r="745" spans="1:262" ht="12" customHeight="1">
      <c r="A745" s="1727"/>
      <c r="B745" s="1727"/>
      <c r="C745" s="1727"/>
      <c r="D745" s="1727"/>
      <c r="E745" s="522" t="s">
        <v>3688</v>
      </c>
      <c r="F745" s="518"/>
      <c r="G745" s="1532"/>
      <c r="J745" s="1722">
        <f>J749+J751+J753+J755+J757+J759+J761+J763</f>
        <v>0</v>
      </c>
      <c r="K745" s="1722">
        <f>K749+K751+K753+K755+K757+K759+K761+K763</f>
        <v>0</v>
      </c>
      <c r="L745" s="1722">
        <f>L749+L751+L753+L755+L757+L759+L761+L763</f>
        <v>0</v>
      </c>
      <c r="M745" s="1722">
        <f>M749+M751+M753+M755+M757+M759+M761+M763</f>
        <v>0</v>
      </c>
      <c r="N745" s="1722">
        <f>N749+N751+N753+N755+N757+N759+N761+N763</f>
        <v>0</v>
      </c>
      <c r="O745" s="1722">
        <f>SUM(J745:N745)</f>
        <v>0</v>
      </c>
      <c r="U745" s="1629"/>
      <c r="V745" s="1629"/>
      <c r="W745" s="518"/>
      <c r="X745" s="518"/>
      <c r="Y745" s="518"/>
      <c r="Z745" s="518"/>
      <c r="AA745" s="519"/>
      <c r="AB745" s="520"/>
      <c r="AC745" s="520"/>
      <c r="AD745" s="520"/>
      <c r="AE745" s="520"/>
      <c r="AF745" s="520"/>
      <c r="AG745" s="520"/>
      <c r="AH745" s="502"/>
      <c r="AI745" s="518"/>
      <c r="GT745" s="1518"/>
      <c r="GY745" s="1518"/>
      <c r="GZ745" s="1518"/>
      <c r="HA745" s="1518"/>
      <c r="HB745" s="1518"/>
      <c r="HC745" s="1518"/>
      <c r="HD745" s="1518"/>
      <c r="HE745" s="1518"/>
      <c r="HF745" s="1518"/>
      <c r="HG745" s="1518"/>
      <c r="HH745" s="1518"/>
      <c r="HI745" s="1518"/>
      <c r="HJ745" s="1518"/>
      <c r="HK745" s="1518"/>
      <c r="HL745" s="1518"/>
      <c r="HM745" s="1518"/>
      <c r="HN745" s="1518"/>
      <c r="HO745" s="1518"/>
      <c r="HP745" s="1518"/>
      <c r="HQ745" s="1518"/>
      <c r="HR745" s="1518"/>
      <c r="HS745" s="1518"/>
      <c r="HT745" s="1518"/>
      <c r="HU745" s="1518"/>
      <c r="HV745" s="1518"/>
      <c r="HW745" s="1518"/>
      <c r="HX745" s="1518"/>
      <c r="HY745" s="1518"/>
      <c r="HZ745" s="1518"/>
      <c r="IA745" s="1518"/>
      <c r="IB745" s="1518"/>
      <c r="IC745" s="1518"/>
      <c r="ID745" s="1518"/>
      <c r="IK745" s="1522"/>
      <c r="IL745" s="1522"/>
      <c r="JB745" s="1522"/>
    </row>
    <row r="746" spans="1:262" ht="9.75" customHeight="1">
      <c r="D746" s="518"/>
      <c r="E746" s="522"/>
      <c r="F746" s="518"/>
      <c r="G746" s="1532"/>
      <c r="J746" s="1725"/>
      <c r="K746" s="1725"/>
      <c r="L746" s="1725"/>
      <c r="M746" s="1725"/>
      <c r="N746" s="1725"/>
      <c r="O746" s="1725"/>
      <c r="R746" s="1724"/>
      <c r="S746" s="1724"/>
      <c r="T746" s="1724"/>
      <c r="U746" s="1582" t="str">
        <f>C747</f>
        <v>Building Type: (for Utility Allowance and other purposes)</v>
      </c>
      <c r="W746" s="518"/>
      <c r="X746" s="518"/>
      <c r="Y746" s="522"/>
      <c r="Z746" s="518"/>
      <c r="AA746" s="519"/>
      <c r="AB746" s="518"/>
      <c r="AC746" s="518"/>
      <c r="AD746" s="518"/>
      <c r="AE746" s="518"/>
      <c r="AF746" s="518"/>
      <c r="AG746" s="518"/>
      <c r="AI746" s="518"/>
      <c r="GT746" s="1518"/>
      <c r="GY746" s="1518"/>
      <c r="GZ746" s="1518"/>
      <c r="HA746" s="1518"/>
      <c r="HB746" s="1518"/>
      <c r="HC746" s="1518"/>
      <c r="HD746" s="1518"/>
      <c r="HE746" s="1518"/>
      <c r="HF746" s="1518"/>
      <c r="HG746" s="1518"/>
      <c r="HH746" s="1518"/>
      <c r="HI746" s="1518"/>
      <c r="HJ746" s="1518"/>
      <c r="HK746" s="1518"/>
      <c r="HL746" s="1518"/>
      <c r="HM746" s="1518"/>
      <c r="HN746" s="1518"/>
      <c r="HO746" s="1518"/>
      <c r="HP746" s="1518"/>
      <c r="HQ746" s="1518"/>
      <c r="HR746" s="1518"/>
      <c r="HS746" s="1518"/>
      <c r="HT746" s="1518"/>
      <c r="HU746" s="1518"/>
      <c r="HV746" s="1518"/>
      <c r="HW746" s="1518"/>
      <c r="HX746" s="1518"/>
      <c r="HY746" s="1518"/>
      <c r="HZ746" s="1518"/>
      <c r="IA746" s="1518"/>
      <c r="IB746" s="1518"/>
      <c r="IC746" s="1518"/>
      <c r="ID746" s="1518"/>
      <c r="IK746" s="1522"/>
      <c r="IL746" s="1522"/>
      <c r="JB746" s="1522"/>
    </row>
    <row r="747" spans="1:262" ht="12" customHeight="1">
      <c r="C747" s="1629" t="s">
        <v>4579</v>
      </c>
      <c r="D747" s="1629"/>
      <c r="E747" s="522" t="s">
        <v>41</v>
      </c>
      <c r="F747" s="518"/>
      <c r="G747" s="1532"/>
      <c r="J747" s="1722">
        <f t="shared" ref="J747:O747" si="265">SUM(J748:J755)</f>
        <v>0</v>
      </c>
      <c r="K747" s="1722">
        <f t="shared" si="265"/>
        <v>139</v>
      </c>
      <c r="L747" s="1722">
        <f t="shared" si="265"/>
        <v>23</v>
      </c>
      <c r="M747" s="1722">
        <f t="shared" si="265"/>
        <v>0</v>
      </c>
      <c r="N747" s="1722">
        <f t="shared" si="265"/>
        <v>0</v>
      </c>
      <c r="O747" s="1722">
        <f t="shared" si="265"/>
        <v>162</v>
      </c>
      <c r="R747" s="1724"/>
      <c r="S747" s="1724"/>
      <c r="T747" s="1724"/>
      <c r="U747" s="1629">
        <f>'Part VI-Revenues &amp; Expenses'!U86</f>
        <v>0</v>
      </c>
      <c r="V747" s="1629"/>
      <c r="W747" s="518"/>
      <c r="X747" s="518"/>
      <c r="Y747" s="522"/>
      <c r="Z747" s="518"/>
      <c r="AA747" s="519"/>
      <c r="AB747" s="520"/>
      <c r="AC747" s="520"/>
      <c r="AD747" s="520"/>
      <c r="AE747" s="520"/>
      <c r="AF747" s="520"/>
      <c r="AG747" s="520"/>
      <c r="IK747" s="1522"/>
      <c r="IL747" s="1522"/>
      <c r="JB747" s="1522"/>
    </row>
    <row r="748" spans="1:262" ht="12" customHeight="1">
      <c r="C748" s="1629"/>
      <c r="D748" s="1629"/>
      <c r="E748" s="522"/>
      <c r="F748" s="518"/>
      <c r="H748" s="1728" t="s">
        <v>2704</v>
      </c>
      <c r="J748" s="1722">
        <f>GP709</f>
        <v>0</v>
      </c>
      <c r="K748" s="1722">
        <f>GQ709</f>
        <v>0</v>
      </c>
      <c r="L748" s="1722">
        <f>GR709</f>
        <v>0</v>
      </c>
      <c r="M748" s="1722">
        <f>GS709</f>
        <v>0</v>
      </c>
      <c r="N748" s="1722">
        <f>GT709</f>
        <v>0</v>
      </c>
      <c r="O748" s="1722">
        <f t="shared" ref="O748:O763" si="266">SUM(J748:N748)</f>
        <v>0</v>
      </c>
      <c r="R748" s="1724"/>
      <c r="S748" s="1724"/>
      <c r="T748" s="1724"/>
      <c r="U748" s="1629"/>
      <c r="V748" s="1629"/>
      <c r="W748" s="518"/>
      <c r="X748" s="518"/>
      <c r="Y748" s="522"/>
      <c r="Z748" s="518"/>
      <c r="AA748" s="519"/>
      <c r="AB748" s="520"/>
      <c r="AC748" s="520"/>
      <c r="AD748" s="520"/>
      <c r="AE748" s="520"/>
      <c r="AF748" s="520"/>
      <c r="AG748" s="520"/>
      <c r="IK748" s="1522"/>
      <c r="IL748" s="1522"/>
      <c r="JB748" s="1522"/>
    </row>
    <row r="749" spans="1:262" ht="12" customHeight="1">
      <c r="C749" s="1629"/>
      <c r="D749" s="1629"/>
      <c r="E749" s="522"/>
      <c r="F749" s="518"/>
      <c r="H749" s="1729" t="s">
        <v>3688</v>
      </c>
      <c r="J749" s="1722">
        <f>GU709</f>
        <v>0</v>
      </c>
      <c r="K749" s="1722">
        <f>GV709</f>
        <v>0</v>
      </c>
      <c r="L749" s="1722">
        <f>GW709</f>
        <v>0</v>
      </c>
      <c r="M749" s="1722">
        <f>GX709</f>
        <v>0</v>
      </c>
      <c r="N749" s="1722">
        <f>GY709</f>
        <v>0</v>
      </c>
      <c r="O749" s="1722">
        <f t="shared" si="266"/>
        <v>0</v>
      </c>
      <c r="R749" s="1724"/>
      <c r="S749" s="1724"/>
      <c r="T749" s="1724"/>
      <c r="U749" s="1629"/>
      <c r="V749" s="1629"/>
      <c r="W749" s="518"/>
      <c r="X749" s="518"/>
      <c r="Y749" s="522"/>
      <c r="Z749" s="518"/>
      <c r="AA749" s="519"/>
      <c r="AB749" s="520"/>
      <c r="AC749" s="520"/>
      <c r="AD749" s="520"/>
      <c r="AE749" s="520"/>
      <c r="AF749" s="520"/>
      <c r="AG749" s="520"/>
      <c r="IK749" s="1522"/>
      <c r="IL749" s="1522"/>
      <c r="JB749" s="1522"/>
    </row>
    <row r="750" spans="1:262" ht="12" customHeight="1">
      <c r="C750" s="1629"/>
      <c r="D750" s="1629"/>
      <c r="E750" s="522"/>
      <c r="F750" s="518"/>
      <c r="H750" s="1728" t="s">
        <v>2705</v>
      </c>
      <c r="J750" s="1722">
        <f>GZ709</f>
        <v>0</v>
      </c>
      <c r="K750" s="1722">
        <f>HA709</f>
        <v>0</v>
      </c>
      <c r="L750" s="1722">
        <f>HB709</f>
        <v>0</v>
      </c>
      <c r="M750" s="1722">
        <f>HC709</f>
        <v>0</v>
      </c>
      <c r="N750" s="1722">
        <f>HD709</f>
        <v>0</v>
      </c>
      <c r="O750" s="1722">
        <f t="shared" si="266"/>
        <v>0</v>
      </c>
      <c r="R750" s="1724"/>
      <c r="S750" s="1724"/>
      <c r="T750" s="1724"/>
      <c r="U750" s="1629"/>
      <c r="V750" s="1629"/>
      <c r="W750" s="518"/>
      <c r="X750" s="518"/>
      <c r="Y750" s="522"/>
      <c r="Z750" s="518"/>
      <c r="AA750" s="519"/>
      <c r="AB750" s="520"/>
      <c r="AC750" s="520"/>
      <c r="AD750" s="520"/>
      <c r="AE750" s="520"/>
      <c r="AF750" s="520"/>
      <c r="AG750" s="520"/>
      <c r="IK750" s="1522"/>
      <c r="IL750" s="1522"/>
      <c r="JB750" s="1522"/>
    </row>
    <row r="751" spans="1:262" ht="12" customHeight="1">
      <c r="C751" s="1629"/>
      <c r="D751" s="1629"/>
      <c r="E751" s="522"/>
      <c r="F751" s="518"/>
      <c r="H751" s="1729" t="s">
        <v>3688</v>
      </c>
      <c r="J751" s="1722">
        <f>HE709</f>
        <v>0</v>
      </c>
      <c r="K751" s="1722">
        <f>HF709</f>
        <v>0</v>
      </c>
      <c r="L751" s="1722">
        <f>HG709</f>
        <v>0</v>
      </c>
      <c r="M751" s="1722">
        <f>HH709</f>
        <v>0</v>
      </c>
      <c r="N751" s="1722">
        <f>HI709</f>
        <v>0</v>
      </c>
      <c r="O751" s="1722">
        <f t="shared" si="266"/>
        <v>0</v>
      </c>
      <c r="R751" s="1724"/>
      <c r="S751" s="1724"/>
      <c r="T751" s="1724"/>
      <c r="U751" s="1629"/>
      <c r="V751" s="1629"/>
      <c r="W751" s="518"/>
      <c r="X751" s="518"/>
      <c r="Y751" s="522"/>
      <c r="Z751" s="518"/>
      <c r="AA751" s="519"/>
      <c r="AB751" s="520"/>
      <c r="AC751" s="520"/>
      <c r="AD751" s="520"/>
      <c r="AE751" s="520"/>
      <c r="AF751" s="520"/>
      <c r="AG751" s="520"/>
      <c r="IK751" s="1522"/>
      <c r="IL751" s="1522"/>
      <c r="JB751" s="1522"/>
    </row>
    <row r="752" spans="1:262" ht="12" customHeight="1">
      <c r="C752" s="1629"/>
      <c r="D752" s="1629"/>
      <c r="E752" s="522"/>
      <c r="F752" s="518"/>
      <c r="H752" s="1728" t="s">
        <v>2707</v>
      </c>
      <c r="J752" s="1722">
        <f>HJ709</f>
        <v>0</v>
      </c>
      <c r="K752" s="1722">
        <f>HK709</f>
        <v>0</v>
      </c>
      <c r="L752" s="1722">
        <f>HL709</f>
        <v>0</v>
      </c>
      <c r="M752" s="1722">
        <f>HM709</f>
        <v>0</v>
      </c>
      <c r="N752" s="1722">
        <f>HN709</f>
        <v>0</v>
      </c>
      <c r="O752" s="1722">
        <f t="shared" si="266"/>
        <v>0</v>
      </c>
      <c r="R752" s="1724"/>
      <c r="S752" s="1724"/>
      <c r="T752" s="1724"/>
      <c r="U752" s="1629"/>
      <c r="V752" s="1629"/>
      <c r="W752" s="518"/>
      <c r="X752" s="518"/>
      <c r="Y752" s="522"/>
      <c r="Z752" s="518"/>
      <c r="AA752" s="519"/>
      <c r="AB752" s="520"/>
      <c r="AC752" s="520"/>
      <c r="AD752" s="520"/>
      <c r="AE752" s="520"/>
      <c r="AF752" s="520"/>
      <c r="AG752" s="520"/>
      <c r="IK752" s="1522"/>
      <c r="IL752" s="1522"/>
      <c r="JB752" s="1522"/>
    </row>
    <row r="753" spans="3:262" ht="12" customHeight="1">
      <c r="C753" s="1629"/>
      <c r="D753" s="1629"/>
      <c r="E753" s="522"/>
      <c r="F753" s="518"/>
      <c r="H753" s="1729" t="s">
        <v>3688</v>
      </c>
      <c r="J753" s="1722">
        <f>HO709</f>
        <v>0</v>
      </c>
      <c r="K753" s="1722">
        <f>HP709</f>
        <v>0</v>
      </c>
      <c r="L753" s="1722">
        <f>HQ709</f>
        <v>0</v>
      </c>
      <c r="M753" s="1722">
        <f>HR709</f>
        <v>0</v>
      </c>
      <c r="N753" s="1722">
        <f>HS709</f>
        <v>0</v>
      </c>
      <c r="O753" s="1722">
        <f t="shared" si="266"/>
        <v>0</v>
      </c>
      <c r="R753" s="1724"/>
      <c r="S753" s="1724"/>
      <c r="T753" s="1724"/>
      <c r="U753" s="1629"/>
      <c r="V753" s="1629"/>
      <c r="W753" s="518"/>
      <c r="X753" s="518"/>
      <c r="Y753" s="522"/>
      <c r="Z753" s="518"/>
      <c r="AA753" s="519"/>
      <c r="AB753" s="520"/>
      <c r="AC753" s="520"/>
      <c r="AD753" s="520"/>
      <c r="AE753" s="520"/>
      <c r="AF753" s="520"/>
      <c r="AG753" s="520"/>
      <c r="IK753" s="1522"/>
      <c r="IL753" s="1522"/>
      <c r="JB753" s="1522"/>
    </row>
    <row r="754" spans="3:262" ht="12" customHeight="1">
      <c r="E754" s="522"/>
      <c r="F754" s="518"/>
      <c r="H754" s="1728" t="s">
        <v>2706</v>
      </c>
      <c r="J754" s="1722">
        <f>HT709</f>
        <v>0</v>
      </c>
      <c r="K754" s="1722">
        <f>HU709</f>
        <v>139</v>
      </c>
      <c r="L754" s="1722">
        <f>HV709</f>
        <v>23</v>
      </c>
      <c r="M754" s="1722">
        <f>HW709</f>
        <v>0</v>
      </c>
      <c r="N754" s="1722">
        <f>HX709</f>
        <v>0</v>
      </c>
      <c r="O754" s="1722">
        <f t="shared" si="266"/>
        <v>162</v>
      </c>
      <c r="R754" s="1724"/>
      <c r="S754" s="1724"/>
      <c r="T754" s="1724"/>
      <c r="U754" s="1629"/>
      <c r="V754" s="1629"/>
      <c r="W754" s="518"/>
      <c r="X754" s="518"/>
      <c r="Y754" s="522"/>
      <c r="Z754" s="518"/>
      <c r="AA754" s="519"/>
      <c r="AB754" s="520"/>
      <c r="AC754" s="520"/>
      <c r="AD754" s="520"/>
      <c r="AE754" s="520"/>
      <c r="AF754" s="520"/>
      <c r="AG754" s="520"/>
      <c r="IK754" s="1522"/>
      <c r="IL754" s="1522"/>
      <c r="JB754" s="1522"/>
    </row>
    <row r="755" spans="3:262" ht="12" customHeight="1">
      <c r="E755" s="522"/>
      <c r="F755" s="518"/>
      <c r="H755" s="1729" t="s">
        <v>3688</v>
      </c>
      <c r="J755" s="1722">
        <f>HY709</f>
        <v>0</v>
      </c>
      <c r="K755" s="1722">
        <f>HZ709</f>
        <v>0</v>
      </c>
      <c r="L755" s="1722">
        <f>IA709</f>
        <v>0</v>
      </c>
      <c r="M755" s="1722">
        <f>IB709</f>
        <v>0</v>
      </c>
      <c r="N755" s="1722">
        <f>IC709</f>
        <v>0</v>
      </c>
      <c r="O755" s="1722">
        <f t="shared" si="266"/>
        <v>0</v>
      </c>
      <c r="R755" s="1724"/>
      <c r="S755" s="1724"/>
      <c r="T755" s="1724"/>
      <c r="U755" s="1629"/>
      <c r="V755" s="1629"/>
      <c r="W755" s="518"/>
      <c r="X755" s="518"/>
      <c r="Y755" s="522"/>
      <c r="Z755" s="518"/>
      <c r="AA755" s="519"/>
      <c r="AB755" s="520"/>
      <c r="AC755" s="520"/>
      <c r="AD755" s="520"/>
      <c r="AE755" s="520"/>
      <c r="AF755" s="520"/>
      <c r="AG755" s="520"/>
      <c r="IK755" s="1522"/>
      <c r="IL755" s="1522"/>
      <c r="JB755" s="1522"/>
    </row>
    <row r="756" spans="3:262" ht="12" customHeight="1">
      <c r="E756" s="522" t="s">
        <v>42</v>
      </c>
      <c r="F756" s="518"/>
      <c r="H756" s="1728"/>
      <c r="J756" s="1722">
        <f>FB709</f>
        <v>0</v>
      </c>
      <c r="K756" s="1722">
        <f>FC709</f>
        <v>0</v>
      </c>
      <c r="L756" s="1722">
        <f>FD709</f>
        <v>0</v>
      </c>
      <c r="M756" s="1722">
        <f>FE709</f>
        <v>0</v>
      </c>
      <c r="N756" s="1722">
        <f>FF709</f>
        <v>0</v>
      </c>
      <c r="O756" s="1722">
        <f t="shared" si="266"/>
        <v>0</v>
      </c>
      <c r="R756" s="1724"/>
      <c r="S756" s="1724"/>
      <c r="T756" s="1724"/>
      <c r="U756" s="1629"/>
      <c r="V756" s="1629"/>
      <c r="W756" s="518"/>
      <c r="X756" s="518"/>
      <c r="Y756" s="522"/>
      <c r="Z756" s="518"/>
      <c r="AA756" s="519"/>
      <c r="AB756" s="520"/>
      <c r="AC756" s="520"/>
      <c r="AD756" s="520"/>
      <c r="AE756" s="520"/>
      <c r="AF756" s="520"/>
      <c r="AG756" s="520"/>
      <c r="AH756" s="502"/>
      <c r="AI756" s="518"/>
      <c r="GT756" s="1518"/>
      <c r="GY756" s="1518"/>
      <c r="GZ756" s="1518"/>
      <c r="HA756" s="1518"/>
      <c r="HB756" s="1518"/>
      <c r="HC756" s="1518"/>
      <c r="HD756" s="1518"/>
      <c r="HE756" s="1518"/>
      <c r="HF756" s="1518"/>
      <c r="HG756" s="1518"/>
      <c r="HH756" s="1518"/>
      <c r="HI756" s="1518"/>
      <c r="HJ756" s="1518"/>
      <c r="HK756" s="1518"/>
      <c r="HL756" s="1518"/>
      <c r="HM756" s="1518"/>
      <c r="HN756" s="1518"/>
      <c r="HO756" s="1518"/>
      <c r="HP756" s="1518"/>
      <c r="HQ756" s="1518"/>
      <c r="HR756" s="1518"/>
      <c r="HS756" s="1518"/>
      <c r="HT756" s="1518"/>
      <c r="HU756" s="1518"/>
      <c r="HV756" s="1518"/>
      <c r="HW756" s="1518"/>
      <c r="HX756" s="1518"/>
      <c r="HY756" s="1518"/>
      <c r="HZ756" s="1518"/>
      <c r="IA756" s="1518"/>
      <c r="IB756" s="1518"/>
      <c r="IC756" s="1518"/>
      <c r="ID756" s="1518"/>
      <c r="IK756" s="1522"/>
      <c r="IL756" s="1522"/>
      <c r="JB756" s="1522"/>
    </row>
    <row r="757" spans="3:262" ht="12" customHeight="1">
      <c r="E757" s="522"/>
      <c r="F757" s="518"/>
      <c r="H757" s="1729" t="s">
        <v>3688</v>
      </c>
      <c r="J757" s="1722">
        <f>FG709</f>
        <v>0</v>
      </c>
      <c r="K757" s="1722">
        <f>FH709</f>
        <v>0</v>
      </c>
      <c r="L757" s="1722">
        <f>FI709</f>
        <v>0</v>
      </c>
      <c r="M757" s="1722">
        <f>FJ709</f>
        <v>0</v>
      </c>
      <c r="N757" s="1722">
        <f>FK709</f>
        <v>0</v>
      </c>
      <c r="O757" s="1722">
        <f t="shared" si="266"/>
        <v>0</v>
      </c>
      <c r="R757" s="1724"/>
      <c r="S757" s="1724"/>
      <c r="T757" s="1724"/>
      <c r="U757" s="1629"/>
      <c r="V757" s="1629"/>
      <c r="W757" s="518"/>
      <c r="X757" s="518"/>
      <c r="Y757" s="522"/>
      <c r="Z757" s="518"/>
      <c r="AA757" s="519"/>
      <c r="AB757" s="520"/>
      <c r="AC757" s="520"/>
      <c r="AD757" s="520"/>
      <c r="AE757" s="520"/>
      <c r="AF757" s="520"/>
      <c r="AG757" s="520"/>
      <c r="AH757" s="502"/>
      <c r="AI757" s="518"/>
      <c r="GT757" s="1518"/>
      <c r="GY757" s="1518"/>
      <c r="GZ757" s="1518"/>
      <c r="HA757" s="1518"/>
      <c r="HB757" s="1518"/>
      <c r="HC757" s="1518"/>
      <c r="HD757" s="1518"/>
      <c r="HE757" s="1518"/>
      <c r="HF757" s="1518"/>
      <c r="HG757" s="1518"/>
      <c r="HH757" s="1518"/>
      <c r="HI757" s="1518"/>
      <c r="HJ757" s="1518"/>
      <c r="HK757" s="1518"/>
      <c r="HL757" s="1518"/>
      <c r="HM757" s="1518"/>
      <c r="HN757" s="1518"/>
      <c r="HO757" s="1518"/>
      <c r="HP757" s="1518"/>
      <c r="HQ757" s="1518"/>
      <c r="HR757" s="1518"/>
      <c r="HS757" s="1518"/>
      <c r="HT757" s="1518"/>
      <c r="HU757" s="1518"/>
      <c r="HV757" s="1518"/>
      <c r="HW757" s="1518"/>
      <c r="HX757" s="1518"/>
      <c r="HY757" s="1518"/>
      <c r="HZ757" s="1518"/>
      <c r="IA757" s="1518"/>
      <c r="IB757" s="1518"/>
      <c r="IC757" s="1518"/>
      <c r="ID757" s="1518"/>
      <c r="IK757" s="1522"/>
      <c r="IL757" s="1522"/>
      <c r="JB757" s="1522"/>
    </row>
    <row r="758" spans="3:262" ht="12" customHeight="1">
      <c r="C758" s="518"/>
      <c r="D758" s="518"/>
      <c r="E758" s="522" t="s">
        <v>43</v>
      </c>
      <c r="F758" s="518"/>
      <c r="H758" s="1728"/>
      <c r="J758" s="1722">
        <f>GF709</f>
        <v>0</v>
      </c>
      <c r="K758" s="1722">
        <f>GG709</f>
        <v>0</v>
      </c>
      <c r="L758" s="1722">
        <f>GH709</f>
        <v>0</v>
      </c>
      <c r="M758" s="1722">
        <f>GI709</f>
        <v>0</v>
      </c>
      <c r="N758" s="1722">
        <f>GJ709</f>
        <v>0</v>
      </c>
      <c r="O758" s="1722">
        <f t="shared" si="266"/>
        <v>0</v>
      </c>
      <c r="R758" s="1724"/>
      <c r="S758" s="1724"/>
      <c r="T758" s="1724"/>
      <c r="U758" s="1629"/>
      <c r="V758" s="1629"/>
      <c r="W758" s="518"/>
      <c r="X758" s="518"/>
      <c r="Y758" s="522"/>
      <c r="Z758" s="518"/>
      <c r="AA758" s="519"/>
      <c r="AB758" s="520"/>
      <c r="AC758" s="520"/>
      <c r="AD758" s="520"/>
      <c r="AE758" s="520"/>
      <c r="AF758" s="520"/>
      <c r="AG758" s="520"/>
      <c r="IK758" s="1522"/>
      <c r="IL758" s="1522"/>
      <c r="JB758" s="1522"/>
    </row>
    <row r="759" spans="3:262" ht="12" customHeight="1">
      <c r="C759" s="518"/>
      <c r="D759" s="518"/>
      <c r="E759" s="522"/>
      <c r="F759" s="518"/>
      <c r="H759" s="1729" t="s">
        <v>3688</v>
      </c>
      <c r="J759" s="1722">
        <f>GK709</f>
        <v>0</v>
      </c>
      <c r="K759" s="1722">
        <f>GL709</f>
        <v>0</v>
      </c>
      <c r="L759" s="1722">
        <f>GM709</f>
        <v>0</v>
      </c>
      <c r="M759" s="1722">
        <f>GN709</f>
        <v>0</v>
      </c>
      <c r="N759" s="1722">
        <f>GO709</f>
        <v>0</v>
      </c>
      <c r="O759" s="1722">
        <f t="shared" si="266"/>
        <v>0</v>
      </c>
      <c r="R759" s="1724"/>
      <c r="S759" s="1724"/>
      <c r="T759" s="1724"/>
      <c r="U759" s="1629"/>
      <c r="V759" s="1629"/>
      <c r="W759" s="518"/>
      <c r="X759" s="518"/>
      <c r="Y759" s="522"/>
      <c r="Z759" s="518"/>
      <c r="AA759" s="519"/>
      <c r="AB759" s="520"/>
      <c r="AC759" s="520"/>
      <c r="AD759" s="520"/>
      <c r="AE759" s="520"/>
      <c r="AF759" s="520"/>
      <c r="AG759" s="520"/>
      <c r="IK759" s="1522"/>
      <c r="IL759" s="1522"/>
      <c r="JB759" s="1522"/>
    </row>
    <row r="760" spans="3:262" ht="12" customHeight="1">
      <c r="C760" s="518"/>
      <c r="D760" s="518"/>
      <c r="E760" s="522" t="s">
        <v>590</v>
      </c>
      <c r="F760" s="518"/>
      <c r="H760" s="1728"/>
      <c r="J760" s="1722">
        <f>FV709</f>
        <v>0</v>
      </c>
      <c r="K760" s="1722">
        <f>FW709</f>
        <v>0</v>
      </c>
      <c r="L760" s="1722">
        <f>FX709</f>
        <v>0</v>
      </c>
      <c r="M760" s="1722">
        <f>FY709</f>
        <v>0</v>
      </c>
      <c r="N760" s="1722">
        <f>FZ709</f>
        <v>0</v>
      </c>
      <c r="O760" s="1722">
        <f t="shared" si="266"/>
        <v>0</v>
      </c>
      <c r="R760" s="1724"/>
      <c r="S760" s="1724"/>
      <c r="T760" s="1724"/>
      <c r="U760" s="1629"/>
      <c r="V760" s="1629"/>
      <c r="W760" s="518"/>
      <c r="X760" s="518"/>
      <c r="Y760" s="522"/>
      <c r="Z760" s="518"/>
      <c r="AA760" s="519"/>
      <c r="AB760" s="520"/>
      <c r="AC760" s="520"/>
      <c r="AD760" s="520"/>
      <c r="AE760" s="520"/>
      <c r="AF760" s="520"/>
      <c r="AG760" s="520"/>
      <c r="AH760" s="502"/>
      <c r="AI760" s="518"/>
      <c r="GT760" s="1518"/>
      <c r="GY760" s="1518"/>
      <c r="GZ760" s="1518"/>
      <c r="HA760" s="1518"/>
      <c r="HB760" s="1518"/>
      <c r="HC760" s="1518"/>
      <c r="HD760" s="1518"/>
      <c r="HE760" s="1518"/>
      <c r="HF760" s="1518"/>
      <c r="HG760" s="1518"/>
      <c r="HH760" s="1518"/>
      <c r="HI760" s="1518"/>
      <c r="HJ760" s="1518"/>
      <c r="HK760" s="1518"/>
      <c r="HL760" s="1518"/>
      <c r="HM760" s="1518"/>
      <c r="HN760" s="1518"/>
      <c r="HO760" s="1518"/>
      <c r="HP760" s="1518"/>
      <c r="HQ760" s="1518"/>
      <c r="HR760" s="1518"/>
      <c r="HS760" s="1518"/>
      <c r="HT760" s="1518"/>
      <c r="HU760" s="1518"/>
      <c r="HV760" s="1518"/>
      <c r="HW760" s="1518"/>
      <c r="HX760" s="1518"/>
      <c r="HY760" s="1518"/>
      <c r="HZ760" s="1518"/>
      <c r="IA760" s="1518"/>
      <c r="IB760" s="1518"/>
      <c r="IC760" s="1518"/>
      <c r="ID760" s="1518"/>
      <c r="IK760" s="1522"/>
      <c r="IL760" s="1522"/>
      <c r="JB760" s="1522"/>
    </row>
    <row r="761" spans="3:262" ht="12" customHeight="1">
      <c r="C761" s="518"/>
      <c r="D761" s="518"/>
      <c r="E761" s="522"/>
      <c r="F761" s="518"/>
      <c r="H761" s="1729" t="s">
        <v>3688</v>
      </c>
      <c r="J761" s="1722">
        <f>GA709</f>
        <v>0</v>
      </c>
      <c r="K761" s="1722">
        <f>GB709</f>
        <v>0</v>
      </c>
      <c r="L761" s="1722">
        <f>GC709</f>
        <v>0</v>
      </c>
      <c r="M761" s="1722">
        <f>GD709</f>
        <v>0</v>
      </c>
      <c r="N761" s="1722">
        <f>GE709</f>
        <v>0</v>
      </c>
      <c r="O761" s="1722">
        <f t="shared" si="266"/>
        <v>0</v>
      </c>
      <c r="R761" s="1724"/>
      <c r="S761" s="1724"/>
      <c r="T761" s="1724"/>
      <c r="U761" s="1629"/>
      <c r="V761" s="1629"/>
      <c r="W761" s="518"/>
      <c r="X761" s="518"/>
      <c r="Y761" s="522"/>
      <c r="Z761" s="518"/>
      <c r="AA761" s="519"/>
      <c r="AB761" s="520"/>
      <c r="AC761" s="520"/>
      <c r="AD761" s="520"/>
      <c r="AE761" s="520"/>
      <c r="AF761" s="520"/>
      <c r="AG761" s="520"/>
      <c r="AH761" s="502"/>
      <c r="AI761" s="518"/>
      <c r="GT761" s="1518"/>
      <c r="GY761" s="1518"/>
      <c r="GZ761" s="1518"/>
      <c r="HA761" s="1518"/>
      <c r="HB761" s="1518"/>
      <c r="HC761" s="1518"/>
      <c r="HD761" s="1518"/>
      <c r="HE761" s="1518"/>
      <c r="HF761" s="1518"/>
      <c r="HG761" s="1518"/>
      <c r="HH761" s="1518"/>
      <c r="HI761" s="1518"/>
      <c r="HJ761" s="1518"/>
      <c r="HK761" s="1518"/>
      <c r="HL761" s="1518"/>
      <c r="HM761" s="1518"/>
      <c r="HN761" s="1518"/>
      <c r="HO761" s="1518"/>
      <c r="HP761" s="1518"/>
      <c r="HQ761" s="1518"/>
      <c r="HR761" s="1518"/>
      <c r="HS761" s="1518"/>
      <c r="HT761" s="1518"/>
      <c r="HU761" s="1518"/>
      <c r="HV761" s="1518"/>
      <c r="HW761" s="1518"/>
      <c r="HX761" s="1518"/>
      <c r="HY761" s="1518"/>
      <c r="HZ761" s="1518"/>
      <c r="IA761" s="1518"/>
      <c r="IB761" s="1518"/>
      <c r="IC761" s="1518"/>
      <c r="ID761" s="1518"/>
      <c r="IK761" s="1522"/>
      <c r="IL761" s="1522"/>
      <c r="JB761" s="1522"/>
    </row>
    <row r="762" spans="3:262" ht="12" customHeight="1">
      <c r="C762" s="518"/>
      <c r="D762" s="518"/>
      <c r="E762" s="1514" t="s">
        <v>591</v>
      </c>
      <c r="F762" s="518"/>
      <c r="H762" s="1728"/>
      <c r="J762" s="1722">
        <f>FL709</f>
        <v>0</v>
      </c>
      <c r="K762" s="1722">
        <f>FM709</f>
        <v>0</v>
      </c>
      <c r="L762" s="1722">
        <f>FN709</f>
        <v>0</v>
      </c>
      <c r="M762" s="1722">
        <f>FO709</f>
        <v>0</v>
      </c>
      <c r="N762" s="1722">
        <f>FP709</f>
        <v>0</v>
      </c>
      <c r="O762" s="1722">
        <f t="shared" si="266"/>
        <v>0</v>
      </c>
      <c r="R762" s="1724"/>
      <c r="S762" s="1724"/>
      <c r="T762" s="1724"/>
      <c r="U762" s="1629"/>
      <c r="V762" s="1629"/>
      <c r="W762" s="518"/>
      <c r="X762" s="518"/>
      <c r="Y762" s="1514"/>
      <c r="Z762" s="518"/>
      <c r="AA762" s="519"/>
      <c r="AB762" s="520"/>
      <c r="AC762" s="520"/>
      <c r="AD762" s="520"/>
      <c r="AE762" s="520"/>
      <c r="AF762" s="520"/>
      <c r="AG762" s="520"/>
      <c r="IK762" s="1522"/>
      <c r="IL762" s="1522"/>
      <c r="JB762" s="1522"/>
    </row>
    <row r="763" spans="3:262" ht="12" customHeight="1">
      <c r="C763" s="518"/>
      <c r="D763" s="518"/>
      <c r="E763" s="1514"/>
      <c r="F763" s="518"/>
      <c r="H763" s="1729" t="s">
        <v>3688</v>
      </c>
      <c r="J763" s="1722">
        <f>FQ709</f>
        <v>0</v>
      </c>
      <c r="K763" s="1722">
        <f>FR709</f>
        <v>0</v>
      </c>
      <c r="L763" s="1722">
        <f>FS709</f>
        <v>0</v>
      </c>
      <c r="M763" s="1722">
        <f>FT709</f>
        <v>0</v>
      </c>
      <c r="N763" s="1722">
        <f>FU709</f>
        <v>0</v>
      </c>
      <c r="O763" s="1722">
        <f t="shared" si="266"/>
        <v>0</v>
      </c>
      <c r="R763" s="1724"/>
      <c r="S763" s="1724"/>
      <c r="T763" s="1724"/>
      <c r="U763" s="1629"/>
      <c r="V763" s="1629"/>
      <c r="W763" s="518"/>
      <c r="X763" s="518"/>
      <c r="Y763" s="1514"/>
      <c r="Z763" s="518"/>
      <c r="AA763" s="519"/>
      <c r="AB763" s="520"/>
      <c r="AC763" s="520"/>
      <c r="AD763" s="520"/>
      <c r="AE763" s="520"/>
      <c r="AF763" s="520"/>
      <c r="AG763" s="520"/>
      <c r="IK763" s="1522"/>
      <c r="IL763" s="1522"/>
      <c r="JB763" s="1522"/>
    </row>
    <row r="764" spans="3:262" ht="4.5" customHeight="1">
      <c r="C764" s="518"/>
      <c r="H764" s="1730"/>
      <c r="J764" s="1731"/>
      <c r="K764" s="1731"/>
      <c r="L764" s="1731"/>
      <c r="M764" s="1731"/>
      <c r="N764" s="1731"/>
      <c r="O764" s="1731"/>
      <c r="U764" s="1533" t="str">
        <f>C765</f>
        <v>Building Type:
(for Cost Limit purposes)</v>
      </c>
      <c r="GT764" s="1518"/>
      <c r="GY764" s="1518"/>
      <c r="GZ764" s="1518"/>
      <c r="HA764" s="1518"/>
      <c r="HB764" s="1518"/>
      <c r="HC764" s="1518"/>
      <c r="HD764" s="1518"/>
      <c r="HE764" s="1518"/>
      <c r="HF764" s="1518"/>
      <c r="HG764" s="1518"/>
      <c r="HH764" s="1518"/>
      <c r="HI764" s="1518"/>
      <c r="HJ764" s="1518"/>
      <c r="HK764" s="1518"/>
      <c r="HL764" s="1518"/>
      <c r="HM764" s="1518"/>
      <c r="HN764" s="1518"/>
      <c r="HO764" s="1518"/>
      <c r="HP764" s="1518"/>
      <c r="HQ764" s="1518"/>
      <c r="HR764" s="1518"/>
      <c r="HS764" s="1518"/>
      <c r="HT764" s="1518"/>
      <c r="HU764" s="1518"/>
      <c r="HV764" s="1518"/>
      <c r="HW764" s="1518"/>
      <c r="HX764" s="1518"/>
      <c r="HY764" s="1518"/>
      <c r="HZ764" s="1518"/>
      <c r="IA764" s="1518"/>
      <c r="IB764" s="1518"/>
      <c r="IC764" s="1518"/>
      <c r="ID764" s="1518"/>
      <c r="IK764" s="1522"/>
      <c r="JA764" s="1522"/>
      <c r="JB764" s="1522"/>
    </row>
    <row r="765" spans="3:262" ht="12" customHeight="1">
      <c r="C765" s="1629" t="s">
        <v>4580</v>
      </c>
      <c r="D765" s="1629"/>
      <c r="E765" s="522" t="s">
        <v>3683</v>
      </c>
      <c r="F765" s="1532"/>
      <c r="H765" s="1728"/>
      <c r="J765" s="1722">
        <f t="shared" ref="J765:N766" si="267">J756+J760+J762</f>
        <v>0</v>
      </c>
      <c r="K765" s="1722">
        <f t="shared" si="267"/>
        <v>0</v>
      </c>
      <c r="L765" s="1722">
        <f t="shared" si="267"/>
        <v>0</v>
      </c>
      <c r="M765" s="1722">
        <f t="shared" si="267"/>
        <v>0</v>
      </c>
      <c r="N765" s="1722">
        <f t="shared" si="267"/>
        <v>0</v>
      </c>
      <c r="O765" s="1722">
        <f t="shared" ref="O765:O772" si="268">SUM(J765:N765)</f>
        <v>0</v>
      </c>
      <c r="R765" s="1724"/>
      <c r="S765" s="1724"/>
      <c r="T765" s="1724"/>
      <c r="U765" s="1629">
        <f>'Part VI-Revenues &amp; Expenses'!U104</f>
        <v>0</v>
      </c>
      <c r="V765" s="1629"/>
      <c r="W765" s="518"/>
      <c r="X765" s="518"/>
      <c r="Y765" s="1514"/>
      <c r="Z765" s="518"/>
      <c r="AA765" s="519"/>
      <c r="AB765" s="520"/>
      <c r="AC765" s="520"/>
      <c r="AD765" s="520"/>
      <c r="AE765" s="520"/>
      <c r="AF765" s="520"/>
      <c r="AG765" s="520"/>
      <c r="IK765" s="1522"/>
      <c r="IL765" s="1522"/>
      <c r="JB765" s="1522"/>
    </row>
    <row r="766" spans="3:262" ht="12" customHeight="1">
      <c r="C766" s="1629"/>
      <c r="D766" s="1629"/>
      <c r="E766" s="522"/>
      <c r="F766" s="1532"/>
      <c r="H766" s="1729" t="s">
        <v>3688</v>
      </c>
      <c r="J766" s="1722">
        <f t="shared" si="267"/>
        <v>0</v>
      </c>
      <c r="K766" s="1722">
        <f t="shared" si="267"/>
        <v>0</v>
      </c>
      <c r="L766" s="1722">
        <f t="shared" si="267"/>
        <v>0</v>
      </c>
      <c r="M766" s="1722">
        <f t="shared" si="267"/>
        <v>0</v>
      </c>
      <c r="N766" s="1722">
        <f t="shared" si="267"/>
        <v>0</v>
      </c>
      <c r="O766" s="1722">
        <f t="shared" si="268"/>
        <v>0</v>
      </c>
      <c r="R766" s="1724"/>
      <c r="S766" s="1724"/>
      <c r="T766" s="1724"/>
      <c r="U766" s="1629"/>
      <c r="V766" s="1629"/>
      <c r="W766" s="518"/>
      <c r="X766" s="518"/>
      <c r="Y766" s="1514"/>
      <c r="Z766" s="518"/>
      <c r="AA766" s="519"/>
      <c r="AB766" s="520"/>
      <c r="AC766" s="520"/>
      <c r="AD766" s="520"/>
      <c r="AE766" s="520"/>
      <c r="AF766" s="520"/>
      <c r="AG766" s="520"/>
      <c r="IK766" s="1522"/>
      <c r="IL766" s="1522"/>
      <c r="JB766" s="1522"/>
    </row>
    <row r="767" spans="3:262" ht="12" customHeight="1">
      <c r="C767" s="1629"/>
      <c r="D767" s="1629"/>
      <c r="E767" s="522" t="s">
        <v>3684</v>
      </c>
      <c r="F767" s="1532"/>
      <c r="H767" s="1532"/>
      <c r="J767" s="1722">
        <f>J748+J758</f>
        <v>0</v>
      </c>
      <c r="K767" s="1722">
        <f t="shared" ref="K767:N768" si="269">K748+K758</f>
        <v>0</v>
      </c>
      <c r="L767" s="1722">
        <f t="shared" si="269"/>
        <v>0</v>
      </c>
      <c r="M767" s="1722">
        <f t="shared" si="269"/>
        <v>0</v>
      </c>
      <c r="N767" s="1722">
        <f t="shared" si="269"/>
        <v>0</v>
      </c>
      <c r="O767" s="1722">
        <f t="shared" si="268"/>
        <v>0</v>
      </c>
      <c r="R767" s="1724"/>
      <c r="S767" s="1724"/>
      <c r="T767" s="1724"/>
      <c r="U767" s="1629"/>
      <c r="V767" s="1629"/>
      <c r="W767" s="518"/>
      <c r="X767" s="518"/>
      <c r="Y767" s="1514"/>
      <c r="Z767" s="518"/>
      <c r="AA767" s="519"/>
      <c r="AB767" s="520"/>
      <c r="AC767" s="520"/>
      <c r="AD767" s="520"/>
      <c r="AE767" s="520"/>
      <c r="AF767" s="520"/>
      <c r="AG767" s="520"/>
      <c r="IK767" s="1522"/>
      <c r="IL767" s="1522"/>
      <c r="JB767" s="1522"/>
    </row>
    <row r="768" spans="3:262" ht="12" customHeight="1">
      <c r="C768" s="1629"/>
      <c r="D768" s="1629"/>
      <c r="E768" s="522"/>
      <c r="F768" s="1532"/>
      <c r="H768" s="1729" t="s">
        <v>3688</v>
      </c>
      <c r="J768" s="1722">
        <f>J749+J759</f>
        <v>0</v>
      </c>
      <c r="K768" s="1722">
        <f t="shared" si="269"/>
        <v>0</v>
      </c>
      <c r="L768" s="1722">
        <f t="shared" si="269"/>
        <v>0</v>
      </c>
      <c r="M768" s="1722">
        <f t="shared" si="269"/>
        <v>0</v>
      </c>
      <c r="N768" s="1722">
        <f t="shared" si="269"/>
        <v>0</v>
      </c>
      <c r="O768" s="1722">
        <f t="shared" si="268"/>
        <v>0</v>
      </c>
      <c r="R768" s="1724"/>
      <c r="S768" s="1724"/>
      <c r="T768" s="1724"/>
      <c r="U768" s="1629"/>
      <c r="V768" s="1629"/>
      <c r="W768" s="518"/>
      <c r="X768" s="518"/>
      <c r="Y768" s="1514"/>
      <c r="Z768" s="518"/>
      <c r="AA768" s="519"/>
      <c r="AB768" s="520"/>
      <c r="AC768" s="520"/>
      <c r="AD768" s="520"/>
      <c r="AE768" s="520"/>
      <c r="AF768" s="520"/>
      <c r="AG768" s="520"/>
      <c r="IK768" s="1522"/>
      <c r="IL768" s="1522"/>
      <c r="JB768" s="1522"/>
    </row>
    <row r="769" spans="1:263" ht="12" customHeight="1">
      <c r="C769" s="1629"/>
      <c r="D769" s="1629"/>
      <c r="E769" s="522" t="s">
        <v>3685</v>
      </c>
      <c r="F769" s="1532"/>
      <c r="H769" s="1728"/>
      <c r="J769" s="1722">
        <f>J752</f>
        <v>0</v>
      </c>
      <c r="K769" s="1722">
        <f t="shared" ref="K769:N770" si="270">K752</f>
        <v>0</v>
      </c>
      <c r="L769" s="1722">
        <f t="shared" si="270"/>
        <v>0</v>
      </c>
      <c r="M769" s="1722">
        <f t="shared" si="270"/>
        <v>0</v>
      </c>
      <c r="N769" s="1722">
        <f t="shared" si="270"/>
        <v>0</v>
      </c>
      <c r="O769" s="1722">
        <f t="shared" si="268"/>
        <v>0</v>
      </c>
      <c r="R769" s="1724"/>
      <c r="S769" s="1724"/>
      <c r="T769" s="1724"/>
      <c r="U769" s="1629"/>
      <c r="V769" s="1629"/>
      <c r="W769" s="518"/>
      <c r="X769" s="518"/>
      <c r="Y769" s="1514"/>
      <c r="Z769" s="518"/>
      <c r="AA769" s="519"/>
      <c r="AB769" s="520"/>
      <c r="AC769" s="520"/>
      <c r="AD769" s="520"/>
      <c r="AE769" s="520"/>
      <c r="AF769" s="520"/>
      <c r="AG769" s="520"/>
      <c r="IK769" s="1522"/>
      <c r="IL769" s="1522"/>
      <c r="JB769" s="1522"/>
    </row>
    <row r="770" spans="1:263" ht="12" customHeight="1">
      <c r="C770" s="1629"/>
      <c r="D770" s="1629"/>
      <c r="E770" s="522"/>
      <c r="F770" s="1532"/>
      <c r="H770" s="1729" t="s">
        <v>3688</v>
      </c>
      <c r="J770" s="1722">
        <f>J753</f>
        <v>0</v>
      </c>
      <c r="K770" s="1722">
        <f t="shared" si="270"/>
        <v>0</v>
      </c>
      <c r="L770" s="1722">
        <f t="shared" si="270"/>
        <v>0</v>
      </c>
      <c r="M770" s="1722">
        <f t="shared" si="270"/>
        <v>0</v>
      </c>
      <c r="N770" s="1722">
        <f t="shared" si="270"/>
        <v>0</v>
      </c>
      <c r="O770" s="1722">
        <f t="shared" si="268"/>
        <v>0</v>
      </c>
      <c r="R770" s="1724"/>
      <c r="S770" s="1724"/>
      <c r="T770" s="1724"/>
      <c r="U770" s="1629"/>
      <c r="V770" s="1629"/>
      <c r="W770" s="518"/>
      <c r="X770" s="518"/>
      <c r="Y770" s="1514"/>
      <c r="Z770" s="518"/>
      <c r="AA770" s="519"/>
      <c r="AB770" s="520"/>
      <c r="AC770" s="520"/>
      <c r="AD770" s="520"/>
      <c r="AE770" s="520"/>
      <c r="AF770" s="520"/>
      <c r="AG770" s="520"/>
      <c r="IK770" s="1522"/>
      <c r="IL770" s="1522"/>
      <c r="JB770" s="1522"/>
    </row>
    <row r="771" spans="1:263" ht="12" customHeight="1">
      <c r="C771" s="1629"/>
      <c r="D771" s="1629"/>
      <c r="E771" s="522" t="s">
        <v>3686</v>
      </c>
      <c r="F771" s="1532"/>
      <c r="H771" s="1728"/>
      <c r="J771" s="1722">
        <f>J750+J754</f>
        <v>0</v>
      </c>
      <c r="K771" s="1722">
        <f t="shared" ref="K771:N772" si="271">K750+K754</f>
        <v>139</v>
      </c>
      <c r="L771" s="1722">
        <f t="shared" si="271"/>
        <v>23</v>
      </c>
      <c r="M771" s="1722">
        <f t="shared" si="271"/>
        <v>0</v>
      </c>
      <c r="N771" s="1722">
        <f t="shared" si="271"/>
        <v>0</v>
      </c>
      <c r="O771" s="1722">
        <f t="shared" si="268"/>
        <v>162</v>
      </c>
      <c r="R771" s="1724"/>
      <c r="S771" s="1724"/>
      <c r="T771" s="1724"/>
      <c r="U771" s="1629"/>
      <c r="V771" s="1629"/>
      <c r="W771" s="518"/>
      <c r="X771" s="518"/>
      <c r="Y771" s="1514"/>
      <c r="Z771" s="518"/>
      <c r="AA771" s="519"/>
      <c r="AB771" s="520"/>
      <c r="AC771" s="520"/>
      <c r="AD771" s="520"/>
      <c r="AE771" s="520"/>
      <c r="AF771" s="520"/>
      <c r="AG771" s="520"/>
      <c r="IK771" s="1522"/>
      <c r="IL771" s="1522"/>
      <c r="JB771" s="1522"/>
    </row>
    <row r="772" spans="1:263" ht="12" customHeight="1">
      <c r="C772" s="518"/>
      <c r="D772" s="518"/>
      <c r="E772" s="1732"/>
      <c r="F772" s="1532"/>
      <c r="H772" s="1729" t="s">
        <v>3688</v>
      </c>
      <c r="J772" s="1722">
        <f>J751+J755</f>
        <v>0</v>
      </c>
      <c r="K772" s="1722">
        <f t="shared" si="271"/>
        <v>0</v>
      </c>
      <c r="L772" s="1722">
        <f t="shared" si="271"/>
        <v>0</v>
      </c>
      <c r="M772" s="1722">
        <f t="shared" si="271"/>
        <v>0</v>
      </c>
      <c r="N772" s="1722">
        <f t="shared" si="271"/>
        <v>0</v>
      </c>
      <c r="O772" s="1722">
        <f t="shared" si="268"/>
        <v>0</v>
      </c>
      <c r="R772" s="1724"/>
      <c r="S772" s="1724"/>
      <c r="T772" s="1724"/>
      <c r="U772" s="1629"/>
      <c r="V772" s="1629"/>
      <c r="W772" s="518"/>
      <c r="X772" s="518"/>
      <c r="Y772" s="1514"/>
      <c r="Z772" s="518"/>
      <c r="AA772" s="519"/>
      <c r="AB772" s="520"/>
      <c r="AC772" s="520"/>
      <c r="AD772" s="520"/>
      <c r="AE772" s="520"/>
      <c r="AF772" s="520"/>
      <c r="AG772" s="520"/>
      <c r="IK772" s="1522"/>
      <c r="IL772" s="1522"/>
      <c r="JB772" s="1522"/>
    </row>
    <row r="773" spans="1:263" ht="12" customHeight="1">
      <c r="A773" s="1522"/>
      <c r="B773" s="1522" t="s">
        <v>2253</v>
      </c>
      <c r="C773" s="518"/>
      <c r="D773" s="518"/>
      <c r="E773" s="518"/>
      <c r="F773" s="518"/>
      <c r="H773" s="1728"/>
      <c r="J773" s="1733"/>
      <c r="K773" s="1733"/>
      <c r="L773" s="1733"/>
      <c r="M773" s="1733"/>
      <c r="N773" s="1733"/>
      <c r="O773" s="1733"/>
      <c r="R773" s="1724"/>
      <c r="S773" s="1724"/>
      <c r="T773" s="1724"/>
      <c r="U773" s="1533" t="str">
        <f>B773</f>
        <v>Unit Square Footage:</v>
      </c>
      <c r="V773" s="1522" t="s">
        <v>1185</v>
      </c>
      <c r="W773" s="518"/>
      <c r="X773" s="518"/>
      <c r="Y773" s="518"/>
      <c r="Z773" s="518"/>
      <c r="AA773" s="519"/>
      <c r="AB773" s="518"/>
      <c r="AC773" s="518"/>
      <c r="AD773" s="518"/>
      <c r="AE773" s="518"/>
      <c r="AF773" s="518"/>
      <c r="AG773" s="518"/>
      <c r="AI773" s="518"/>
      <c r="GT773" s="1518"/>
      <c r="GY773" s="1518"/>
      <c r="GZ773" s="1518"/>
      <c r="HA773" s="1518"/>
      <c r="HB773" s="1518"/>
      <c r="HC773" s="1518"/>
      <c r="HD773" s="1518"/>
      <c r="HE773" s="1518"/>
      <c r="HF773" s="1518"/>
      <c r="HG773" s="1518"/>
      <c r="HH773" s="1518"/>
      <c r="HI773" s="1518"/>
      <c r="HJ773" s="1518"/>
      <c r="HK773" s="1518"/>
      <c r="HL773" s="1518"/>
      <c r="HM773" s="1518"/>
      <c r="HN773" s="1518"/>
      <c r="HO773" s="1518"/>
      <c r="HP773" s="1518"/>
      <c r="HQ773" s="1518"/>
      <c r="HR773" s="1518"/>
      <c r="HS773" s="1518"/>
      <c r="HT773" s="1518"/>
      <c r="HU773" s="1518"/>
      <c r="HV773" s="1518"/>
      <c r="HW773" s="1518"/>
      <c r="HX773" s="1518"/>
      <c r="HY773" s="1518"/>
      <c r="HZ773" s="1518"/>
      <c r="IA773" s="1518"/>
      <c r="IB773" s="1518"/>
      <c r="IC773" s="1518"/>
      <c r="ID773" s="1518"/>
      <c r="IK773" s="1522"/>
      <c r="IL773" s="1522"/>
      <c r="JB773" s="1522"/>
    </row>
    <row r="774" spans="1:263" ht="12" customHeight="1">
      <c r="C774" s="518" t="s">
        <v>2224</v>
      </c>
      <c r="D774" s="518"/>
      <c r="E774" s="518"/>
      <c r="F774" s="518"/>
      <c r="H774" s="1728" t="s">
        <v>1198</v>
      </c>
      <c r="J774" s="1734">
        <f>BZ709</f>
        <v>0</v>
      </c>
      <c r="K774" s="1734">
        <f>CA709</f>
        <v>86991</v>
      </c>
      <c r="L774" s="1734">
        <f>CB709</f>
        <v>18947</v>
      </c>
      <c r="M774" s="1734">
        <f>CC709</f>
        <v>0</v>
      </c>
      <c r="N774" s="1734">
        <f>CD709</f>
        <v>0</v>
      </c>
      <c r="O774" s="1734">
        <f t="shared" ref="O774:O780" si="272">SUM(J774:N774)</f>
        <v>105938</v>
      </c>
      <c r="R774" s="1724"/>
      <c r="S774" s="1724"/>
      <c r="T774" s="1724"/>
      <c r="U774" s="1629">
        <f>'Part VI-Revenues &amp; Expenses'!U113</f>
        <v>0</v>
      </c>
      <c r="V774" s="1629"/>
      <c r="W774" s="518"/>
      <c r="X774" s="518"/>
      <c r="Y774" s="518"/>
      <c r="Z774" s="518"/>
      <c r="AA774" s="519"/>
      <c r="AB774" s="520"/>
      <c r="AC774" s="520"/>
      <c r="AD774" s="520"/>
      <c r="AE774" s="520"/>
      <c r="AF774" s="520"/>
      <c r="AG774" s="520"/>
      <c r="AI774" s="518"/>
      <c r="GT774" s="1518"/>
      <c r="GY774" s="1518"/>
      <c r="GZ774" s="1518"/>
      <c r="HA774" s="1518"/>
      <c r="HB774" s="1518"/>
      <c r="HC774" s="1518"/>
      <c r="HD774" s="1518"/>
      <c r="HE774" s="1518"/>
      <c r="HF774" s="1518"/>
      <c r="HG774" s="1518"/>
      <c r="HH774" s="1518"/>
      <c r="HI774" s="1518"/>
      <c r="HJ774" s="1518"/>
      <c r="HK774" s="1518"/>
      <c r="HL774" s="1518"/>
      <c r="HM774" s="1518"/>
      <c r="HN774" s="1518"/>
      <c r="HO774" s="1518"/>
      <c r="HP774" s="1518"/>
      <c r="HQ774" s="1518"/>
      <c r="HR774" s="1518"/>
      <c r="HS774" s="1518"/>
      <c r="HT774" s="1518"/>
      <c r="HU774" s="1518"/>
      <c r="HV774" s="1518"/>
      <c r="HW774" s="1518"/>
      <c r="HX774" s="1518"/>
      <c r="HY774" s="1518"/>
      <c r="HZ774" s="1518"/>
      <c r="IA774" s="1518"/>
      <c r="IB774" s="1518"/>
      <c r="IC774" s="1518"/>
      <c r="ID774" s="1518"/>
      <c r="IK774" s="1522"/>
      <c r="IL774" s="1522"/>
      <c r="JB774" s="1522"/>
    </row>
    <row r="775" spans="1:263" ht="12" customHeight="1">
      <c r="C775" s="521"/>
      <c r="D775" s="518"/>
      <c r="E775" s="518"/>
      <c r="F775" s="518"/>
      <c r="H775" s="1728" t="s">
        <v>120</v>
      </c>
      <c r="J775" s="1734">
        <f>CE709</f>
        <v>0</v>
      </c>
      <c r="K775" s="1734">
        <f>CF709</f>
        <v>23128</v>
      </c>
      <c r="L775" s="1734">
        <f>CG709</f>
        <v>5293</v>
      </c>
      <c r="M775" s="1734">
        <f>CH709</f>
        <v>0</v>
      </c>
      <c r="N775" s="1734">
        <f>CI709</f>
        <v>0</v>
      </c>
      <c r="O775" s="1734">
        <f t="shared" si="272"/>
        <v>28421</v>
      </c>
      <c r="R775" s="1724"/>
      <c r="S775" s="1724"/>
      <c r="T775" s="1724"/>
      <c r="U775" s="1629"/>
      <c r="V775" s="1629"/>
      <c r="W775" s="521"/>
      <c r="X775" s="518"/>
      <c r="Y775" s="518"/>
      <c r="Z775" s="518"/>
      <c r="AA775" s="519"/>
      <c r="AB775" s="520"/>
      <c r="AC775" s="520"/>
      <c r="AD775" s="520"/>
      <c r="AE775" s="520"/>
      <c r="AF775" s="520"/>
      <c r="AG775" s="520"/>
      <c r="AH775" s="518"/>
      <c r="AI775" s="518"/>
      <c r="GT775" s="1518"/>
      <c r="GY775" s="1518"/>
      <c r="GZ775" s="1518"/>
      <c r="HA775" s="1518"/>
      <c r="HB775" s="1518"/>
      <c r="HC775" s="1518"/>
      <c r="HD775" s="1518"/>
      <c r="HE775" s="1518"/>
      <c r="HF775" s="1518"/>
      <c r="HG775" s="1518"/>
      <c r="HH775" s="1518"/>
      <c r="HI775" s="1518"/>
      <c r="HJ775" s="1518"/>
      <c r="HK775" s="1518"/>
      <c r="HL775" s="1518"/>
      <c r="HM775" s="1518"/>
      <c r="HN775" s="1518"/>
      <c r="HO775" s="1518"/>
      <c r="HP775" s="1518"/>
      <c r="HQ775" s="1518"/>
      <c r="HR775" s="1518"/>
      <c r="HS775" s="1518"/>
      <c r="HT775" s="1518"/>
      <c r="HU775" s="1518"/>
      <c r="HV775" s="1518"/>
      <c r="HW775" s="1518"/>
      <c r="HX775" s="1518"/>
      <c r="HY775" s="1518"/>
      <c r="HZ775" s="1518"/>
      <c r="IA775" s="1518"/>
      <c r="IB775" s="1518"/>
      <c r="IC775" s="1518"/>
      <c r="ID775" s="1518"/>
      <c r="IK775" s="1522"/>
      <c r="IL775" s="1522"/>
      <c r="JB775" s="1522"/>
    </row>
    <row r="776" spans="1:263" ht="12" customHeight="1">
      <c r="C776" s="521"/>
      <c r="D776" s="518"/>
      <c r="E776" s="518"/>
      <c r="F776" s="518"/>
      <c r="H776" s="1728" t="s">
        <v>564</v>
      </c>
      <c r="J776" s="1734">
        <f>SUM(J774:J775)</f>
        <v>0</v>
      </c>
      <c r="K776" s="1734">
        <f>SUM(K774:K775)</f>
        <v>110119</v>
      </c>
      <c r="L776" s="1734">
        <f>SUM(L774:L775)</f>
        <v>24240</v>
      </c>
      <c r="M776" s="1734">
        <f>SUM(M774:M775)</f>
        <v>0</v>
      </c>
      <c r="N776" s="1734">
        <f>SUM(N774:N775)</f>
        <v>0</v>
      </c>
      <c r="O776" s="1734">
        <f t="shared" si="272"/>
        <v>134359</v>
      </c>
      <c r="R776" s="1724"/>
      <c r="S776" s="1724"/>
      <c r="T776" s="1724"/>
      <c r="U776" s="1629"/>
      <c r="V776" s="1629"/>
      <c r="W776" s="521"/>
      <c r="X776" s="518"/>
      <c r="Y776" s="518"/>
      <c r="Z776" s="518"/>
      <c r="AA776" s="519"/>
      <c r="AB776" s="520"/>
      <c r="AC776" s="520"/>
      <c r="AD776" s="520"/>
      <c r="AE776" s="520"/>
      <c r="AF776" s="520"/>
      <c r="AG776" s="520"/>
      <c r="AH776" s="518"/>
      <c r="AI776" s="518"/>
      <c r="GT776" s="1518"/>
      <c r="GY776" s="1518"/>
      <c r="GZ776" s="1518"/>
      <c r="HA776" s="1518"/>
      <c r="HB776" s="1518"/>
      <c r="HC776" s="1518"/>
      <c r="HD776" s="1518"/>
      <c r="HE776" s="1518"/>
      <c r="HF776" s="1518"/>
      <c r="HG776" s="1518"/>
      <c r="HH776" s="1518"/>
      <c r="HI776" s="1518"/>
      <c r="HJ776" s="1518"/>
      <c r="HK776" s="1518"/>
      <c r="HL776" s="1518"/>
      <c r="HM776" s="1518"/>
      <c r="HN776" s="1518"/>
      <c r="HO776" s="1518"/>
      <c r="HP776" s="1518"/>
      <c r="HQ776" s="1518"/>
      <c r="HR776" s="1518"/>
      <c r="HS776" s="1518"/>
      <c r="HT776" s="1518"/>
      <c r="HU776" s="1518"/>
      <c r="HV776" s="1518"/>
      <c r="HW776" s="1518"/>
      <c r="HX776" s="1518"/>
      <c r="HY776" s="1518"/>
      <c r="HZ776" s="1518"/>
      <c r="IA776" s="1518"/>
      <c r="IB776" s="1518"/>
      <c r="IC776" s="1518"/>
      <c r="ID776" s="1518"/>
      <c r="IK776" s="1522"/>
      <c r="IL776" s="1522"/>
      <c r="JB776" s="1522"/>
    </row>
    <row r="777" spans="1:263" ht="12" customHeight="1">
      <c r="C777" s="518" t="s">
        <v>317</v>
      </c>
      <c r="D777" s="518"/>
      <c r="E777" s="518"/>
      <c r="F777" s="518"/>
      <c r="G777" s="518"/>
      <c r="J777" s="1734">
        <f>CO709</f>
        <v>0</v>
      </c>
      <c r="K777" s="1734">
        <f>CP709</f>
        <v>0</v>
      </c>
      <c r="L777" s="1734">
        <f>CQ709</f>
        <v>0</v>
      </c>
      <c r="M777" s="1734">
        <f>CR709</f>
        <v>0</v>
      </c>
      <c r="N777" s="1734">
        <f>CS709</f>
        <v>0</v>
      </c>
      <c r="O777" s="1734">
        <f t="shared" si="272"/>
        <v>0</v>
      </c>
      <c r="R777" s="1724"/>
      <c r="S777" s="1724"/>
      <c r="T777" s="1724"/>
      <c r="U777" s="1629"/>
      <c r="V777" s="1629"/>
      <c r="W777" s="518"/>
      <c r="X777" s="518"/>
      <c r="Y777" s="518"/>
      <c r="Z777" s="518"/>
      <c r="AA777" s="518"/>
      <c r="AB777" s="520"/>
      <c r="AC777" s="520"/>
      <c r="AD777" s="520"/>
      <c r="AE777" s="520"/>
      <c r="AF777" s="520"/>
      <c r="AG777" s="520"/>
      <c r="AI777" s="518"/>
      <c r="GT777" s="1518"/>
      <c r="GY777" s="1518"/>
      <c r="GZ777" s="1518"/>
      <c r="HA777" s="1518"/>
      <c r="HB777" s="1518"/>
      <c r="HC777" s="1518"/>
      <c r="HD777" s="1518"/>
      <c r="HE777" s="1518"/>
      <c r="HF777" s="1518"/>
      <c r="HG777" s="1518"/>
      <c r="HH777" s="1518"/>
      <c r="HI777" s="1518"/>
      <c r="HJ777" s="1518"/>
      <c r="HK777" s="1518"/>
      <c r="HL777" s="1518"/>
      <c r="HM777" s="1518"/>
      <c r="HN777" s="1518"/>
      <c r="HO777" s="1518"/>
      <c r="HP777" s="1518"/>
      <c r="HQ777" s="1518"/>
      <c r="HR777" s="1518"/>
      <c r="HS777" s="1518"/>
      <c r="HT777" s="1518"/>
      <c r="HU777" s="1518"/>
      <c r="HV777" s="1518"/>
      <c r="HW777" s="1518"/>
      <c r="HX777" s="1518"/>
      <c r="HY777" s="1518"/>
      <c r="HZ777" s="1518"/>
      <c r="IA777" s="1518"/>
      <c r="IB777" s="1518"/>
      <c r="IC777" s="1518"/>
      <c r="ID777" s="1518"/>
      <c r="IK777" s="1522"/>
      <c r="IL777" s="1522"/>
      <c r="JB777" s="1522"/>
    </row>
    <row r="778" spans="1:263" ht="12" customHeight="1">
      <c r="C778" s="518" t="s">
        <v>1187</v>
      </c>
      <c r="D778" s="518"/>
      <c r="E778" s="518"/>
      <c r="F778" s="518"/>
      <c r="G778" s="518"/>
      <c r="J778" s="1734">
        <f>SUM(J776:J777)</f>
        <v>0</v>
      </c>
      <c r="K778" s="1734">
        <f>SUM(K776:K777)</f>
        <v>110119</v>
      </c>
      <c r="L778" s="1734">
        <f>SUM(L776:L777)</f>
        <v>24240</v>
      </c>
      <c r="M778" s="1734">
        <f>SUM(M776:M777)</f>
        <v>0</v>
      </c>
      <c r="N778" s="1734">
        <f>SUM(N776:N777)</f>
        <v>0</v>
      </c>
      <c r="O778" s="1734">
        <f t="shared" si="272"/>
        <v>134359</v>
      </c>
      <c r="R778" s="1724"/>
      <c r="S778" s="1724"/>
      <c r="T778" s="1724"/>
      <c r="U778" s="1629"/>
      <c r="V778" s="1629"/>
      <c r="W778" s="518"/>
      <c r="X778" s="518"/>
      <c r="Y778" s="518"/>
      <c r="Z778" s="518"/>
      <c r="AA778" s="518"/>
      <c r="AB778" s="520"/>
      <c r="AC778" s="520"/>
      <c r="AD778" s="520"/>
      <c r="AE778" s="520"/>
      <c r="AF778" s="520"/>
      <c r="AG778" s="520"/>
      <c r="AI778" s="518"/>
      <c r="GT778" s="1518"/>
      <c r="GY778" s="1518"/>
      <c r="GZ778" s="1518"/>
      <c r="HA778" s="1518"/>
      <c r="HB778" s="1518"/>
      <c r="HC778" s="1518"/>
      <c r="HD778" s="1518"/>
      <c r="HE778" s="1518"/>
      <c r="HF778" s="1518"/>
      <c r="HG778" s="1518"/>
      <c r="HH778" s="1518"/>
      <c r="HI778" s="1518"/>
      <c r="HJ778" s="1518"/>
      <c r="HK778" s="1518"/>
      <c r="HL778" s="1518"/>
      <c r="HM778" s="1518"/>
      <c r="HN778" s="1518"/>
      <c r="HO778" s="1518"/>
      <c r="HP778" s="1518"/>
      <c r="HQ778" s="1518"/>
      <c r="HR778" s="1518"/>
      <c r="HS778" s="1518"/>
      <c r="HT778" s="1518"/>
      <c r="HU778" s="1518"/>
      <c r="HV778" s="1518"/>
      <c r="HW778" s="1518"/>
      <c r="HX778" s="1518"/>
      <c r="HY778" s="1518"/>
      <c r="HZ778" s="1518"/>
      <c r="IA778" s="1518"/>
      <c r="IB778" s="1518"/>
      <c r="IC778" s="1518"/>
      <c r="ID778" s="1518"/>
      <c r="IK778" s="1522"/>
      <c r="IL778" s="1522"/>
      <c r="JB778" s="1522"/>
    </row>
    <row r="779" spans="1:263" ht="12" customHeight="1">
      <c r="C779" s="518" t="s">
        <v>2610</v>
      </c>
      <c r="D779" s="518"/>
      <c r="E779" s="518"/>
      <c r="F779" s="518"/>
      <c r="G779" s="518"/>
      <c r="J779" s="1734">
        <f>CY709</f>
        <v>0</v>
      </c>
      <c r="K779" s="1734">
        <f>CZ709</f>
        <v>0</v>
      </c>
      <c r="L779" s="1734">
        <f>DA709</f>
        <v>0</v>
      </c>
      <c r="M779" s="1734">
        <f>DB709</f>
        <v>0</v>
      </c>
      <c r="N779" s="1734">
        <f>DC709</f>
        <v>0</v>
      </c>
      <c r="O779" s="1734">
        <f t="shared" si="272"/>
        <v>0</v>
      </c>
      <c r="R779" s="1724"/>
      <c r="S779" s="1724"/>
      <c r="T779" s="1724"/>
      <c r="U779" s="1629"/>
      <c r="V779" s="1629"/>
      <c r="W779" s="518"/>
      <c r="X779" s="518"/>
      <c r="Y779" s="518"/>
      <c r="Z779" s="518"/>
      <c r="AA779" s="518"/>
      <c r="AB779" s="520"/>
      <c r="AC779" s="520"/>
      <c r="AD779" s="520"/>
      <c r="AE779" s="520"/>
      <c r="AF779" s="520"/>
      <c r="AG779" s="520"/>
      <c r="AI779" s="518"/>
      <c r="GT779" s="1518"/>
      <c r="GY779" s="1518"/>
      <c r="GZ779" s="1518"/>
      <c r="HA779" s="1518"/>
      <c r="HB779" s="1518"/>
      <c r="HC779" s="1518"/>
      <c r="HD779" s="1518"/>
      <c r="HE779" s="1518"/>
      <c r="HF779" s="1518"/>
      <c r="HG779" s="1518"/>
      <c r="HH779" s="1518"/>
      <c r="HI779" s="1518"/>
      <c r="HJ779" s="1518"/>
      <c r="HK779" s="1518"/>
      <c r="HL779" s="1518"/>
      <c r="HM779" s="1518"/>
      <c r="HN779" s="1518"/>
      <c r="HO779" s="1518"/>
      <c r="HP779" s="1518"/>
      <c r="HQ779" s="1518"/>
      <c r="HR779" s="1518"/>
      <c r="HS779" s="1518"/>
      <c r="HT779" s="1518"/>
      <c r="HU779" s="1518"/>
      <c r="HV779" s="1518"/>
      <c r="HW779" s="1518"/>
      <c r="HX779" s="1518"/>
      <c r="HY779" s="1518"/>
      <c r="HZ779" s="1518"/>
      <c r="IA779" s="1518"/>
      <c r="IB779" s="1518"/>
      <c r="IC779" s="1518"/>
      <c r="ID779" s="1518"/>
      <c r="IK779" s="1522"/>
      <c r="IL779" s="1522"/>
      <c r="JB779" s="1522"/>
    </row>
    <row r="780" spans="1:263" ht="12" customHeight="1">
      <c r="C780" s="518" t="s">
        <v>564</v>
      </c>
      <c r="D780" s="518"/>
      <c r="E780" s="518"/>
      <c r="F780" s="518"/>
      <c r="G780" s="518"/>
      <c r="J780" s="1734">
        <f>SUM(J778:J779)</f>
        <v>0</v>
      </c>
      <c r="K780" s="1734">
        <f>SUM(K778:K779)</f>
        <v>110119</v>
      </c>
      <c r="L780" s="1734">
        <f>SUM(L778:L779)</f>
        <v>24240</v>
      </c>
      <c r="M780" s="1734">
        <f>SUM(M778:M779)</f>
        <v>0</v>
      </c>
      <c r="N780" s="1734">
        <f>SUM(N778:N779)</f>
        <v>0</v>
      </c>
      <c r="O780" s="1734">
        <f t="shared" si="272"/>
        <v>134359</v>
      </c>
      <c r="R780" s="1724"/>
      <c r="S780" s="1724"/>
      <c r="T780" s="1724"/>
      <c r="U780" s="1629"/>
      <c r="V780" s="1629"/>
      <c r="W780" s="518"/>
      <c r="X780" s="518"/>
      <c r="Y780" s="518"/>
      <c r="Z780" s="518"/>
      <c r="AA780" s="518"/>
      <c r="AB780" s="520"/>
      <c r="AC780" s="520"/>
      <c r="AD780" s="520"/>
      <c r="AE780" s="520"/>
      <c r="AF780" s="520"/>
      <c r="AG780" s="520"/>
      <c r="AI780" s="518"/>
      <c r="GT780" s="1518"/>
      <c r="GY780" s="1518"/>
      <c r="GZ780" s="1518"/>
      <c r="HA780" s="1518"/>
      <c r="HB780" s="1518"/>
      <c r="HC780" s="1518"/>
      <c r="HD780" s="1518"/>
      <c r="HE780" s="1518"/>
      <c r="HF780" s="1518"/>
      <c r="HG780" s="1518"/>
      <c r="HH780" s="1518"/>
      <c r="HI780" s="1518"/>
      <c r="HJ780" s="1518"/>
      <c r="HK780" s="1518"/>
      <c r="HL780" s="1518"/>
      <c r="HM780" s="1518"/>
      <c r="HN780" s="1518"/>
      <c r="HO780" s="1518"/>
      <c r="HP780" s="1518"/>
      <c r="HQ780" s="1518"/>
      <c r="HR780" s="1518"/>
      <c r="HS780" s="1518"/>
      <c r="HT780" s="1518"/>
      <c r="HU780" s="1518"/>
      <c r="HV780" s="1518"/>
      <c r="HW780" s="1518"/>
      <c r="HX780" s="1518"/>
      <c r="HY780" s="1518"/>
      <c r="HZ780" s="1518"/>
      <c r="IA780" s="1518"/>
      <c r="IB780" s="1518"/>
      <c r="IC780" s="1518"/>
      <c r="ID780" s="1518"/>
      <c r="IK780" s="1522"/>
      <c r="IL780" s="1522"/>
      <c r="JB780" s="1522"/>
    </row>
    <row r="781" spans="1:263" ht="13.9" customHeight="1">
      <c r="A781" s="1522" t="s">
        <v>779</v>
      </c>
      <c r="B781" s="1522" t="s">
        <v>4581</v>
      </c>
      <c r="R781" s="518"/>
      <c r="S781" s="518"/>
      <c r="T781" s="518"/>
      <c r="U781" s="1522" t="s">
        <v>1925</v>
      </c>
      <c r="GZ781" s="1518"/>
      <c r="HA781" s="1518"/>
      <c r="HB781" s="1518"/>
      <c r="HC781" s="1518"/>
      <c r="HD781" s="1518"/>
      <c r="HE781" s="1518"/>
      <c r="HF781" s="1518"/>
      <c r="HG781" s="1518"/>
      <c r="HH781" s="1518"/>
      <c r="HI781" s="1518"/>
      <c r="HJ781" s="1518"/>
      <c r="HK781" s="1518"/>
      <c r="HL781" s="1518"/>
      <c r="HM781" s="1518"/>
      <c r="HN781" s="1518"/>
      <c r="HO781" s="1518"/>
      <c r="HP781" s="1518"/>
      <c r="HQ781" s="1518"/>
      <c r="HR781" s="1518"/>
      <c r="HS781" s="1518"/>
      <c r="HT781" s="1518"/>
      <c r="HU781" s="1518"/>
      <c r="HV781" s="1518"/>
      <c r="HW781" s="1518"/>
      <c r="HX781" s="1518"/>
      <c r="HY781" s="1518"/>
      <c r="HZ781" s="1518"/>
      <c r="IA781" s="1518"/>
      <c r="IB781" s="1518"/>
      <c r="IC781" s="1518"/>
      <c r="ID781" s="1518"/>
      <c r="IE781" s="1518"/>
      <c r="IL781" s="1522"/>
      <c r="JB781" s="1522"/>
      <c r="JC781" s="1522"/>
    </row>
    <row r="782" spans="1:263" ht="2.25" customHeight="1">
      <c r="P782" s="518"/>
      <c r="Q782" s="518"/>
      <c r="GT782" s="1518"/>
      <c r="GY782" s="1518"/>
      <c r="GZ782" s="1518"/>
      <c r="HA782" s="1518"/>
      <c r="HB782" s="1518"/>
      <c r="HC782" s="1518"/>
      <c r="HD782" s="1518"/>
      <c r="HE782" s="1518"/>
      <c r="HF782" s="1518"/>
      <c r="HG782" s="1518"/>
      <c r="HH782" s="1518"/>
      <c r="HI782" s="1518"/>
      <c r="HJ782" s="1518"/>
      <c r="HK782" s="1518"/>
      <c r="HL782" s="1518"/>
      <c r="HM782" s="1518"/>
      <c r="HN782" s="1518"/>
      <c r="HO782" s="1518"/>
      <c r="HP782" s="1518"/>
      <c r="HQ782" s="1518"/>
      <c r="HR782" s="1518"/>
      <c r="HS782" s="1518"/>
      <c r="HT782" s="1518"/>
      <c r="HU782" s="1518"/>
      <c r="HV782" s="1518"/>
      <c r="HW782" s="1518"/>
      <c r="HX782" s="1518"/>
      <c r="HY782" s="1518"/>
      <c r="HZ782" s="1518"/>
      <c r="IA782" s="1518"/>
      <c r="IB782" s="1518"/>
      <c r="IC782" s="1518"/>
      <c r="ID782" s="1518"/>
      <c r="IK782" s="1522"/>
      <c r="JA782" s="1522"/>
      <c r="JB782" s="1522"/>
    </row>
    <row r="783" spans="1:263" ht="11.25" customHeight="1">
      <c r="B783" s="1735" t="s">
        <v>1060</v>
      </c>
      <c r="C783" s="1514"/>
      <c r="D783" s="522"/>
      <c r="E783" s="1514"/>
      <c r="F783" s="1514"/>
      <c r="G783" s="1514"/>
      <c r="H783" s="1736">
        <f>'Part VI-Revenues &amp; Expenses'!H122</f>
        <v>28427.760000000002</v>
      </c>
      <c r="I783" s="1736"/>
      <c r="J783" s="1514"/>
      <c r="K783" s="1737" t="s">
        <v>4582</v>
      </c>
      <c r="L783" s="1514"/>
      <c r="M783" s="1514"/>
      <c r="N783" s="1514"/>
      <c r="O783" s="1738">
        <f>H783/L710</f>
        <v>0.02</v>
      </c>
      <c r="P783" s="522"/>
      <c r="Q783" s="522"/>
      <c r="U783" s="521" t="str">
        <f>B783</f>
        <v>Ancillary Income</v>
      </c>
      <c r="GT783" s="1518"/>
      <c r="GY783" s="1518"/>
      <c r="GZ783" s="1518"/>
      <c r="HA783" s="1518"/>
      <c r="HB783" s="1518"/>
      <c r="HC783" s="1518"/>
      <c r="HD783" s="1518"/>
      <c r="HE783" s="1518"/>
      <c r="HF783" s="1518"/>
      <c r="HG783" s="1518"/>
      <c r="HH783" s="1518"/>
      <c r="HI783" s="1518"/>
      <c r="HJ783" s="1518"/>
      <c r="HK783" s="1518"/>
      <c r="HL783" s="1518"/>
      <c r="HM783" s="1518"/>
      <c r="HN783" s="1518"/>
      <c r="HO783" s="1518"/>
      <c r="HP783" s="1518"/>
      <c r="HQ783" s="1518"/>
      <c r="HR783" s="1518"/>
      <c r="HS783" s="1518"/>
      <c r="HT783" s="1518"/>
      <c r="HU783" s="1518"/>
      <c r="HV783" s="1518"/>
      <c r="HW783" s="1518"/>
      <c r="HX783" s="1518"/>
      <c r="HY783" s="1518"/>
      <c r="HZ783" s="1518"/>
      <c r="IA783" s="1518"/>
      <c r="IB783" s="1518"/>
      <c r="IC783" s="1518"/>
      <c r="ID783" s="1518"/>
      <c r="IK783" s="1522"/>
      <c r="JA783" s="1522"/>
      <c r="JB783" s="1522"/>
    </row>
    <row r="784" spans="1:263" ht="2.25" customHeight="1">
      <c r="B784" s="1735"/>
      <c r="C784" s="1514"/>
      <c r="D784" s="522"/>
      <c r="E784" s="1739"/>
      <c r="F784" s="1514"/>
      <c r="G784" s="1514"/>
      <c r="H784" s="1514"/>
      <c r="I784" s="1740"/>
      <c r="J784" s="1514"/>
      <c r="K784" s="1514"/>
      <c r="L784" s="1514"/>
      <c r="M784" s="1514"/>
      <c r="N784" s="1514"/>
      <c r="O784" s="1514"/>
      <c r="P784" s="522"/>
      <c r="Q784" s="522"/>
      <c r="GT784" s="1518"/>
      <c r="GY784" s="1518"/>
      <c r="GZ784" s="1518"/>
      <c r="HA784" s="1518"/>
      <c r="HB784" s="1518"/>
      <c r="HC784" s="1518"/>
      <c r="HD784" s="1518"/>
      <c r="HE784" s="1518"/>
      <c r="HF784" s="1518"/>
      <c r="HG784" s="1518"/>
      <c r="HH784" s="1518"/>
      <c r="HI784" s="1518"/>
      <c r="HJ784" s="1518"/>
      <c r="HK784" s="1518"/>
      <c r="HL784" s="1518"/>
      <c r="HM784" s="1518"/>
      <c r="HN784" s="1518"/>
      <c r="HO784" s="1518"/>
      <c r="HP784" s="1518"/>
      <c r="HQ784" s="1518"/>
      <c r="HR784" s="1518"/>
      <c r="HS784" s="1518"/>
      <c r="HT784" s="1518"/>
      <c r="HU784" s="1518"/>
      <c r="HV784" s="1518"/>
      <c r="HW784" s="1518"/>
      <c r="HX784" s="1518"/>
      <c r="HY784" s="1518"/>
      <c r="HZ784" s="1518"/>
      <c r="IA784" s="1518"/>
      <c r="IB784" s="1518"/>
      <c r="IC784" s="1518"/>
      <c r="ID784" s="1518"/>
      <c r="IK784" s="1522"/>
      <c r="JA784" s="1522"/>
      <c r="JB784" s="1522"/>
    </row>
    <row r="785" spans="2:262" ht="11.25" customHeight="1">
      <c r="B785" s="1735" t="s">
        <v>1509</v>
      </c>
      <c r="C785" s="1514"/>
      <c r="D785" s="1514"/>
      <c r="E785" s="1514"/>
      <c r="F785" s="1514"/>
      <c r="G785" s="1514"/>
      <c r="H785" s="1514"/>
      <c r="I785" s="1735"/>
      <c r="J785" s="1514"/>
      <c r="K785" s="1741"/>
      <c r="L785" s="1514"/>
      <c r="M785" s="1514"/>
      <c r="N785" s="1514"/>
      <c r="O785" s="1514"/>
      <c r="P785" s="1514"/>
      <c r="U785" s="521" t="str">
        <f>B785</f>
        <v>Other Income (OI) by Year:</v>
      </c>
      <c r="GT785" s="1518"/>
      <c r="GY785" s="1518"/>
      <c r="GZ785" s="1518"/>
      <c r="HA785" s="1518"/>
      <c r="HB785" s="1518"/>
      <c r="HC785" s="1518"/>
      <c r="HD785" s="1518"/>
      <c r="HE785" s="1518"/>
      <c r="HF785" s="1518"/>
      <c r="HG785" s="1518"/>
      <c r="HH785" s="1518"/>
      <c r="HI785" s="1518"/>
      <c r="HJ785" s="1518"/>
      <c r="HK785" s="1518"/>
      <c r="HL785" s="1518"/>
      <c r="HM785" s="1518"/>
      <c r="HN785" s="1518"/>
      <c r="HO785" s="1518"/>
      <c r="HP785" s="1518"/>
      <c r="HQ785" s="1518"/>
      <c r="HR785" s="1518"/>
      <c r="HS785" s="1518"/>
      <c r="HT785" s="1518"/>
      <c r="HU785" s="1518"/>
      <c r="HV785" s="1518"/>
      <c r="HW785" s="1518"/>
      <c r="HX785" s="1518"/>
      <c r="HY785" s="1518"/>
      <c r="HZ785" s="1518"/>
      <c r="IA785" s="1518"/>
      <c r="IB785" s="1518"/>
      <c r="IC785" s="1518"/>
      <c r="ID785" s="1518"/>
      <c r="IK785" s="1522"/>
      <c r="JA785" s="1522"/>
      <c r="JB785" s="1522"/>
    </row>
    <row r="786" spans="2:262" ht="11.25" customHeight="1">
      <c r="B786" s="1742" t="s">
        <v>2377</v>
      </c>
      <c r="C786" s="1514"/>
      <c r="D786" s="1514"/>
      <c r="E786" s="1514"/>
      <c r="F786" s="1514"/>
      <c r="G786" s="1743">
        <v>1</v>
      </c>
      <c r="H786" s="1743">
        <v>2</v>
      </c>
      <c r="I786" s="1743">
        <v>3</v>
      </c>
      <c r="J786" s="1743">
        <v>4</v>
      </c>
      <c r="K786" s="1743">
        <v>5</v>
      </c>
      <c r="L786" s="1743">
        <v>6</v>
      </c>
      <c r="M786" s="1743">
        <v>7</v>
      </c>
      <c r="N786" s="1743">
        <v>8</v>
      </c>
      <c r="O786" s="1743">
        <v>9</v>
      </c>
      <c r="P786" s="1743">
        <v>10</v>
      </c>
      <c r="Q786" s="1744"/>
      <c r="U786" s="518" t="str">
        <f>B786</f>
        <v>Included in Mgt Fee:</v>
      </c>
      <c r="GT786" s="1518"/>
      <c r="GY786" s="1518"/>
      <c r="GZ786" s="1518"/>
      <c r="HA786" s="1518"/>
      <c r="HB786" s="1518"/>
      <c r="HC786" s="1518"/>
      <c r="HD786" s="1518"/>
      <c r="HE786" s="1518"/>
      <c r="HF786" s="1518"/>
      <c r="HG786" s="1518"/>
      <c r="HH786" s="1518"/>
      <c r="HI786" s="1518"/>
      <c r="HJ786" s="1518"/>
      <c r="HK786" s="1518"/>
      <c r="HL786" s="1518"/>
      <c r="HM786" s="1518"/>
      <c r="HN786" s="1518"/>
      <c r="HO786" s="1518"/>
      <c r="HP786" s="1518"/>
      <c r="HQ786" s="1518"/>
      <c r="HR786" s="1518"/>
      <c r="HS786" s="1518"/>
      <c r="HT786" s="1518"/>
      <c r="HU786" s="1518"/>
      <c r="HV786" s="1518"/>
      <c r="HW786" s="1518"/>
      <c r="HX786" s="1518"/>
      <c r="HY786" s="1518"/>
      <c r="HZ786" s="1518"/>
      <c r="IA786" s="1518"/>
      <c r="IB786" s="1518"/>
      <c r="IC786" s="1518"/>
      <c r="ID786" s="1518"/>
      <c r="IK786" s="1522"/>
      <c r="JA786" s="1522"/>
      <c r="JB786" s="1522"/>
    </row>
    <row r="787" spans="2:262" ht="11.25" customHeight="1">
      <c r="B787" s="522" t="s">
        <v>1061</v>
      </c>
      <c r="C787" s="522"/>
      <c r="D787" s="522"/>
      <c r="E787" s="522"/>
      <c r="F787" s="522"/>
      <c r="G787" s="1745">
        <f>'Part VI-Revenues &amp; Expenses'!G126</f>
        <v>0</v>
      </c>
      <c r="H787" s="1745">
        <f>'Part VI-Revenues &amp; Expenses'!H126</f>
        <v>0</v>
      </c>
      <c r="I787" s="1745">
        <f>'Part VI-Revenues &amp; Expenses'!I126</f>
        <v>0</v>
      </c>
      <c r="J787" s="1745">
        <f>'Part VI-Revenues &amp; Expenses'!J126</f>
        <v>0</v>
      </c>
      <c r="K787" s="1745">
        <f>'Part VI-Revenues &amp; Expenses'!K126</f>
        <v>0</v>
      </c>
      <c r="L787" s="1745">
        <f>'Part VI-Revenues &amp; Expenses'!L126</f>
        <v>0</v>
      </c>
      <c r="M787" s="1745">
        <f>'Part VI-Revenues &amp; Expenses'!M126</f>
        <v>0</v>
      </c>
      <c r="N787" s="1745">
        <f>'Part VI-Revenues &amp; Expenses'!N126</f>
        <v>0</v>
      </c>
      <c r="O787" s="1745">
        <f>'Part VI-Revenues &amp; Expenses'!O126</f>
        <v>0</v>
      </c>
      <c r="P787" s="1745">
        <f>'Part VI-Revenues &amp; Expenses'!P126</f>
        <v>0</v>
      </c>
      <c r="Q787" s="1746"/>
      <c r="U787" s="1629">
        <f>'Part VI-Revenues &amp; Expenses'!U126</f>
        <v>0</v>
      </c>
      <c r="V787" s="1629"/>
      <c r="GT787" s="1518"/>
      <c r="GY787" s="1518"/>
      <c r="GZ787" s="1518"/>
      <c r="HA787" s="1518"/>
      <c r="HB787" s="1518"/>
      <c r="HC787" s="1518"/>
      <c r="HD787" s="1518"/>
      <c r="HE787" s="1518"/>
      <c r="HF787" s="1518"/>
      <c r="HG787" s="1518"/>
      <c r="HH787" s="1518"/>
      <c r="HI787" s="1518"/>
      <c r="HJ787" s="1518"/>
      <c r="HK787" s="1518"/>
      <c r="HL787" s="1518"/>
      <c r="HM787" s="1518"/>
      <c r="HN787" s="1518"/>
      <c r="HO787" s="1518"/>
      <c r="HP787" s="1518"/>
      <c r="HQ787" s="1518"/>
      <c r="HR787" s="1518"/>
      <c r="HS787" s="1518"/>
      <c r="HT787" s="1518"/>
      <c r="HU787" s="1518"/>
      <c r="HV787" s="1518"/>
      <c r="HW787" s="1518"/>
      <c r="HX787" s="1518"/>
      <c r="HY787" s="1518"/>
      <c r="HZ787" s="1518"/>
      <c r="IA787" s="1518"/>
      <c r="IB787" s="1518"/>
      <c r="IC787" s="1518"/>
      <c r="ID787" s="1518"/>
      <c r="IK787" s="1522"/>
      <c r="JA787" s="1522"/>
      <c r="JB787" s="1522"/>
    </row>
    <row r="788" spans="2:262" ht="11.25" customHeight="1">
      <c r="B788" s="522" t="s">
        <v>778</v>
      </c>
      <c r="C788" s="522">
        <f>'Part VI-Revenues &amp; Expenses'!C127</f>
        <v>0</v>
      </c>
      <c r="D788" s="522"/>
      <c r="E788" s="522"/>
      <c r="F788" s="522"/>
      <c r="G788" s="1745">
        <f>'Part VI-Revenues &amp; Expenses'!G127</f>
        <v>0</v>
      </c>
      <c r="H788" s="1745">
        <f>'Part VI-Revenues &amp; Expenses'!H127</f>
        <v>0</v>
      </c>
      <c r="I788" s="1745">
        <f>'Part VI-Revenues &amp; Expenses'!I127</f>
        <v>0</v>
      </c>
      <c r="J788" s="1745">
        <f>'Part VI-Revenues &amp; Expenses'!J127</f>
        <v>0</v>
      </c>
      <c r="K788" s="1745">
        <f>'Part VI-Revenues &amp; Expenses'!K127</f>
        <v>0</v>
      </c>
      <c r="L788" s="1745">
        <f>'Part VI-Revenues &amp; Expenses'!L127</f>
        <v>0</v>
      </c>
      <c r="M788" s="1745">
        <f>'Part VI-Revenues &amp; Expenses'!M127</f>
        <v>0</v>
      </c>
      <c r="N788" s="1745">
        <f>'Part VI-Revenues &amp; Expenses'!N127</f>
        <v>0</v>
      </c>
      <c r="O788" s="1745">
        <f>'Part VI-Revenues &amp; Expenses'!O127</f>
        <v>0</v>
      </c>
      <c r="P788" s="1745">
        <f>'Part VI-Revenues &amp; Expenses'!P127</f>
        <v>0</v>
      </c>
      <c r="Q788" s="1746"/>
      <c r="U788" s="1629"/>
      <c r="V788" s="1629"/>
      <c r="GT788" s="1518"/>
      <c r="GY788" s="1518"/>
      <c r="GZ788" s="1518"/>
      <c r="HA788" s="1518"/>
      <c r="HB788" s="1518"/>
      <c r="HC788" s="1518"/>
      <c r="HD788" s="1518"/>
      <c r="HE788" s="1518"/>
      <c r="HF788" s="1518"/>
      <c r="HG788" s="1518"/>
      <c r="HH788" s="1518"/>
      <c r="HI788" s="1518"/>
      <c r="HJ788" s="1518"/>
      <c r="HK788" s="1518"/>
      <c r="HL788" s="1518"/>
      <c r="HM788" s="1518"/>
      <c r="HN788" s="1518"/>
      <c r="HO788" s="1518"/>
      <c r="HP788" s="1518"/>
      <c r="HQ788" s="1518"/>
      <c r="HR788" s="1518"/>
      <c r="HS788" s="1518"/>
      <c r="HT788" s="1518"/>
      <c r="HU788" s="1518"/>
      <c r="HV788" s="1518"/>
      <c r="HW788" s="1518"/>
      <c r="HX788" s="1518"/>
      <c r="HY788" s="1518"/>
      <c r="HZ788" s="1518"/>
      <c r="IA788" s="1518"/>
      <c r="IB788" s="1518"/>
      <c r="IC788" s="1518"/>
      <c r="ID788" s="1518"/>
      <c r="IK788" s="1522"/>
      <c r="JA788" s="1522"/>
      <c r="JB788" s="1522"/>
    </row>
    <row r="789" spans="2:262" ht="11.25" customHeight="1">
      <c r="B789" s="522"/>
      <c r="C789" s="522" t="s">
        <v>968</v>
      </c>
      <c r="D789" s="522"/>
      <c r="E789" s="522"/>
      <c r="F789" s="522"/>
      <c r="G789" s="1747">
        <f t="shared" ref="G789:P789" si="273">SUM(G787:G788)</f>
        <v>0</v>
      </c>
      <c r="H789" s="1747">
        <f t="shared" si="273"/>
        <v>0</v>
      </c>
      <c r="I789" s="1747">
        <f t="shared" si="273"/>
        <v>0</v>
      </c>
      <c r="J789" s="1747">
        <f t="shared" si="273"/>
        <v>0</v>
      </c>
      <c r="K789" s="1747">
        <f t="shared" si="273"/>
        <v>0</v>
      </c>
      <c r="L789" s="1747">
        <f t="shared" si="273"/>
        <v>0</v>
      </c>
      <c r="M789" s="1747">
        <f t="shared" si="273"/>
        <v>0</v>
      </c>
      <c r="N789" s="1747">
        <f t="shared" si="273"/>
        <v>0</v>
      </c>
      <c r="O789" s="1747">
        <f t="shared" si="273"/>
        <v>0</v>
      </c>
      <c r="P789" s="1747">
        <f t="shared" si="273"/>
        <v>0</v>
      </c>
      <c r="Q789" s="520"/>
      <c r="U789" s="1629"/>
      <c r="V789" s="1629"/>
      <c r="GT789" s="1518"/>
      <c r="GY789" s="1518"/>
      <c r="GZ789" s="1518"/>
      <c r="HA789" s="1518"/>
      <c r="HB789" s="1518"/>
      <c r="HC789" s="1518"/>
      <c r="HD789" s="1518"/>
      <c r="HE789" s="1518"/>
      <c r="HF789" s="1518"/>
      <c r="HG789" s="1518"/>
      <c r="HH789" s="1518"/>
      <c r="HI789" s="1518"/>
      <c r="HJ789" s="1518"/>
      <c r="HK789" s="1518"/>
      <c r="HL789" s="1518"/>
      <c r="HM789" s="1518"/>
      <c r="HN789" s="1518"/>
      <c r="HO789" s="1518"/>
      <c r="HP789" s="1518"/>
      <c r="HQ789" s="1518"/>
      <c r="HR789" s="1518"/>
      <c r="HS789" s="1518"/>
      <c r="HT789" s="1518"/>
      <c r="HU789" s="1518"/>
      <c r="HV789" s="1518"/>
      <c r="HW789" s="1518"/>
      <c r="HX789" s="1518"/>
      <c r="HY789" s="1518"/>
      <c r="HZ789" s="1518"/>
      <c r="IA789" s="1518"/>
      <c r="IB789" s="1518"/>
      <c r="IC789" s="1518"/>
      <c r="ID789" s="1518"/>
      <c r="IK789" s="1522"/>
      <c r="JA789" s="1522"/>
      <c r="JB789" s="1522"/>
    </row>
    <row r="790" spans="2:262" ht="11.25" customHeight="1">
      <c r="B790" s="1742" t="s">
        <v>4583</v>
      </c>
      <c r="C790" s="1514"/>
      <c r="D790" s="1514"/>
      <c r="E790" s="1514"/>
      <c r="F790" s="1514"/>
      <c r="G790" s="1748"/>
      <c r="H790" s="1514"/>
      <c r="I790" s="1514"/>
      <c r="J790" s="1514"/>
      <c r="K790" s="1514"/>
      <c r="L790" s="1514"/>
      <c r="M790" s="1514"/>
      <c r="N790" s="1514"/>
      <c r="O790" s="1514"/>
      <c r="P790" s="1514"/>
      <c r="U790" s="518" t="str">
        <f>B790</f>
        <v>NOT Included in Mgt Fee:</v>
      </c>
      <c r="GT790" s="1518"/>
      <c r="GY790" s="1518"/>
      <c r="GZ790" s="1518"/>
      <c r="HA790" s="1518"/>
      <c r="HB790" s="1518"/>
      <c r="HC790" s="1518"/>
      <c r="HD790" s="1518"/>
      <c r="HE790" s="1518"/>
      <c r="HF790" s="1518"/>
      <c r="HG790" s="1518"/>
      <c r="HH790" s="1518"/>
      <c r="HI790" s="1518"/>
      <c r="HJ790" s="1518"/>
      <c r="HK790" s="1518"/>
      <c r="HL790" s="1518"/>
      <c r="HM790" s="1518"/>
      <c r="HN790" s="1518"/>
      <c r="HO790" s="1518"/>
      <c r="HP790" s="1518"/>
      <c r="HQ790" s="1518"/>
      <c r="HR790" s="1518"/>
      <c r="HS790" s="1518"/>
      <c r="HT790" s="1518"/>
      <c r="HU790" s="1518"/>
      <c r="HV790" s="1518"/>
      <c r="HW790" s="1518"/>
      <c r="HX790" s="1518"/>
      <c r="HY790" s="1518"/>
      <c r="HZ790" s="1518"/>
      <c r="IA790" s="1518"/>
      <c r="IB790" s="1518"/>
      <c r="IC790" s="1518"/>
      <c r="ID790" s="1518"/>
      <c r="IK790" s="1522"/>
      <c r="JA790" s="1522"/>
      <c r="JB790" s="1522"/>
    </row>
    <row r="791" spans="2:262" ht="11.25" customHeight="1">
      <c r="B791" s="522" t="s">
        <v>558</v>
      </c>
      <c r="C791" s="522"/>
      <c r="D791" s="522"/>
      <c r="E791" s="522"/>
      <c r="F791" s="522"/>
      <c r="G791" s="1745">
        <f>'Part VI-Revenues &amp; Expenses'!G130</f>
        <v>0</v>
      </c>
      <c r="H791" s="1745">
        <f>'Part VI-Revenues &amp; Expenses'!H130</f>
        <v>0</v>
      </c>
      <c r="I791" s="1745">
        <f>'Part VI-Revenues &amp; Expenses'!I130</f>
        <v>0</v>
      </c>
      <c r="J791" s="1745">
        <f>'Part VI-Revenues &amp; Expenses'!J130</f>
        <v>0</v>
      </c>
      <c r="K791" s="1745">
        <f>'Part VI-Revenues &amp; Expenses'!K130</f>
        <v>0</v>
      </c>
      <c r="L791" s="1745">
        <f>'Part VI-Revenues &amp; Expenses'!L130</f>
        <v>0</v>
      </c>
      <c r="M791" s="1745">
        <f>'Part VI-Revenues &amp; Expenses'!M130</f>
        <v>0</v>
      </c>
      <c r="N791" s="1745">
        <f>'Part VI-Revenues &amp; Expenses'!N130</f>
        <v>0</v>
      </c>
      <c r="O791" s="1745">
        <f>'Part VI-Revenues &amp; Expenses'!O130</f>
        <v>0</v>
      </c>
      <c r="P791" s="1745">
        <f>'Part VI-Revenues &amp; Expenses'!P130</f>
        <v>0</v>
      </c>
      <c r="Q791" s="1746"/>
      <c r="U791" s="1629">
        <f>'Part VI-Revenues &amp; Expenses'!U130</f>
        <v>0</v>
      </c>
      <c r="V791" s="1629"/>
      <c r="GT791" s="1518"/>
      <c r="GY791" s="1518"/>
      <c r="GZ791" s="1518"/>
      <c r="HA791" s="1518"/>
      <c r="HB791" s="1518"/>
      <c r="HC791" s="1518"/>
      <c r="HD791" s="1518"/>
      <c r="HE791" s="1518"/>
      <c r="HF791" s="1518"/>
      <c r="HG791" s="1518"/>
      <c r="HH791" s="1518"/>
      <c r="HI791" s="1518"/>
      <c r="HJ791" s="1518"/>
      <c r="HK791" s="1518"/>
      <c r="HL791" s="1518"/>
      <c r="HM791" s="1518"/>
      <c r="HN791" s="1518"/>
      <c r="HO791" s="1518"/>
      <c r="HP791" s="1518"/>
      <c r="HQ791" s="1518"/>
      <c r="HR791" s="1518"/>
      <c r="HS791" s="1518"/>
      <c r="HT791" s="1518"/>
      <c r="HU791" s="1518"/>
      <c r="HV791" s="1518"/>
      <c r="HW791" s="1518"/>
      <c r="HX791" s="1518"/>
      <c r="HY791" s="1518"/>
      <c r="HZ791" s="1518"/>
      <c r="IA791" s="1518"/>
      <c r="IB791" s="1518"/>
      <c r="IC791" s="1518"/>
      <c r="ID791" s="1518"/>
      <c r="IK791" s="1522"/>
      <c r="JA791" s="1522"/>
      <c r="JB791" s="1522"/>
    </row>
    <row r="792" spans="2:262" ht="11.25" customHeight="1">
      <c r="B792" s="522" t="s">
        <v>778</v>
      </c>
      <c r="C792" s="522">
        <f>'Part VI-Revenues &amp; Expenses'!C131</f>
        <v>0</v>
      </c>
      <c r="D792" s="522"/>
      <c r="E792" s="522"/>
      <c r="F792" s="522"/>
      <c r="G792" s="1745">
        <f>'Part VI-Revenues &amp; Expenses'!G131</f>
        <v>0</v>
      </c>
      <c r="H792" s="1745">
        <f>'Part VI-Revenues &amp; Expenses'!H131</f>
        <v>0</v>
      </c>
      <c r="I792" s="1745">
        <f>'Part VI-Revenues &amp; Expenses'!I131</f>
        <v>0</v>
      </c>
      <c r="J792" s="1745">
        <f>'Part VI-Revenues &amp; Expenses'!J131</f>
        <v>0</v>
      </c>
      <c r="K792" s="1745">
        <f>'Part VI-Revenues &amp; Expenses'!K131</f>
        <v>0</v>
      </c>
      <c r="L792" s="1745">
        <f>'Part VI-Revenues &amp; Expenses'!L131</f>
        <v>0</v>
      </c>
      <c r="M792" s="1745">
        <f>'Part VI-Revenues &amp; Expenses'!M131</f>
        <v>0</v>
      </c>
      <c r="N792" s="1745">
        <f>'Part VI-Revenues &amp; Expenses'!N131</f>
        <v>0</v>
      </c>
      <c r="O792" s="1745">
        <f>'Part VI-Revenues &amp; Expenses'!O131</f>
        <v>0</v>
      </c>
      <c r="P792" s="1745">
        <f>'Part VI-Revenues &amp; Expenses'!P131</f>
        <v>0</v>
      </c>
      <c r="Q792" s="1746"/>
      <c r="U792" s="1629"/>
      <c r="V792" s="1629"/>
      <c r="GT792" s="1518"/>
      <c r="GY792" s="1518"/>
      <c r="GZ792" s="1518"/>
      <c r="HA792" s="1518"/>
      <c r="HB792" s="1518"/>
      <c r="HC792" s="1518"/>
      <c r="HD792" s="1518"/>
      <c r="HE792" s="1518"/>
      <c r="HF792" s="1518"/>
      <c r="HG792" s="1518"/>
      <c r="HH792" s="1518"/>
      <c r="HI792" s="1518"/>
      <c r="HJ792" s="1518"/>
      <c r="HK792" s="1518"/>
      <c r="HL792" s="1518"/>
      <c r="HM792" s="1518"/>
      <c r="HN792" s="1518"/>
      <c r="HO792" s="1518"/>
      <c r="HP792" s="1518"/>
      <c r="HQ792" s="1518"/>
      <c r="HR792" s="1518"/>
      <c r="HS792" s="1518"/>
      <c r="HT792" s="1518"/>
      <c r="HU792" s="1518"/>
      <c r="HV792" s="1518"/>
      <c r="HW792" s="1518"/>
      <c r="HX792" s="1518"/>
      <c r="HY792" s="1518"/>
      <c r="HZ792" s="1518"/>
      <c r="IA792" s="1518"/>
      <c r="IB792" s="1518"/>
      <c r="IC792" s="1518"/>
      <c r="ID792" s="1518"/>
      <c r="IK792" s="1522"/>
      <c r="JA792" s="1522"/>
      <c r="JB792" s="1522"/>
    </row>
    <row r="793" spans="2:262" ht="11.25" customHeight="1">
      <c r="B793" s="522"/>
      <c r="C793" s="522" t="s">
        <v>4584</v>
      </c>
      <c r="D793" s="522"/>
      <c r="E793" s="522"/>
      <c r="F793" s="522"/>
      <c r="G793" s="1747">
        <f t="shared" ref="G793:P793" si="274">SUM(G791:G792)</f>
        <v>0</v>
      </c>
      <c r="H793" s="1747">
        <f t="shared" si="274"/>
        <v>0</v>
      </c>
      <c r="I793" s="1747">
        <f t="shared" si="274"/>
        <v>0</v>
      </c>
      <c r="J793" s="1747">
        <f t="shared" si="274"/>
        <v>0</v>
      </c>
      <c r="K793" s="1747">
        <f t="shared" si="274"/>
        <v>0</v>
      </c>
      <c r="L793" s="1747">
        <f t="shared" si="274"/>
        <v>0</v>
      </c>
      <c r="M793" s="1747">
        <f t="shared" si="274"/>
        <v>0</v>
      </c>
      <c r="N793" s="1747">
        <f t="shared" si="274"/>
        <v>0</v>
      </c>
      <c r="O793" s="1747">
        <f t="shared" si="274"/>
        <v>0</v>
      </c>
      <c r="P793" s="1747">
        <f t="shared" si="274"/>
        <v>0</v>
      </c>
      <c r="Q793" s="520"/>
      <c r="U793" s="1629"/>
      <c r="V793" s="1629"/>
      <c r="GT793" s="1518"/>
      <c r="GY793" s="1518"/>
      <c r="GZ793" s="1518"/>
      <c r="HA793" s="1518"/>
      <c r="HB793" s="1518"/>
      <c r="HC793" s="1518"/>
      <c r="HD793" s="1518"/>
      <c r="HE793" s="1518"/>
      <c r="HF793" s="1518"/>
      <c r="HG793" s="1518"/>
      <c r="HH793" s="1518"/>
      <c r="HI793" s="1518"/>
      <c r="HJ793" s="1518"/>
      <c r="HK793" s="1518"/>
      <c r="HL793" s="1518"/>
      <c r="HM793" s="1518"/>
      <c r="HN793" s="1518"/>
      <c r="HO793" s="1518"/>
      <c r="HP793" s="1518"/>
      <c r="HQ793" s="1518"/>
      <c r="HR793" s="1518"/>
      <c r="HS793" s="1518"/>
      <c r="HT793" s="1518"/>
      <c r="HU793" s="1518"/>
      <c r="HV793" s="1518"/>
      <c r="HW793" s="1518"/>
      <c r="HX793" s="1518"/>
      <c r="HY793" s="1518"/>
      <c r="HZ793" s="1518"/>
      <c r="IA793" s="1518"/>
      <c r="IB793" s="1518"/>
      <c r="IC793" s="1518"/>
      <c r="ID793" s="1518"/>
      <c r="IK793" s="1522"/>
      <c r="JA793" s="1522"/>
      <c r="JB793" s="1522"/>
    </row>
    <row r="794" spans="2:262" ht="3" customHeight="1">
      <c r="B794" s="1735"/>
      <c r="C794" s="1514"/>
      <c r="D794" s="1514"/>
      <c r="E794" s="1514"/>
      <c r="F794" s="1514"/>
      <c r="G794" s="1748"/>
      <c r="H794" s="1514"/>
      <c r="I794" s="1514"/>
      <c r="J794" s="1514"/>
      <c r="K794" s="1514"/>
      <c r="L794" s="1514"/>
      <c r="M794" s="1514"/>
      <c r="N794" s="1514"/>
      <c r="O794" s="1514"/>
      <c r="P794" s="1514"/>
      <c r="U794" s="1700" t="s">
        <v>2722</v>
      </c>
      <c r="GT794" s="1518"/>
      <c r="GY794" s="1518"/>
      <c r="GZ794" s="1518"/>
      <c r="HA794" s="1518"/>
      <c r="HB794" s="1518"/>
      <c r="HC794" s="1518"/>
      <c r="HD794" s="1518"/>
      <c r="HE794" s="1518"/>
      <c r="HF794" s="1518"/>
      <c r="HG794" s="1518"/>
      <c r="HH794" s="1518"/>
      <c r="HI794" s="1518"/>
      <c r="HJ794" s="1518"/>
      <c r="HK794" s="1518"/>
      <c r="HL794" s="1518"/>
      <c r="HM794" s="1518"/>
      <c r="HN794" s="1518"/>
      <c r="HO794" s="1518"/>
      <c r="HP794" s="1518"/>
      <c r="HQ794" s="1518"/>
      <c r="HR794" s="1518"/>
      <c r="HS794" s="1518"/>
      <c r="HT794" s="1518"/>
      <c r="HU794" s="1518"/>
      <c r="HV794" s="1518"/>
      <c r="HW794" s="1518"/>
      <c r="HX794" s="1518"/>
      <c r="HY794" s="1518"/>
      <c r="HZ794" s="1518"/>
      <c r="IA794" s="1518"/>
      <c r="IB794" s="1518"/>
      <c r="IC794" s="1518"/>
      <c r="ID794" s="1518"/>
      <c r="IK794" s="1522"/>
      <c r="JA794" s="1522"/>
      <c r="JB794" s="1522"/>
    </row>
    <row r="795" spans="2:262" ht="11.25" customHeight="1">
      <c r="B795" s="1742" t="s">
        <v>2377</v>
      </c>
      <c r="C795" s="1514"/>
      <c r="D795" s="1514"/>
      <c r="E795" s="1514"/>
      <c r="F795" s="1514"/>
      <c r="G795" s="1743">
        <v>11</v>
      </c>
      <c r="H795" s="1743">
        <v>12</v>
      </c>
      <c r="I795" s="1743">
        <v>13</v>
      </c>
      <c r="J795" s="1743">
        <v>14</v>
      </c>
      <c r="K795" s="1743">
        <v>15</v>
      </c>
      <c r="L795" s="1743">
        <v>16</v>
      </c>
      <c r="M795" s="1743">
        <v>17</v>
      </c>
      <c r="N795" s="1743">
        <v>18</v>
      </c>
      <c r="O795" s="1743">
        <v>19</v>
      </c>
      <c r="P795" s="1743">
        <v>20</v>
      </c>
      <c r="Q795" s="1744"/>
      <c r="U795" s="518" t="str">
        <f>B795</f>
        <v>Included in Mgt Fee:</v>
      </c>
      <c r="GT795" s="1518"/>
      <c r="GY795" s="1518"/>
      <c r="GZ795" s="1518"/>
      <c r="HA795" s="1518"/>
      <c r="HB795" s="1518"/>
      <c r="HC795" s="1518"/>
      <c r="HD795" s="1518"/>
      <c r="HE795" s="1518"/>
      <c r="HF795" s="1518"/>
      <c r="HG795" s="1518"/>
      <c r="HH795" s="1518"/>
      <c r="HI795" s="1518"/>
      <c r="HJ795" s="1518"/>
      <c r="HK795" s="1518"/>
      <c r="HL795" s="1518"/>
      <c r="HM795" s="1518"/>
      <c r="HN795" s="1518"/>
      <c r="HO795" s="1518"/>
      <c r="HP795" s="1518"/>
      <c r="HQ795" s="1518"/>
      <c r="HR795" s="1518"/>
      <c r="HS795" s="1518"/>
      <c r="HT795" s="1518"/>
      <c r="HU795" s="1518"/>
      <c r="HV795" s="1518"/>
      <c r="HW795" s="1518"/>
      <c r="HX795" s="1518"/>
      <c r="HY795" s="1518"/>
      <c r="HZ795" s="1518"/>
      <c r="IA795" s="1518"/>
      <c r="IB795" s="1518"/>
      <c r="IC795" s="1518"/>
      <c r="ID795" s="1518"/>
      <c r="IK795" s="1522"/>
      <c r="JA795" s="1522"/>
      <c r="JB795" s="1522"/>
    </row>
    <row r="796" spans="2:262" ht="11.25" customHeight="1">
      <c r="B796" s="522" t="s">
        <v>1061</v>
      </c>
      <c r="C796" s="522"/>
      <c r="D796" s="522"/>
      <c r="E796" s="522"/>
      <c r="F796" s="522"/>
      <c r="G796" s="1745">
        <f>'Part VI-Revenues &amp; Expenses'!G135</f>
        <v>0</v>
      </c>
      <c r="H796" s="1745">
        <f>'Part VI-Revenues &amp; Expenses'!H135</f>
        <v>0</v>
      </c>
      <c r="I796" s="1745">
        <f>'Part VI-Revenues &amp; Expenses'!I135</f>
        <v>0</v>
      </c>
      <c r="J796" s="1745">
        <f>'Part VI-Revenues &amp; Expenses'!J135</f>
        <v>0</v>
      </c>
      <c r="K796" s="1745">
        <f>'Part VI-Revenues &amp; Expenses'!K135</f>
        <v>0</v>
      </c>
      <c r="L796" s="1745">
        <f>'Part VI-Revenues &amp; Expenses'!L135</f>
        <v>0</v>
      </c>
      <c r="M796" s="1745">
        <f>'Part VI-Revenues &amp; Expenses'!M135</f>
        <v>0</v>
      </c>
      <c r="N796" s="1745">
        <f>'Part VI-Revenues &amp; Expenses'!N135</f>
        <v>0</v>
      </c>
      <c r="O796" s="1745">
        <f>'Part VI-Revenues &amp; Expenses'!O135</f>
        <v>0</v>
      </c>
      <c r="P796" s="1745">
        <f>'Part VI-Revenues &amp; Expenses'!P135</f>
        <v>0</v>
      </c>
      <c r="Q796" s="1746"/>
      <c r="U796" s="1629">
        <f>'Part VI-Revenues &amp; Expenses'!U135</f>
        <v>0</v>
      </c>
      <c r="V796" s="1629"/>
      <c r="GT796" s="1518"/>
      <c r="GY796" s="1518"/>
      <c r="GZ796" s="1518"/>
      <c r="HA796" s="1518"/>
      <c r="HB796" s="1518"/>
      <c r="HC796" s="1518"/>
      <c r="HD796" s="1518"/>
      <c r="HE796" s="1518"/>
      <c r="HF796" s="1518"/>
      <c r="HG796" s="1518"/>
      <c r="HH796" s="1518"/>
      <c r="HI796" s="1518"/>
      <c r="HJ796" s="1518"/>
      <c r="HK796" s="1518"/>
      <c r="HL796" s="1518"/>
      <c r="HM796" s="1518"/>
      <c r="HN796" s="1518"/>
      <c r="HO796" s="1518"/>
      <c r="HP796" s="1518"/>
      <c r="HQ796" s="1518"/>
      <c r="HR796" s="1518"/>
      <c r="HS796" s="1518"/>
      <c r="HT796" s="1518"/>
      <c r="HU796" s="1518"/>
      <c r="HV796" s="1518"/>
      <c r="HW796" s="1518"/>
      <c r="HX796" s="1518"/>
      <c r="HY796" s="1518"/>
      <c r="HZ796" s="1518"/>
      <c r="IA796" s="1518"/>
      <c r="IB796" s="1518"/>
      <c r="IC796" s="1518"/>
      <c r="ID796" s="1518"/>
      <c r="IK796" s="1522"/>
      <c r="JA796" s="1522"/>
      <c r="JB796" s="1522"/>
    </row>
    <row r="797" spans="2:262" ht="11.25" customHeight="1">
      <c r="B797" s="522" t="s">
        <v>778</v>
      </c>
      <c r="C797" s="522">
        <f>'Part VI-Revenues &amp; Expenses'!C136</f>
        <v>0</v>
      </c>
      <c r="D797" s="522"/>
      <c r="E797" s="522"/>
      <c r="F797" s="522"/>
      <c r="G797" s="1745">
        <f>'Part VI-Revenues &amp; Expenses'!G136</f>
        <v>0</v>
      </c>
      <c r="H797" s="1745">
        <f>'Part VI-Revenues &amp; Expenses'!H136</f>
        <v>0</v>
      </c>
      <c r="I797" s="1745">
        <f>'Part VI-Revenues &amp; Expenses'!I136</f>
        <v>0</v>
      </c>
      <c r="J797" s="1745">
        <f>'Part VI-Revenues &amp; Expenses'!J136</f>
        <v>0</v>
      </c>
      <c r="K797" s="1745">
        <f>'Part VI-Revenues &amp; Expenses'!K136</f>
        <v>0</v>
      </c>
      <c r="L797" s="1745">
        <f>'Part VI-Revenues &amp; Expenses'!L136</f>
        <v>0</v>
      </c>
      <c r="M797" s="1745">
        <f>'Part VI-Revenues &amp; Expenses'!M136</f>
        <v>0</v>
      </c>
      <c r="N797" s="1745">
        <f>'Part VI-Revenues &amp; Expenses'!N136</f>
        <v>0</v>
      </c>
      <c r="O797" s="1745">
        <f>'Part VI-Revenues &amp; Expenses'!O136</f>
        <v>0</v>
      </c>
      <c r="P797" s="1745">
        <f>'Part VI-Revenues &amp; Expenses'!P136</f>
        <v>0</v>
      </c>
      <c r="Q797" s="1746"/>
      <c r="U797" s="1629"/>
      <c r="V797" s="1629"/>
      <c r="GT797" s="1518"/>
      <c r="GY797" s="1518"/>
      <c r="GZ797" s="1518"/>
      <c r="HA797" s="1518"/>
      <c r="HB797" s="1518"/>
      <c r="HC797" s="1518"/>
      <c r="HD797" s="1518"/>
      <c r="HE797" s="1518"/>
      <c r="HF797" s="1518"/>
      <c r="HG797" s="1518"/>
      <c r="HH797" s="1518"/>
      <c r="HI797" s="1518"/>
      <c r="HJ797" s="1518"/>
      <c r="HK797" s="1518"/>
      <c r="HL797" s="1518"/>
      <c r="HM797" s="1518"/>
      <c r="HN797" s="1518"/>
      <c r="HO797" s="1518"/>
      <c r="HP797" s="1518"/>
      <c r="HQ797" s="1518"/>
      <c r="HR797" s="1518"/>
      <c r="HS797" s="1518"/>
      <c r="HT797" s="1518"/>
      <c r="HU797" s="1518"/>
      <c r="HV797" s="1518"/>
      <c r="HW797" s="1518"/>
      <c r="HX797" s="1518"/>
      <c r="HY797" s="1518"/>
      <c r="HZ797" s="1518"/>
      <c r="IA797" s="1518"/>
      <c r="IB797" s="1518"/>
      <c r="IC797" s="1518"/>
      <c r="ID797" s="1518"/>
      <c r="IK797" s="1522"/>
      <c r="JA797" s="1522"/>
      <c r="JB797" s="1522"/>
    </row>
    <row r="798" spans="2:262" ht="11.25" customHeight="1">
      <c r="B798" s="522"/>
      <c r="C798" s="522" t="s">
        <v>968</v>
      </c>
      <c r="D798" s="522"/>
      <c r="E798" s="522"/>
      <c r="F798" s="522"/>
      <c r="G798" s="1747">
        <f t="shared" ref="G798:P798" si="275">SUM(G796:G797)</f>
        <v>0</v>
      </c>
      <c r="H798" s="1747">
        <f t="shared" si="275"/>
        <v>0</v>
      </c>
      <c r="I798" s="1747">
        <f t="shared" si="275"/>
        <v>0</v>
      </c>
      <c r="J798" s="1747">
        <f t="shared" si="275"/>
        <v>0</v>
      </c>
      <c r="K798" s="1747">
        <f t="shared" si="275"/>
        <v>0</v>
      </c>
      <c r="L798" s="1747">
        <f t="shared" si="275"/>
        <v>0</v>
      </c>
      <c r="M798" s="1747">
        <f t="shared" si="275"/>
        <v>0</v>
      </c>
      <c r="N798" s="1747">
        <f t="shared" si="275"/>
        <v>0</v>
      </c>
      <c r="O798" s="1747">
        <f t="shared" si="275"/>
        <v>0</v>
      </c>
      <c r="P798" s="1747">
        <f t="shared" si="275"/>
        <v>0</v>
      </c>
      <c r="Q798" s="520"/>
      <c r="U798" s="1629"/>
      <c r="V798" s="1629"/>
      <c r="GT798" s="1518"/>
      <c r="GY798" s="1518"/>
      <c r="GZ798" s="1518"/>
      <c r="HA798" s="1518"/>
      <c r="HB798" s="1518"/>
      <c r="HC798" s="1518"/>
      <c r="HD798" s="1518"/>
      <c r="HE798" s="1518"/>
      <c r="HF798" s="1518"/>
      <c r="HG798" s="1518"/>
      <c r="HH798" s="1518"/>
      <c r="HI798" s="1518"/>
      <c r="HJ798" s="1518"/>
      <c r="HK798" s="1518"/>
      <c r="HL798" s="1518"/>
      <c r="HM798" s="1518"/>
      <c r="HN798" s="1518"/>
      <c r="HO798" s="1518"/>
      <c r="HP798" s="1518"/>
      <c r="HQ798" s="1518"/>
      <c r="HR798" s="1518"/>
      <c r="HS798" s="1518"/>
      <c r="HT798" s="1518"/>
      <c r="HU798" s="1518"/>
      <c r="HV798" s="1518"/>
      <c r="HW798" s="1518"/>
      <c r="HX798" s="1518"/>
      <c r="HY798" s="1518"/>
      <c r="HZ798" s="1518"/>
      <c r="IA798" s="1518"/>
      <c r="IB798" s="1518"/>
      <c r="IC798" s="1518"/>
      <c r="ID798" s="1518"/>
      <c r="IK798" s="1522"/>
      <c r="JA798" s="1522"/>
      <c r="JB798" s="1522"/>
    </row>
    <row r="799" spans="2:262" ht="11.25" customHeight="1">
      <c r="B799" s="1742" t="s">
        <v>4583</v>
      </c>
      <c r="C799" s="1514"/>
      <c r="D799" s="1514"/>
      <c r="E799" s="1514"/>
      <c r="F799" s="1514"/>
      <c r="G799" s="1748"/>
      <c r="H799" s="1514"/>
      <c r="I799" s="1514"/>
      <c r="J799" s="1514"/>
      <c r="K799" s="1514"/>
      <c r="L799" s="1514"/>
      <c r="M799" s="1514"/>
      <c r="N799" s="1514"/>
      <c r="O799" s="1514"/>
      <c r="P799" s="1514"/>
      <c r="U799" s="518" t="str">
        <f>B799</f>
        <v>NOT Included in Mgt Fee:</v>
      </c>
      <c r="GT799" s="1518"/>
      <c r="GY799" s="1518"/>
      <c r="GZ799" s="1518"/>
      <c r="HA799" s="1518"/>
      <c r="HB799" s="1518"/>
      <c r="HC799" s="1518"/>
      <c r="HD799" s="1518"/>
      <c r="HE799" s="1518"/>
      <c r="HF799" s="1518"/>
      <c r="HG799" s="1518"/>
      <c r="HH799" s="1518"/>
      <c r="HI799" s="1518"/>
      <c r="HJ799" s="1518"/>
      <c r="HK799" s="1518"/>
      <c r="HL799" s="1518"/>
      <c r="HM799" s="1518"/>
      <c r="HN799" s="1518"/>
      <c r="HO799" s="1518"/>
      <c r="HP799" s="1518"/>
      <c r="HQ799" s="1518"/>
      <c r="HR799" s="1518"/>
      <c r="HS799" s="1518"/>
      <c r="HT799" s="1518"/>
      <c r="HU799" s="1518"/>
      <c r="HV799" s="1518"/>
      <c r="HW799" s="1518"/>
      <c r="HX799" s="1518"/>
      <c r="HY799" s="1518"/>
      <c r="HZ799" s="1518"/>
      <c r="IA799" s="1518"/>
      <c r="IB799" s="1518"/>
      <c r="IC799" s="1518"/>
      <c r="ID799" s="1518"/>
      <c r="IK799" s="1522"/>
      <c r="JA799" s="1522"/>
      <c r="JB799" s="1522"/>
    </row>
    <row r="800" spans="2:262" ht="11.25" customHeight="1">
      <c r="B800" s="522" t="s">
        <v>558</v>
      </c>
      <c r="C800" s="522"/>
      <c r="D800" s="522"/>
      <c r="E800" s="522"/>
      <c r="F800" s="522"/>
      <c r="G800" s="1745">
        <f>'Part VI-Revenues &amp; Expenses'!G139</f>
        <v>0</v>
      </c>
      <c r="H800" s="1745">
        <f>'Part VI-Revenues &amp; Expenses'!H139</f>
        <v>0</v>
      </c>
      <c r="I800" s="1745">
        <f>'Part VI-Revenues &amp; Expenses'!I139</f>
        <v>0</v>
      </c>
      <c r="J800" s="1745">
        <f>'Part VI-Revenues &amp; Expenses'!J139</f>
        <v>0</v>
      </c>
      <c r="K800" s="1745">
        <f>'Part VI-Revenues &amp; Expenses'!K139</f>
        <v>0</v>
      </c>
      <c r="L800" s="1745">
        <f>'Part VI-Revenues &amp; Expenses'!L139</f>
        <v>0</v>
      </c>
      <c r="M800" s="1745">
        <f>'Part VI-Revenues &amp; Expenses'!M139</f>
        <v>0</v>
      </c>
      <c r="N800" s="1745">
        <f>'Part VI-Revenues &amp; Expenses'!N139</f>
        <v>0</v>
      </c>
      <c r="O800" s="1745">
        <f>'Part VI-Revenues &amp; Expenses'!O139</f>
        <v>0</v>
      </c>
      <c r="P800" s="1745">
        <f>'Part VI-Revenues &amp; Expenses'!P139</f>
        <v>0</v>
      </c>
      <c r="Q800" s="1746"/>
      <c r="U800" s="1629">
        <f>'Part VI-Revenues &amp; Expenses'!U139</f>
        <v>0</v>
      </c>
      <c r="V800" s="1629"/>
      <c r="GT800" s="1518"/>
      <c r="GY800" s="1518"/>
      <c r="GZ800" s="1518"/>
      <c r="HA800" s="1518"/>
      <c r="HB800" s="1518"/>
      <c r="HC800" s="1518"/>
      <c r="HD800" s="1518"/>
      <c r="HE800" s="1518"/>
      <c r="HF800" s="1518"/>
      <c r="HG800" s="1518"/>
      <c r="HH800" s="1518"/>
      <c r="HI800" s="1518"/>
      <c r="HJ800" s="1518"/>
      <c r="HK800" s="1518"/>
      <c r="HL800" s="1518"/>
      <c r="HM800" s="1518"/>
      <c r="HN800" s="1518"/>
      <c r="HO800" s="1518"/>
      <c r="HP800" s="1518"/>
      <c r="HQ800" s="1518"/>
      <c r="HR800" s="1518"/>
      <c r="HS800" s="1518"/>
      <c r="HT800" s="1518"/>
      <c r="HU800" s="1518"/>
      <c r="HV800" s="1518"/>
      <c r="HW800" s="1518"/>
      <c r="HX800" s="1518"/>
      <c r="HY800" s="1518"/>
      <c r="HZ800" s="1518"/>
      <c r="IA800" s="1518"/>
      <c r="IB800" s="1518"/>
      <c r="IC800" s="1518"/>
      <c r="ID800" s="1518"/>
      <c r="IK800" s="1522"/>
      <c r="JA800" s="1522"/>
      <c r="JB800" s="1522"/>
    </row>
    <row r="801" spans="2:262" ht="11.25" customHeight="1">
      <c r="B801" s="522" t="s">
        <v>778</v>
      </c>
      <c r="C801" s="522">
        <f>'Part VI-Revenues &amp; Expenses'!C140</f>
        <v>0</v>
      </c>
      <c r="D801" s="522"/>
      <c r="E801" s="522"/>
      <c r="F801" s="522"/>
      <c r="G801" s="1745">
        <f>'Part VI-Revenues &amp; Expenses'!G140</f>
        <v>0</v>
      </c>
      <c r="H801" s="1745">
        <f>'Part VI-Revenues &amp; Expenses'!H140</f>
        <v>0</v>
      </c>
      <c r="I801" s="1745">
        <f>'Part VI-Revenues &amp; Expenses'!I140</f>
        <v>0</v>
      </c>
      <c r="J801" s="1745">
        <f>'Part VI-Revenues &amp; Expenses'!J140</f>
        <v>0</v>
      </c>
      <c r="K801" s="1745">
        <f>'Part VI-Revenues &amp; Expenses'!K140</f>
        <v>0</v>
      </c>
      <c r="L801" s="1745">
        <f>'Part VI-Revenues &amp; Expenses'!L140</f>
        <v>0</v>
      </c>
      <c r="M801" s="1745">
        <f>'Part VI-Revenues &amp; Expenses'!M140</f>
        <v>0</v>
      </c>
      <c r="N801" s="1745">
        <f>'Part VI-Revenues &amp; Expenses'!N140</f>
        <v>0</v>
      </c>
      <c r="O801" s="1745">
        <f>'Part VI-Revenues &amp; Expenses'!O140</f>
        <v>0</v>
      </c>
      <c r="P801" s="1745">
        <f>'Part VI-Revenues &amp; Expenses'!P140</f>
        <v>0</v>
      </c>
      <c r="Q801" s="1746"/>
      <c r="U801" s="1629"/>
      <c r="V801" s="1629"/>
      <c r="GT801" s="1518"/>
      <c r="GY801" s="1518"/>
      <c r="GZ801" s="1518"/>
      <c r="HA801" s="1518"/>
      <c r="HB801" s="1518"/>
      <c r="HC801" s="1518"/>
      <c r="HD801" s="1518"/>
      <c r="HE801" s="1518"/>
      <c r="HF801" s="1518"/>
      <c r="HG801" s="1518"/>
      <c r="HH801" s="1518"/>
      <c r="HI801" s="1518"/>
      <c r="HJ801" s="1518"/>
      <c r="HK801" s="1518"/>
      <c r="HL801" s="1518"/>
      <c r="HM801" s="1518"/>
      <c r="HN801" s="1518"/>
      <c r="HO801" s="1518"/>
      <c r="HP801" s="1518"/>
      <c r="HQ801" s="1518"/>
      <c r="HR801" s="1518"/>
      <c r="HS801" s="1518"/>
      <c r="HT801" s="1518"/>
      <c r="HU801" s="1518"/>
      <c r="HV801" s="1518"/>
      <c r="HW801" s="1518"/>
      <c r="HX801" s="1518"/>
      <c r="HY801" s="1518"/>
      <c r="HZ801" s="1518"/>
      <c r="IA801" s="1518"/>
      <c r="IB801" s="1518"/>
      <c r="IC801" s="1518"/>
      <c r="ID801" s="1518"/>
      <c r="IK801" s="1522"/>
      <c r="JA801" s="1522"/>
      <c r="JB801" s="1522"/>
    </row>
    <row r="802" spans="2:262" ht="11.25" customHeight="1">
      <c r="B802" s="522"/>
      <c r="C802" s="522" t="s">
        <v>4584</v>
      </c>
      <c r="D802" s="522"/>
      <c r="E802" s="522"/>
      <c r="F802" s="522"/>
      <c r="G802" s="1747">
        <f t="shared" ref="G802:P802" si="276">SUM(G800:G801)</f>
        <v>0</v>
      </c>
      <c r="H802" s="1747">
        <f t="shared" si="276"/>
        <v>0</v>
      </c>
      <c r="I802" s="1747">
        <f t="shared" si="276"/>
        <v>0</v>
      </c>
      <c r="J802" s="1747">
        <f t="shared" si="276"/>
        <v>0</v>
      </c>
      <c r="K802" s="1747">
        <f t="shared" si="276"/>
        <v>0</v>
      </c>
      <c r="L802" s="1747">
        <f t="shared" si="276"/>
        <v>0</v>
      </c>
      <c r="M802" s="1747">
        <f t="shared" si="276"/>
        <v>0</v>
      </c>
      <c r="N802" s="1747">
        <f t="shared" si="276"/>
        <v>0</v>
      </c>
      <c r="O802" s="1747">
        <f t="shared" si="276"/>
        <v>0</v>
      </c>
      <c r="P802" s="1747">
        <f t="shared" si="276"/>
        <v>0</v>
      </c>
      <c r="Q802" s="520"/>
      <c r="U802" s="1629"/>
      <c r="V802" s="1629"/>
      <c r="GT802" s="1518"/>
      <c r="GY802" s="1518"/>
      <c r="GZ802" s="1518"/>
      <c r="HA802" s="1518"/>
      <c r="HB802" s="1518"/>
      <c r="HC802" s="1518"/>
      <c r="HD802" s="1518"/>
      <c r="HE802" s="1518"/>
      <c r="HF802" s="1518"/>
      <c r="HG802" s="1518"/>
      <c r="HH802" s="1518"/>
      <c r="HI802" s="1518"/>
      <c r="HJ802" s="1518"/>
      <c r="HK802" s="1518"/>
      <c r="HL802" s="1518"/>
      <c r="HM802" s="1518"/>
      <c r="HN802" s="1518"/>
      <c r="HO802" s="1518"/>
      <c r="HP802" s="1518"/>
      <c r="HQ802" s="1518"/>
      <c r="HR802" s="1518"/>
      <c r="HS802" s="1518"/>
      <c r="HT802" s="1518"/>
      <c r="HU802" s="1518"/>
      <c r="HV802" s="1518"/>
      <c r="HW802" s="1518"/>
      <c r="HX802" s="1518"/>
      <c r="HY802" s="1518"/>
      <c r="HZ802" s="1518"/>
      <c r="IA802" s="1518"/>
      <c r="IB802" s="1518"/>
      <c r="IC802" s="1518"/>
      <c r="ID802" s="1518"/>
      <c r="IK802" s="1522"/>
      <c r="JA802" s="1522"/>
      <c r="JB802" s="1522"/>
    </row>
    <row r="803" spans="2:262" ht="3" customHeight="1">
      <c r="B803" s="1735"/>
      <c r="C803" s="1514"/>
      <c r="D803" s="1514"/>
      <c r="E803" s="1514"/>
      <c r="F803" s="1514"/>
      <c r="G803" s="1748"/>
      <c r="H803" s="1514"/>
      <c r="I803" s="1514"/>
      <c r="J803" s="1514"/>
      <c r="K803" s="1514"/>
      <c r="L803" s="1514"/>
      <c r="M803" s="1514"/>
      <c r="N803" s="1514"/>
      <c r="O803" s="1514"/>
      <c r="P803" s="1514"/>
      <c r="U803" s="1700" t="s">
        <v>2723</v>
      </c>
      <c r="GT803" s="1518"/>
      <c r="GY803" s="1518"/>
      <c r="GZ803" s="1518"/>
      <c r="HA803" s="1518"/>
      <c r="HB803" s="1518"/>
      <c r="HC803" s="1518"/>
      <c r="HD803" s="1518"/>
      <c r="HE803" s="1518"/>
      <c r="HF803" s="1518"/>
      <c r="HG803" s="1518"/>
      <c r="HH803" s="1518"/>
      <c r="HI803" s="1518"/>
      <c r="HJ803" s="1518"/>
      <c r="HK803" s="1518"/>
      <c r="HL803" s="1518"/>
      <c r="HM803" s="1518"/>
      <c r="HN803" s="1518"/>
      <c r="HO803" s="1518"/>
      <c r="HP803" s="1518"/>
      <c r="HQ803" s="1518"/>
      <c r="HR803" s="1518"/>
      <c r="HS803" s="1518"/>
      <c r="HT803" s="1518"/>
      <c r="HU803" s="1518"/>
      <c r="HV803" s="1518"/>
      <c r="HW803" s="1518"/>
      <c r="HX803" s="1518"/>
      <c r="HY803" s="1518"/>
      <c r="HZ803" s="1518"/>
      <c r="IA803" s="1518"/>
      <c r="IB803" s="1518"/>
      <c r="IC803" s="1518"/>
      <c r="ID803" s="1518"/>
      <c r="IK803" s="1522"/>
      <c r="JA803" s="1522"/>
      <c r="JB803" s="1522"/>
    </row>
    <row r="804" spans="2:262" ht="11.25" customHeight="1">
      <c r="B804" s="1742" t="s">
        <v>2377</v>
      </c>
      <c r="C804" s="1514"/>
      <c r="D804" s="1514"/>
      <c r="E804" s="1514"/>
      <c r="F804" s="1514"/>
      <c r="G804" s="1743">
        <v>21</v>
      </c>
      <c r="H804" s="1743">
        <v>22</v>
      </c>
      <c r="I804" s="1743">
        <v>23</v>
      </c>
      <c r="J804" s="1743">
        <v>24</v>
      </c>
      <c r="K804" s="1743">
        <v>25</v>
      </c>
      <c r="L804" s="1743">
        <v>26</v>
      </c>
      <c r="M804" s="1743">
        <v>27</v>
      </c>
      <c r="N804" s="1743">
        <v>28</v>
      </c>
      <c r="O804" s="1743">
        <v>29</v>
      </c>
      <c r="P804" s="1743">
        <v>30</v>
      </c>
      <c r="Q804" s="1744"/>
      <c r="U804" s="518" t="str">
        <f>B804</f>
        <v>Included in Mgt Fee:</v>
      </c>
      <c r="GT804" s="1518"/>
      <c r="GY804" s="1518"/>
      <c r="GZ804" s="1518"/>
      <c r="HA804" s="1518"/>
      <c r="HB804" s="1518"/>
      <c r="HC804" s="1518"/>
      <c r="HD804" s="1518"/>
      <c r="HE804" s="1518"/>
      <c r="HF804" s="1518"/>
      <c r="HG804" s="1518"/>
      <c r="HH804" s="1518"/>
      <c r="HI804" s="1518"/>
      <c r="HJ804" s="1518"/>
      <c r="HK804" s="1518"/>
      <c r="HL804" s="1518"/>
      <c r="HM804" s="1518"/>
      <c r="HN804" s="1518"/>
      <c r="HO804" s="1518"/>
      <c r="HP804" s="1518"/>
      <c r="HQ804" s="1518"/>
      <c r="HR804" s="1518"/>
      <c r="HS804" s="1518"/>
      <c r="HT804" s="1518"/>
      <c r="HU804" s="1518"/>
      <c r="HV804" s="1518"/>
      <c r="HW804" s="1518"/>
      <c r="HX804" s="1518"/>
      <c r="HY804" s="1518"/>
      <c r="HZ804" s="1518"/>
      <c r="IA804" s="1518"/>
      <c r="IB804" s="1518"/>
      <c r="IC804" s="1518"/>
      <c r="ID804" s="1518"/>
      <c r="IK804" s="1522"/>
      <c r="JA804" s="1522"/>
      <c r="JB804" s="1522"/>
    </row>
    <row r="805" spans="2:262" ht="11.25" customHeight="1">
      <c r="B805" s="522" t="s">
        <v>1061</v>
      </c>
      <c r="C805" s="522"/>
      <c r="D805" s="522"/>
      <c r="E805" s="522"/>
      <c r="F805" s="522"/>
      <c r="G805" s="1745">
        <f>'Part VI-Revenues &amp; Expenses'!G144</f>
        <v>0</v>
      </c>
      <c r="H805" s="1745">
        <f>'Part VI-Revenues &amp; Expenses'!H144</f>
        <v>0</v>
      </c>
      <c r="I805" s="1745">
        <f>'Part VI-Revenues &amp; Expenses'!I144</f>
        <v>0</v>
      </c>
      <c r="J805" s="1745">
        <f>'Part VI-Revenues &amp; Expenses'!J144</f>
        <v>0</v>
      </c>
      <c r="K805" s="1745">
        <f>'Part VI-Revenues &amp; Expenses'!K144</f>
        <v>0</v>
      </c>
      <c r="L805" s="1745">
        <f>'Part VI-Revenues &amp; Expenses'!L144</f>
        <v>0</v>
      </c>
      <c r="M805" s="1745">
        <f>'Part VI-Revenues &amp; Expenses'!M144</f>
        <v>0</v>
      </c>
      <c r="N805" s="1745">
        <f>'Part VI-Revenues &amp; Expenses'!N144</f>
        <v>0</v>
      </c>
      <c r="O805" s="1745">
        <f>'Part VI-Revenues &amp; Expenses'!O144</f>
        <v>0</v>
      </c>
      <c r="P805" s="1745">
        <f>'Part VI-Revenues &amp; Expenses'!P144</f>
        <v>0</v>
      </c>
      <c r="Q805" s="1746"/>
      <c r="U805" s="1629">
        <f>'Part VI-Revenues &amp; Expenses'!U144</f>
        <v>0</v>
      </c>
      <c r="V805" s="1629"/>
      <c r="GT805" s="1518"/>
      <c r="GY805" s="1518"/>
      <c r="GZ805" s="1518"/>
      <c r="HA805" s="1518"/>
      <c r="HB805" s="1518"/>
      <c r="HC805" s="1518"/>
      <c r="HD805" s="1518"/>
      <c r="HE805" s="1518"/>
      <c r="HF805" s="1518"/>
      <c r="HG805" s="1518"/>
      <c r="HH805" s="1518"/>
      <c r="HI805" s="1518"/>
      <c r="HJ805" s="1518"/>
      <c r="HK805" s="1518"/>
      <c r="HL805" s="1518"/>
      <c r="HM805" s="1518"/>
      <c r="HN805" s="1518"/>
      <c r="HO805" s="1518"/>
      <c r="HP805" s="1518"/>
      <c r="HQ805" s="1518"/>
      <c r="HR805" s="1518"/>
      <c r="HS805" s="1518"/>
      <c r="HT805" s="1518"/>
      <c r="HU805" s="1518"/>
      <c r="HV805" s="1518"/>
      <c r="HW805" s="1518"/>
      <c r="HX805" s="1518"/>
      <c r="HY805" s="1518"/>
      <c r="HZ805" s="1518"/>
      <c r="IA805" s="1518"/>
      <c r="IB805" s="1518"/>
      <c r="IC805" s="1518"/>
      <c r="ID805" s="1518"/>
      <c r="IK805" s="1522"/>
      <c r="JA805" s="1522"/>
      <c r="JB805" s="1522"/>
    </row>
    <row r="806" spans="2:262" ht="11.25" customHeight="1">
      <c r="B806" s="522" t="s">
        <v>778</v>
      </c>
      <c r="C806" s="522">
        <f>'Part VI-Revenues &amp; Expenses'!C145</f>
        <v>0</v>
      </c>
      <c r="D806" s="522"/>
      <c r="E806" s="522"/>
      <c r="F806" s="522"/>
      <c r="G806" s="1745">
        <f>'Part VI-Revenues &amp; Expenses'!G145</f>
        <v>0</v>
      </c>
      <c r="H806" s="1745">
        <f>'Part VI-Revenues &amp; Expenses'!H145</f>
        <v>0</v>
      </c>
      <c r="I806" s="1745">
        <f>'Part VI-Revenues &amp; Expenses'!I145</f>
        <v>0</v>
      </c>
      <c r="J806" s="1745">
        <f>'Part VI-Revenues &amp; Expenses'!J145</f>
        <v>0</v>
      </c>
      <c r="K806" s="1745">
        <f>'Part VI-Revenues &amp; Expenses'!K145</f>
        <v>0</v>
      </c>
      <c r="L806" s="1745">
        <f>'Part VI-Revenues &amp; Expenses'!L145</f>
        <v>0</v>
      </c>
      <c r="M806" s="1745">
        <f>'Part VI-Revenues &amp; Expenses'!M145</f>
        <v>0</v>
      </c>
      <c r="N806" s="1745">
        <f>'Part VI-Revenues &amp; Expenses'!N145</f>
        <v>0</v>
      </c>
      <c r="O806" s="1745">
        <f>'Part VI-Revenues &amp; Expenses'!O145</f>
        <v>0</v>
      </c>
      <c r="P806" s="1745">
        <f>'Part VI-Revenues &amp; Expenses'!P145</f>
        <v>0</v>
      </c>
      <c r="Q806" s="1746"/>
      <c r="U806" s="1629"/>
      <c r="V806" s="1629"/>
      <c r="GT806" s="1518"/>
      <c r="GY806" s="1518"/>
      <c r="GZ806" s="1518"/>
      <c r="HA806" s="1518"/>
      <c r="HB806" s="1518"/>
      <c r="HC806" s="1518"/>
      <c r="HD806" s="1518"/>
      <c r="HE806" s="1518"/>
      <c r="HF806" s="1518"/>
      <c r="HG806" s="1518"/>
      <c r="HH806" s="1518"/>
      <c r="HI806" s="1518"/>
      <c r="HJ806" s="1518"/>
      <c r="HK806" s="1518"/>
      <c r="HL806" s="1518"/>
      <c r="HM806" s="1518"/>
      <c r="HN806" s="1518"/>
      <c r="HO806" s="1518"/>
      <c r="HP806" s="1518"/>
      <c r="HQ806" s="1518"/>
      <c r="HR806" s="1518"/>
      <c r="HS806" s="1518"/>
      <c r="HT806" s="1518"/>
      <c r="HU806" s="1518"/>
      <c r="HV806" s="1518"/>
      <c r="HW806" s="1518"/>
      <c r="HX806" s="1518"/>
      <c r="HY806" s="1518"/>
      <c r="HZ806" s="1518"/>
      <c r="IA806" s="1518"/>
      <c r="IB806" s="1518"/>
      <c r="IC806" s="1518"/>
      <c r="ID806" s="1518"/>
      <c r="IK806" s="1522"/>
      <c r="JA806" s="1522"/>
      <c r="JB806" s="1522"/>
    </row>
    <row r="807" spans="2:262" ht="11.25" customHeight="1">
      <c r="B807" s="522"/>
      <c r="C807" s="522" t="s">
        <v>968</v>
      </c>
      <c r="D807" s="522"/>
      <c r="E807" s="522"/>
      <c r="F807" s="522"/>
      <c r="G807" s="1747">
        <f t="shared" ref="G807:P807" si="277">SUM(G805:G806)</f>
        <v>0</v>
      </c>
      <c r="H807" s="1747">
        <f t="shared" si="277"/>
        <v>0</v>
      </c>
      <c r="I807" s="1747">
        <f t="shared" si="277"/>
        <v>0</v>
      </c>
      <c r="J807" s="1747">
        <f t="shared" si="277"/>
        <v>0</v>
      </c>
      <c r="K807" s="1747">
        <f t="shared" si="277"/>
        <v>0</v>
      </c>
      <c r="L807" s="1747">
        <f t="shared" si="277"/>
        <v>0</v>
      </c>
      <c r="M807" s="1747">
        <f t="shared" si="277"/>
        <v>0</v>
      </c>
      <c r="N807" s="1747">
        <f t="shared" si="277"/>
        <v>0</v>
      </c>
      <c r="O807" s="1747">
        <f t="shared" si="277"/>
        <v>0</v>
      </c>
      <c r="P807" s="1747">
        <f t="shared" si="277"/>
        <v>0</v>
      </c>
      <c r="Q807" s="520"/>
      <c r="U807" s="1629"/>
      <c r="V807" s="1629"/>
      <c r="GT807" s="1518"/>
      <c r="GY807" s="1518"/>
      <c r="GZ807" s="1518"/>
      <c r="HA807" s="1518"/>
      <c r="HB807" s="1518"/>
      <c r="HC807" s="1518"/>
      <c r="HD807" s="1518"/>
      <c r="HE807" s="1518"/>
      <c r="HF807" s="1518"/>
      <c r="HG807" s="1518"/>
      <c r="HH807" s="1518"/>
      <c r="HI807" s="1518"/>
      <c r="HJ807" s="1518"/>
      <c r="HK807" s="1518"/>
      <c r="HL807" s="1518"/>
      <c r="HM807" s="1518"/>
      <c r="HN807" s="1518"/>
      <c r="HO807" s="1518"/>
      <c r="HP807" s="1518"/>
      <c r="HQ807" s="1518"/>
      <c r="HR807" s="1518"/>
      <c r="HS807" s="1518"/>
      <c r="HT807" s="1518"/>
      <c r="HU807" s="1518"/>
      <c r="HV807" s="1518"/>
      <c r="HW807" s="1518"/>
      <c r="HX807" s="1518"/>
      <c r="HY807" s="1518"/>
      <c r="HZ807" s="1518"/>
      <c r="IA807" s="1518"/>
      <c r="IB807" s="1518"/>
      <c r="IC807" s="1518"/>
      <c r="ID807" s="1518"/>
      <c r="IK807" s="1522"/>
      <c r="JA807" s="1522"/>
      <c r="JB807" s="1522"/>
    </row>
    <row r="808" spans="2:262" ht="11.25" customHeight="1">
      <c r="B808" s="1742" t="s">
        <v>4583</v>
      </c>
      <c r="C808" s="1514"/>
      <c r="D808" s="1514"/>
      <c r="E808" s="1514"/>
      <c r="F808" s="1514"/>
      <c r="G808" s="1748"/>
      <c r="H808" s="1514"/>
      <c r="I808" s="1514"/>
      <c r="J808" s="1514"/>
      <c r="K808" s="1514"/>
      <c r="L808" s="1514"/>
      <c r="M808" s="1514"/>
      <c r="N808" s="1514"/>
      <c r="O808" s="1514"/>
      <c r="P808" s="1514"/>
      <c r="U808" s="518" t="str">
        <f>B808</f>
        <v>NOT Included in Mgt Fee:</v>
      </c>
      <c r="GT808" s="1518"/>
      <c r="GY808" s="1518"/>
      <c r="GZ808" s="1518"/>
      <c r="HA808" s="1518"/>
      <c r="HB808" s="1518"/>
      <c r="HC808" s="1518"/>
      <c r="HD808" s="1518"/>
      <c r="HE808" s="1518"/>
      <c r="HF808" s="1518"/>
      <c r="HG808" s="1518"/>
      <c r="HH808" s="1518"/>
      <c r="HI808" s="1518"/>
      <c r="HJ808" s="1518"/>
      <c r="HK808" s="1518"/>
      <c r="HL808" s="1518"/>
      <c r="HM808" s="1518"/>
      <c r="HN808" s="1518"/>
      <c r="HO808" s="1518"/>
      <c r="HP808" s="1518"/>
      <c r="HQ808" s="1518"/>
      <c r="HR808" s="1518"/>
      <c r="HS808" s="1518"/>
      <c r="HT808" s="1518"/>
      <c r="HU808" s="1518"/>
      <c r="HV808" s="1518"/>
      <c r="HW808" s="1518"/>
      <c r="HX808" s="1518"/>
      <c r="HY808" s="1518"/>
      <c r="HZ808" s="1518"/>
      <c r="IA808" s="1518"/>
      <c r="IB808" s="1518"/>
      <c r="IC808" s="1518"/>
      <c r="ID808" s="1518"/>
      <c r="IK808" s="1522"/>
      <c r="JA808" s="1522"/>
      <c r="JB808" s="1522"/>
    </row>
    <row r="809" spans="2:262" ht="11.25" customHeight="1">
      <c r="B809" s="522" t="s">
        <v>558</v>
      </c>
      <c r="C809" s="522"/>
      <c r="D809" s="522"/>
      <c r="E809" s="522"/>
      <c r="F809" s="522"/>
      <c r="G809" s="1745">
        <f>'Part VI-Revenues &amp; Expenses'!G148</f>
        <v>0</v>
      </c>
      <c r="H809" s="1745">
        <f>'Part VI-Revenues &amp; Expenses'!H148</f>
        <v>0</v>
      </c>
      <c r="I809" s="1745">
        <f>'Part VI-Revenues &amp; Expenses'!I148</f>
        <v>0</v>
      </c>
      <c r="J809" s="1745">
        <f>'Part VI-Revenues &amp; Expenses'!J148</f>
        <v>0</v>
      </c>
      <c r="K809" s="1745">
        <f>'Part VI-Revenues &amp; Expenses'!K148</f>
        <v>0</v>
      </c>
      <c r="L809" s="1745">
        <f>'Part VI-Revenues &amp; Expenses'!L148</f>
        <v>0</v>
      </c>
      <c r="M809" s="1745">
        <f>'Part VI-Revenues &amp; Expenses'!M148</f>
        <v>0</v>
      </c>
      <c r="N809" s="1745">
        <f>'Part VI-Revenues &amp; Expenses'!N148</f>
        <v>0</v>
      </c>
      <c r="O809" s="1745">
        <f>'Part VI-Revenues &amp; Expenses'!O148</f>
        <v>0</v>
      </c>
      <c r="P809" s="1745">
        <f>'Part VI-Revenues &amp; Expenses'!P148</f>
        <v>0</v>
      </c>
      <c r="Q809" s="1746"/>
      <c r="U809" s="1629">
        <f>'Part VI-Revenues &amp; Expenses'!U148</f>
        <v>0</v>
      </c>
      <c r="V809" s="1629"/>
      <c r="GT809" s="1518"/>
      <c r="GY809" s="1518"/>
      <c r="GZ809" s="1518"/>
      <c r="HA809" s="1518"/>
      <c r="HB809" s="1518"/>
      <c r="HC809" s="1518"/>
      <c r="HD809" s="1518"/>
      <c r="HE809" s="1518"/>
      <c r="HF809" s="1518"/>
      <c r="HG809" s="1518"/>
      <c r="HH809" s="1518"/>
      <c r="HI809" s="1518"/>
      <c r="HJ809" s="1518"/>
      <c r="HK809" s="1518"/>
      <c r="HL809" s="1518"/>
      <c r="HM809" s="1518"/>
      <c r="HN809" s="1518"/>
      <c r="HO809" s="1518"/>
      <c r="HP809" s="1518"/>
      <c r="HQ809" s="1518"/>
      <c r="HR809" s="1518"/>
      <c r="HS809" s="1518"/>
      <c r="HT809" s="1518"/>
      <c r="HU809" s="1518"/>
      <c r="HV809" s="1518"/>
      <c r="HW809" s="1518"/>
      <c r="HX809" s="1518"/>
      <c r="HY809" s="1518"/>
      <c r="HZ809" s="1518"/>
      <c r="IA809" s="1518"/>
      <c r="IB809" s="1518"/>
      <c r="IC809" s="1518"/>
      <c r="ID809" s="1518"/>
      <c r="IK809" s="1522"/>
      <c r="JA809" s="1522"/>
      <c r="JB809" s="1522"/>
    </row>
    <row r="810" spans="2:262" ht="11.25" customHeight="1">
      <c r="B810" s="522" t="s">
        <v>778</v>
      </c>
      <c r="C810" s="522">
        <f>'Part VI-Revenues &amp; Expenses'!C149</f>
        <v>0</v>
      </c>
      <c r="D810" s="522"/>
      <c r="E810" s="522"/>
      <c r="F810" s="522"/>
      <c r="G810" s="1745">
        <f>'Part VI-Revenues &amp; Expenses'!G149</f>
        <v>0</v>
      </c>
      <c r="H810" s="1745">
        <f>'Part VI-Revenues &amp; Expenses'!H149</f>
        <v>0</v>
      </c>
      <c r="I810" s="1745">
        <f>'Part VI-Revenues &amp; Expenses'!I149</f>
        <v>0</v>
      </c>
      <c r="J810" s="1745">
        <f>'Part VI-Revenues &amp; Expenses'!J149</f>
        <v>0</v>
      </c>
      <c r="K810" s="1745">
        <f>'Part VI-Revenues &amp; Expenses'!K149</f>
        <v>0</v>
      </c>
      <c r="L810" s="1745">
        <f>'Part VI-Revenues &amp; Expenses'!L149</f>
        <v>0</v>
      </c>
      <c r="M810" s="1745">
        <f>'Part VI-Revenues &amp; Expenses'!M149</f>
        <v>0</v>
      </c>
      <c r="N810" s="1745">
        <f>'Part VI-Revenues &amp; Expenses'!N149</f>
        <v>0</v>
      </c>
      <c r="O810" s="1745">
        <f>'Part VI-Revenues &amp; Expenses'!O149</f>
        <v>0</v>
      </c>
      <c r="P810" s="1745">
        <f>'Part VI-Revenues &amp; Expenses'!P149</f>
        <v>0</v>
      </c>
      <c r="Q810" s="1746"/>
      <c r="U810" s="1629"/>
      <c r="V810" s="1629"/>
      <c r="GT810" s="1518"/>
      <c r="GY810" s="1518"/>
      <c r="GZ810" s="1518"/>
      <c r="HA810" s="1518"/>
      <c r="HB810" s="1518"/>
      <c r="HC810" s="1518"/>
      <c r="HD810" s="1518"/>
      <c r="HE810" s="1518"/>
      <c r="HF810" s="1518"/>
      <c r="HG810" s="1518"/>
      <c r="HH810" s="1518"/>
      <c r="HI810" s="1518"/>
      <c r="HJ810" s="1518"/>
      <c r="HK810" s="1518"/>
      <c r="HL810" s="1518"/>
      <c r="HM810" s="1518"/>
      <c r="HN810" s="1518"/>
      <c r="HO810" s="1518"/>
      <c r="HP810" s="1518"/>
      <c r="HQ810" s="1518"/>
      <c r="HR810" s="1518"/>
      <c r="HS810" s="1518"/>
      <c r="HT810" s="1518"/>
      <c r="HU810" s="1518"/>
      <c r="HV810" s="1518"/>
      <c r="HW810" s="1518"/>
      <c r="HX810" s="1518"/>
      <c r="HY810" s="1518"/>
      <c r="HZ810" s="1518"/>
      <c r="IA810" s="1518"/>
      <c r="IB810" s="1518"/>
      <c r="IC810" s="1518"/>
      <c r="ID810" s="1518"/>
      <c r="IK810" s="1522"/>
      <c r="JA810" s="1522"/>
      <c r="JB810" s="1522"/>
    </row>
    <row r="811" spans="2:262" ht="11.25" customHeight="1">
      <c r="B811" s="522"/>
      <c r="C811" s="522" t="s">
        <v>4584</v>
      </c>
      <c r="D811" s="522"/>
      <c r="E811" s="522"/>
      <c r="F811" s="522"/>
      <c r="G811" s="1747">
        <f t="shared" ref="G811:P811" si="278">SUM(G809:G810)</f>
        <v>0</v>
      </c>
      <c r="H811" s="1747">
        <f t="shared" si="278"/>
        <v>0</v>
      </c>
      <c r="I811" s="1747">
        <f t="shared" si="278"/>
        <v>0</v>
      </c>
      <c r="J811" s="1747">
        <f t="shared" si="278"/>
        <v>0</v>
      </c>
      <c r="K811" s="1747">
        <f t="shared" si="278"/>
        <v>0</v>
      </c>
      <c r="L811" s="1747">
        <f t="shared" si="278"/>
        <v>0</v>
      </c>
      <c r="M811" s="1747">
        <f t="shared" si="278"/>
        <v>0</v>
      </c>
      <c r="N811" s="1747">
        <f t="shared" si="278"/>
        <v>0</v>
      </c>
      <c r="O811" s="1747">
        <f t="shared" si="278"/>
        <v>0</v>
      </c>
      <c r="P811" s="1747">
        <f t="shared" si="278"/>
        <v>0</v>
      </c>
      <c r="Q811" s="520"/>
      <c r="U811" s="1629"/>
      <c r="V811" s="1629"/>
      <c r="GT811" s="1518"/>
      <c r="GY811" s="1518"/>
      <c r="GZ811" s="1518"/>
      <c r="HA811" s="1518"/>
      <c r="HB811" s="1518"/>
      <c r="HC811" s="1518"/>
      <c r="HD811" s="1518"/>
      <c r="HE811" s="1518"/>
      <c r="HF811" s="1518"/>
      <c r="HG811" s="1518"/>
      <c r="HH811" s="1518"/>
      <c r="HI811" s="1518"/>
      <c r="HJ811" s="1518"/>
      <c r="HK811" s="1518"/>
      <c r="HL811" s="1518"/>
      <c r="HM811" s="1518"/>
      <c r="HN811" s="1518"/>
      <c r="HO811" s="1518"/>
      <c r="HP811" s="1518"/>
      <c r="HQ811" s="1518"/>
      <c r="HR811" s="1518"/>
      <c r="HS811" s="1518"/>
      <c r="HT811" s="1518"/>
      <c r="HU811" s="1518"/>
      <c r="HV811" s="1518"/>
      <c r="HW811" s="1518"/>
      <c r="HX811" s="1518"/>
      <c r="HY811" s="1518"/>
      <c r="HZ811" s="1518"/>
      <c r="IA811" s="1518"/>
      <c r="IB811" s="1518"/>
      <c r="IC811" s="1518"/>
      <c r="ID811" s="1518"/>
      <c r="IK811" s="1522"/>
      <c r="JA811" s="1522"/>
      <c r="JB811" s="1522"/>
    </row>
    <row r="812" spans="2:262" ht="3" customHeight="1">
      <c r="B812" s="1735"/>
      <c r="C812" s="1514"/>
      <c r="D812" s="1514"/>
      <c r="E812" s="1514"/>
      <c r="F812" s="1514"/>
      <c r="G812" s="1748"/>
      <c r="H812" s="1514"/>
      <c r="I812" s="1514"/>
      <c r="J812" s="1514"/>
      <c r="K812" s="1514"/>
      <c r="L812" s="1514"/>
      <c r="M812" s="1514"/>
      <c r="N812" s="1514"/>
      <c r="O812" s="1514"/>
      <c r="P812" s="1514"/>
      <c r="U812" s="1700" t="s">
        <v>2723</v>
      </c>
      <c r="GT812" s="1518"/>
      <c r="GY812" s="1518"/>
      <c r="GZ812" s="1518"/>
      <c r="HA812" s="1518"/>
      <c r="HB812" s="1518"/>
      <c r="HC812" s="1518"/>
      <c r="HD812" s="1518"/>
      <c r="HE812" s="1518"/>
      <c r="HF812" s="1518"/>
      <c r="HG812" s="1518"/>
      <c r="HH812" s="1518"/>
      <c r="HI812" s="1518"/>
      <c r="HJ812" s="1518"/>
      <c r="HK812" s="1518"/>
      <c r="HL812" s="1518"/>
      <c r="HM812" s="1518"/>
      <c r="HN812" s="1518"/>
      <c r="HO812" s="1518"/>
      <c r="HP812" s="1518"/>
      <c r="HQ812" s="1518"/>
      <c r="HR812" s="1518"/>
      <c r="HS812" s="1518"/>
      <c r="HT812" s="1518"/>
      <c r="HU812" s="1518"/>
      <c r="HV812" s="1518"/>
      <c r="HW812" s="1518"/>
      <c r="HX812" s="1518"/>
      <c r="HY812" s="1518"/>
      <c r="HZ812" s="1518"/>
      <c r="IA812" s="1518"/>
      <c r="IB812" s="1518"/>
      <c r="IC812" s="1518"/>
      <c r="ID812" s="1518"/>
      <c r="IK812" s="1522"/>
      <c r="JA812" s="1522"/>
      <c r="JB812" s="1522"/>
    </row>
    <row r="813" spans="2:262" ht="11.25" customHeight="1">
      <c r="B813" s="1742" t="s">
        <v>2377</v>
      </c>
      <c r="C813" s="1514"/>
      <c r="D813" s="1514"/>
      <c r="E813" s="1514"/>
      <c r="F813" s="1514"/>
      <c r="G813" s="1743">
        <v>31</v>
      </c>
      <c r="H813" s="1743">
        <v>32</v>
      </c>
      <c r="I813" s="1743">
        <v>33</v>
      </c>
      <c r="J813" s="1743">
        <v>34</v>
      </c>
      <c r="K813" s="1743">
        <v>35</v>
      </c>
      <c r="L813" s="1514"/>
      <c r="M813" s="1514"/>
      <c r="N813" s="1514"/>
      <c r="O813" s="1514"/>
      <c r="P813" s="1514"/>
      <c r="U813" s="518" t="str">
        <f>B813</f>
        <v>Included in Mgt Fee:</v>
      </c>
      <c r="GT813" s="1518"/>
      <c r="GY813" s="1518"/>
      <c r="GZ813" s="1518"/>
      <c r="HA813" s="1518"/>
      <c r="HB813" s="1518"/>
      <c r="HC813" s="1518"/>
      <c r="HD813" s="1518"/>
      <c r="HE813" s="1518"/>
      <c r="HF813" s="1518"/>
      <c r="HG813" s="1518"/>
      <c r="HH813" s="1518"/>
      <c r="HI813" s="1518"/>
      <c r="HJ813" s="1518"/>
      <c r="HK813" s="1518"/>
      <c r="HL813" s="1518"/>
      <c r="HM813" s="1518"/>
      <c r="HN813" s="1518"/>
      <c r="HO813" s="1518"/>
      <c r="HP813" s="1518"/>
      <c r="HQ813" s="1518"/>
      <c r="HR813" s="1518"/>
      <c r="HS813" s="1518"/>
      <c r="HT813" s="1518"/>
      <c r="HU813" s="1518"/>
      <c r="HV813" s="1518"/>
      <c r="HW813" s="1518"/>
      <c r="HX813" s="1518"/>
      <c r="HY813" s="1518"/>
      <c r="HZ813" s="1518"/>
      <c r="IA813" s="1518"/>
      <c r="IB813" s="1518"/>
      <c r="IC813" s="1518"/>
      <c r="ID813" s="1518"/>
      <c r="IK813" s="1522"/>
      <c r="JA813" s="1522"/>
      <c r="JB813" s="1522"/>
    </row>
    <row r="814" spans="2:262" ht="11.25" customHeight="1">
      <c r="B814" s="522" t="s">
        <v>1061</v>
      </c>
      <c r="C814" s="522"/>
      <c r="D814" s="522"/>
      <c r="E814" s="522"/>
      <c r="F814" s="522"/>
      <c r="G814" s="1745">
        <f>'Part VI-Revenues &amp; Expenses'!G153</f>
        <v>0</v>
      </c>
      <c r="H814" s="1745">
        <f>'Part VI-Revenues &amp; Expenses'!H153</f>
        <v>0</v>
      </c>
      <c r="I814" s="1745">
        <f>'Part VI-Revenues &amp; Expenses'!I153</f>
        <v>0</v>
      </c>
      <c r="J814" s="1745">
        <f>'Part VI-Revenues &amp; Expenses'!J153</f>
        <v>0</v>
      </c>
      <c r="K814" s="1745">
        <f>'Part VI-Revenues &amp; Expenses'!K153</f>
        <v>0</v>
      </c>
      <c r="L814" s="1514"/>
      <c r="M814" s="1514"/>
      <c r="N814" s="1514"/>
      <c r="O814" s="1514"/>
      <c r="P814" s="1514"/>
      <c r="U814" s="1629">
        <f>'Part VI-Revenues &amp; Expenses'!U153</f>
        <v>0</v>
      </c>
      <c r="V814" s="1629"/>
      <c r="GT814" s="1518"/>
      <c r="GY814" s="1518"/>
      <c r="GZ814" s="1518"/>
      <c r="HA814" s="1518"/>
      <c r="HB814" s="1518"/>
      <c r="HC814" s="1518"/>
      <c r="HD814" s="1518"/>
      <c r="HE814" s="1518"/>
      <c r="HF814" s="1518"/>
      <c r="HG814" s="1518"/>
      <c r="HH814" s="1518"/>
      <c r="HI814" s="1518"/>
      <c r="HJ814" s="1518"/>
      <c r="HK814" s="1518"/>
      <c r="HL814" s="1518"/>
      <c r="HM814" s="1518"/>
      <c r="HN814" s="1518"/>
      <c r="HO814" s="1518"/>
      <c r="HP814" s="1518"/>
      <c r="HQ814" s="1518"/>
      <c r="HR814" s="1518"/>
      <c r="HS814" s="1518"/>
      <c r="HT814" s="1518"/>
      <c r="HU814" s="1518"/>
      <c r="HV814" s="1518"/>
      <c r="HW814" s="1518"/>
      <c r="HX814" s="1518"/>
      <c r="HY814" s="1518"/>
      <c r="HZ814" s="1518"/>
      <c r="IA814" s="1518"/>
      <c r="IB814" s="1518"/>
      <c r="IC814" s="1518"/>
      <c r="ID814" s="1518"/>
      <c r="IK814" s="1522"/>
      <c r="JA814" s="1522"/>
      <c r="JB814" s="1522"/>
    </row>
    <row r="815" spans="2:262" ht="11.25" customHeight="1">
      <c r="B815" s="522" t="s">
        <v>778</v>
      </c>
      <c r="C815" s="522">
        <f>'Part VI-Revenues &amp; Expenses'!C154</f>
        <v>0</v>
      </c>
      <c r="D815" s="522"/>
      <c r="E815" s="522"/>
      <c r="F815" s="522"/>
      <c r="G815" s="1745">
        <f>'Part VI-Revenues &amp; Expenses'!G154</f>
        <v>0</v>
      </c>
      <c r="H815" s="1745">
        <f>'Part VI-Revenues &amp; Expenses'!H154</f>
        <v>0</v>
      </c>
      <c r="I815" s="1745">
        <f>'Part VI-Revenues &amp; Expenses'!I154</f>
        <v>0</v>
      </c>
      <c r="J815" s="1745">
        <f>'Part VI-Revenues &amp; Expenses'!J154</f>
        <v>0</v>
      </c>
      <c r="K815" s="1745">
        <f>'Part VI-Revenues &amp; Expenses'!K154</f>
        <v>0</v>
      </c>
      <c r="L815" s="1514"/>
      <c r="M815" s="1514"/>
      <c r="N815" s="1514"/>
      <c r="O815" s="1514"/>
      <c r="P815" s="1514"/>
      <c r="U815" s="1629"/>
      <c r="V815" s="1629"/>
      <c r="GT815" s="1518"/>
      <c r="GY815" s="1518"/>
      <c r="GZ815" s="1518"/>
      <c r="HA815" s="1518"/>
      <c r="HB815" s="1518"/>
      <c r="HC815" s="1518"/>
      <c r="HD815" s="1518"/>
      <c r="HE815" s="1518"/>
      <c r="HF815" s="1518"/>
      <c r="HG815" s="1518"/>
      <c r="HH815" s="1518"/>
      <c r="HI815" s="1518"/>
      <c r="HJ815" s="1518"/>
      <c r="HK815" s="1518"/>
      <c r="HL815" s="1518"/>
      <c r="HM815" s="1518"/>
      <c r="HN815" s="1518"/>
      <c r="HO815" s="1518"/>
      <c r="HP815" s="1518"/>
      <c r="HQ815" s="1518"/>
      <c r="HR815" s="1518"/>
      <c r="HS815" s="1518"/>
      <c r="HT815" s="1518"/>
      <c r="HU815" s="1518"/>
      <c r="HV815" s="1518"/>
      <c r="HW815" s="1518"/>
      <c r="HX815" s="1518"/>
      <c r="HY815" s="1518"/>
      <c r="HZ815" s="1518"/>
      <c r="IA815" s="1518"/>
      <c r="IB815" s="1518"/>
      <c r="IC815" s="1518"/>
      <c r="ID815" s="1518"/>
      <c r="IK815" s="1522"/>
      <c r="JA815" s="1522"/>
      <c r="JB815" s="1522"/>
    </row>
    <row r="816" spans="2:262" ht="11.25" customHeight="1">
      <c r="B816" s="522"/>
      <c r="C816" s="522" t="s">
        <v>968</v>
      </c>
      <c r="D816" s="522"/>
      <c r="E816" s="522"/>
      <c r="F816" s="522"/>
      <c r="G816" s="1747">
        <f>SUM(G814:G815)</f>
        <v>0</v>
      </c>
      <c r="H816" s="1747">
        <f>SUM(H814:H815)</f>
        <v>0</v>
      </c>
      <c r="I816" s="1747">
        <f>SUM(I814:I815)</f>
        <v>0</v>
      </c>
      <c r="J816" s="1747">
        <f>SUM(J814:J815)</f>
        <v>0</v>
      </c>
      <c r="K816" s="1747">
        <f>SUM(K814:K815)</f>
        <v>0</v>
      </c>
      <c r="L816" s="1514"/>
      <c r="M816" s="1514"/>
      <c r="N816" s="1514"/>
      <c r="O816" s="1514"/>
      <c r="P816" s="1514"/>
      <c r="U816" s="1629"/>
      <c r="V816" s="1629"/>
      <c r="GT816" s="1518"/>
      <c r="GY816" s="1518"/>
      <c r="GZ816" s="1518"/>
      <c r="HA816" s="1518"/>
      <c r="HB816" s="1518"/>
      <c r="HC816" s="1518"/>
      <c r="HD816" s="1518"/>
      <c r="HE816" s="1518"/>
      <c r="HF816" s="1518"/>
      <c r="HG816" s="1518"/>
      <c r="HH816" s="1518"/>
      <c r="HI816" s="1518"/>
      <c r="HJ816" s="1518"/>
      <c r="HK816" s="1518"/>
      <c r="HL816" s="1518"/>
      <c r="HM816" s="1518"/>
      <c r="HN816" s="1518"/>
      <c r="HO816" s="1518"/>
      <c r="HP816" s="1518"/>
      <c r="HQ816" s="1518"/>
      <c r="HR816" s="1518"/>
      <c r="HS816" s="1518"/>
      <c r="HT816" s="1518"/>
      <c r="HU816" s="1518"/>
      <c r="HV816" s="1518"/>
      <c r="HW816" s="1518"/>
      <c r="HX816" s="1518"/>
      <c r="HY816" s="1518"/>
      <c r="HZ816" s="1518"/>
      <c r="IA816" s="1518"/>
      <c r="IB816" s="1518"/>
      <c r="IC816" s="1518"/>
      <c r="ID816" s="1518"/>
      <c r="IK816" s="1522"/>
      <c r="JA816" s="1522"/>
      <c r="JB816" s="1522"/>
    </row>
    <row r="817" spans="1:262" ht="11.25" customHeight="1">
      <c r="B817" s="1742" t="s">
        <v>4583</v>
      </c>
      <c r="C817" s="1514"/>
      <c r="D817" s="1514"/>
      <c r="E817" s="1514"/>
      <c r="F817" s="1514"/>
      <c r="G817" s="1748"/>
      <c r="H817" s="1514"/>
      <c r="I817" s="1514"/>
      <c r="J817" s="1514"/>
      <c r="K817" s="1514"/>
      <c r="L817" s="1514"/>
      <c r="M817" s="1514"/>
      <c r="N817" s="1514"/>
      <c r="O817" s="1514"/>
      <c r="P817" s="1514"/>
      <c r="U817" s="518" t="str">
        <f>B817</f>
        <v>NOT Included in Mgt Fee:</v>
      </c>
      <c r="GT817" s="1518"/>
      <c r="GY817" s="1518"/>
      <c r="GZ817" s="1518"/>
      <c r="HA817" s="1518"/>
      <c r="HB817" s="1518"/>
      <c r="HC817" s="1518"/>
      <c r="HD817" s="1518"/>
      <c r="HE817" s="1518"/>
      <c r="HF817" s="1518"/>
      <c r="HG817" s="1518"/>
      <c r="HH817" s="1518"/>
      <c r="HI817" s="1518"/>
      <c r="HJ817" s="1518"/>
      <c r="HK817" s="1518"/>
      <c r="HL817" s="1518"/>
      <c r="HM817" s="1518"/>
      <c r="HN817" s="1518"/>
      <c r="HO817" s="1518"/>
      <c r="HP817" s="1518"/>
      <c r="HQ817" s="1518"/>
      <c r="HR817" s="1518"/>
      <c r="HS817" s="1518"/>
      <c r="HT817" s="1518"/>
      <c r="HU817" s="1518"/>
      <c r="HV817" s="1518"/>
      <c r="HW817" s="1518"/>
      <c r="HX817" s="1518"/>
      <c r="HY817" s="1518"/>
      <c r="HZ817" s="1518"/>
      <c r="IA817" s="1518"/>
      <c r="IB817" s="1518"/>
      <c r="IC817" s="1518"/>
      <c r="ID817" s="1518"/>
      <c r="IK817" s="1522"/>
      <c r="JA817" s="1522"/>
      <c r="JB817" s="1522"/>
    </row>
    <row r="818" spans="1:262" ht="11.25" customHeight="1">
      <c r="B818" s="522" t="s">
        <v>558</v>
      </c>
      <c r="C818" s="522"/>
      <c r="D818" s="522"/>
      <c r="E818" s="522"/>
      <c r="F818" s="522"/>
      <c r="G818" s="1745">
        <f>'Part VI-Revenues &amp; Expenses'!G157</f>
        <v>0</v>
      </c>
      <c r="H818" s="1745">
        <f>'Part VI-Revenues &amp; Expenses'!H157</f>
        <v>0</v>
      </c>
      <c r="I818" s="1745">
        <f>'Part VI-Revenues &amp; Expenses'!I157</f>
        <v>0</v>
      </c>
      <c r="J818" s="1745">
        <f>'Part VI-Revenues &amp; Expenses'!J157</f>
        <v>0</v>
      </c>
      <c r="K818" s="1745">
        <f>'Part VI-Revenues &amp; Expenses'!K157</f>
        <v>0</v>
      </c>
      <c r="L818" s="1514"/>
      <c r="M818" s="1514"/>
      <c r="N818" s="1514"/>
      <c r="O818" s="1514"/>
      <c r="P818" s="1514"/>
      <c r="U818" s="1629">
        <f>'Part VI-Revenues &amp; Expenses'!U157</f>
        <v>0</v>
      </c>
      <c r="V818" s="1629"/>
      <c r="GT818" s="1518"/>
      <c r="GY818" s="1518"/>
      <c r="GZ818" s="1518"/>
      <c r="HA818" s="1518"/>
      <c r="HB818" s="1518"/>
      <c r="HC818" s="1518"/>
      <c r="HD818" s="1518"/>
      <c r="HE818" s="1518"/>
      <c r="HF818" s="1518"/>
      <c r="HG818" s="1518"/>
      <c r="HH818" s="1518"/>
      <c r="HI818" s="1518"/>
      <c r="HJ818" s="1518"/>
      <c r="HK818" s="1518"/>
      <c r="HL818" s="1518"/>
      <c r="HM818" s="1518"/>
      <c r="HN818" s="1518"/>
      <c r="HO818" s="1518"/>
      <c r="HP818" s="1518"/>
      <c r="HQ818" s="1518"/>
      <c r="HR818" s="1518"/>
      <c r="HS818" s="1518"/>
      <c r="HT818" s="1518"/>
      <c r="HU818" s="1518"/>
      <c r="HV818" s="1518"/>
      <c r="HW818" s="1518"/>
      <c r="HX818" s="1518"/>
      <c r="HY818" s="1518"/>
      <c r="HZ818" s="1518"/>
      <c r="IA818" s="1518"/>
      <c r="IB818" s="1518"/>
      <c r="IC818" s="1518"/>
      <c r="ID818" s="1518"/>
      <c r="IK818" s="1522"/>
      <c r="JA818" s="1522"/>
      <c r="JB818" s="1522"/>
    </row>
    <row r="819" spans="1:262" ht="11.25" customHeight="1">
      <c r="B819" s="522" t="s">
        <v>778</v>
      </c>
      <c r="C819" s="522">
        <f>'Part VI-Revenues &amp; Expenses'!C158</f>
        <v>0</v>
      </c>
      <c r="D819" s="522"/>
      <c r="E819" s="522"/>
      <c r="F819" s="522"/>
      <c r="G819" s="1745">
        <f>'Part VI-Revenues &amp; Expenses'!G158</f>
        <v>0</v>
      </c>
      <c r="H819" s="1745">
        <f>'Part VI-Revenues &amp; Expenses'!H158</f>
        <v>0</v>
      </c>
      <c r="I819" s="1745">
        <f>'Part VI-Revenues &amp; Expenses'!I158</f>
        <v>0</v>
      </c>
      <c r="J819" s="1745">
        <f>'Part VI-Revenues &amp; Expenses'!J158</f>
        <v>0</v>
      </c>
      <c r="K819" s="1745">
        <f>'Part VI-Revenues &amp; Expenses'!K158</f>
        <v>0</v>
      </c>
      <c r="L819" s="1514"/>
      <c r="M819" s="1514"/>
      <c r="N819" s="1514"/>
      <c r="O819" s="1514"/>
      <c r="P819" s="1514"/>
      <c r="U819" s="1629"/>
      <c r="V819" s="1629"/>
      <c r="GT819" s="1518"/>
      <c r="GY819" s="1518"/>
      <c r="GZ819" s="1518"/>
      <c r="HA819" s="1518"/>
      <c r="HB819" s="1518"/>
      <c r="HC819" s="1518"/>
      <c r="HD819" s="1518"/>
      <c r="HE819" s="1518"/>
      <c r="HF819" s="1518"/>
      <c r="HG819" s="1518"/>
      <c r="HH819" s="1518"/>
      <c r="HI819" s="1518"/>
      <c r="HJ819" s="1518"/>
      <c r="HK819" s="1518"/>
      <c r="HL819" s="1518"/>
      <c r="HM819" s="1518"/>
      <c r="HN819" s="1518"/>
      <c r="HO819" s="1518"/>
      <c r="HP819" s="1518"/>
      <c r="HQ819" s="1518"/>
      <c r="HR819" s="1518"/>
      <c r="HS819" s="1518"/>
      <c r="HT819" s="1518"/>
      <c r="HU819" s="1518"/>
      <c r="HV819" s="1518"/>
      <c r="HW819" s="1518"/>
      <c r="HX819" s="1518"/>
      <c r="HY819" s="1518"/>
      <c r="HZ819" s="1518"/>
      <c r="IA819" s="1518"/>
      <c r="IB819" s="1518"/>
      <c r="IC819" s="1518"/>
      <c r="ID819" s="1518"/>
      <c r="IK819" s="1522"/>
      <c r="JA819" s="1522"/>
      <c r="JB819" s="1522"/>
    </row>
    <row r="820" spans="1:262" ht="11.25" customHeight="1">
      <c r="B820" s="522"/>
      <c r="C820" s="522" t="s">
        <v>4584</v>
      </c>
      <c r="D820" s="522"/>
      <c r="E820" s="522"/>
      <c r="F820" s="522"/>
      <c r="G820" s="1747">
        <f>SUM(G818:G819)</f>
        <v>0</v>
      </c>
      <c r="H820" s="1747">
        <f>SUM(H818:H819)</f>
        <v>0</v>
      </c>
      <c r="I820" s="1747">
        <f>SUM(I818:I819)</f>
        <v>0</v>
      </c>
      <c r="J820" s="1747">
        <f>SUM(J818:J819)</f>
        <v>0</v>
      </c>
      <c r="K820" s="1747">
        <f>SUM(K818:K819)</f>
        <v>0</v>
      </c>
      <c r="L820" s="1514"/>
      <c r="M820" s="1514"/>
      <c r="N820" s="1514"/>
      <c r="O820" s="1514"/>
      <c r="P820" s="1514"/>
      <c r="U820" s="1629"/>
      <c r="V820" s="1629"/>
      <c r="GT820" s="1518"/>
      <c r="GY820" s="1518"/>
      <c r="GZ820" s="1518"/>
      <c r="HA820" s="1518"/>
      <c r="HB820" s="1518"/>
      <c r="HC820" s="1518"/>
      <c r="HD820" s="1518"/>
      <c r="HE820" s="1518"/>
      <c r="HF820" s="1518"/>
      <c r="HG820" s="1518"/>
      <c r="HH820" s="1518"/>
      <c r="HI820" s="1518"/>
      <c r="HJ820" s="1518"/>
      <c r="HK820" s="1518"/>
      <c r="HL820" s="1518"/>
      <c r="HM820" s="1518"/>
      <c r="HN820" s="1518"/>
      <c r="HO820" s="1518"/>
      <c r="HP820" s="1518"/>
      <c r="HQ820" s="1518"/>
      <c r="HR820" s="1518"/>
      <c r="HS820" s="1518"/>
      <c r="HT820" s="1518"/>
      <c r="HU820" s="1518"/>
      <c r="HV820" s="1518"/>
      <c r="HW820" s="1518"/>
      <c r="HX820" s="1518"/>
      <c r="HY820" s="1518"/>
      <c r="HZ820" s="1518"/>
      <c r="IA820" s="1518"/>
      <c r="IB820" s="1518"/>
      <c r="IC820" s="1518"/>
      <c r="ID820" s="1518"/>
      <c r="IK820" s="1522"/>
      <c r="JA820" s="1522"/>
      <c r="JB820" s="1522"/>
    </row>
    <row r="821" spans="1:262" ht="2.25" customHeight="1">
      <c r="B821" s="1522"/>
      <c r="F821" s="1749"/>
      <c r="G821" s="1749"/>
      <c r="GT821" s="1518"/>
      <c r="GY821" s="1518"/>
      <c r="GZ821" s="1518"/>
      <c r="HA821" s="1518"/>
      <c r="HB821" s="1518"/>
      <c r="HC821" s="1518"/>
      <c r="HD821" s="1518"/>
      <c r="HE821" s="1518"/>
      <c r="HF821" s="1518"/>
      <c r="HG821" s="1518"/>
      <c r="HH821" s="1518"/>
      <c r="HI821" s="1518"/>
      <c r="HJ821" s="1518"/>
      <c r="HK821" s="1518"/>
      <c r="HL821" s="1518"/>
      <c r="HM821" s="1518"/>
      <c r="HN821" s="1518"/>
      <c r="HO821" s="1518"/>
      <c r="HP821" s="1518"/>
      <c r="HQ821" s="1518"/>
      <c r="HR821" s="1518"/>
      <c r="HS821" s="1518"/>
      <c r="HT821" s="1518"/>
      <c r="HU821" s="1518"/>
      <c r="HV821" s="1518"/>
      <c r="HW821" s="1518"/>
      <c r="HX821" s="1518"/>
      <c r="HY821" s="1518"/>
      <c r="HZ821" s="1518"/>
      <c r="IA821" s="1518"/>
      <c r="IB821" s="1518"/>
      <c r="IC821" s="1518"/>
      <c r="ID821" s="1518"/>
      <c r="IK821" s="1522"/>
      <c r="JA821" s="1522"/>
      <c r="JB821" s="1522"/>
    </row>
    <row r="822" spans="1:262" s="518" customFormat="1" ht="11.25" customHeight="1">
      <c r="A822" s="521" t="s">
        <v>1868</v>
      </c>
      <c r="B822" s="1681" t="s">
        <v>1063</v>
      </c>
      <c r="C822" s="1681"/>
      <c r="D822" s="1681"/>
      <c r="E822" s="1681"/>
      <c r="F822" s="1681"/>
      <c r="G822" s="1681"/>
      <c r="H822" s="1681"/>
      <c r="I822" s="1681"/>
      <c r="J822" s="1681"/>
      <c r="K822" s="1681"/>
      <c r="M822" s="1715"/>
      <c r="N822" s="1512"/>
      <c r="O822" s="1512"/>
      <c r="U822" s="521" t="str">
        <f>B822</f>
        <v>ANNUAL OPERATING EXPENSE BUDGET</v>
      </c>
      <c r="V822" s="1271"/>
      <c r="W822" s="1271"/>
      <c r="X822" s="1271"/>
      <c r="Y822" s="1271"/>
      <c r="GT822" s="1512"/>
      <c r="GY822" s="1512"/>
      <c r="GZ822" s="1512"/>
      <c r="HA822" s="1512"/>
      <c r="HB822" s="1512"/>
      <c r="HC822" s="1512"/>
      <c r="HD822" s="1512"/>
      <c r="HE822" s="1512"/>
      <c r="HF822" s="1512"/>
      <c r="HG822" s="1512"/>
      <c r="HH822" s="1512"/>
      <c r="HI822" s="1512"/>
      <c r="HJ822" s="1512"/>
      <c r="HK822" s="1512"/>
      <c r="HL822" s="1512"/>
      <c r="HM822" s="1512"/>
      <c r="HN822" s="1512"/>
      <c r="HO822" s="1512"/>
      <c r="HP822" s="1512"/>
      <c r="HQ822" s="1512"/>
      <c r="HR822" s="1512"/>
      <c r="HS822" s="1512"/>
      <c r="HT822" s="1512"/>
      <c r="HU822" s="1512"/>
      <c r="HV822" s="1512"/>
      <c r="HW822" s="1512"/>
      <c r="HX822" s="1512"/>
      <c r="HY822" s="1512"/>
      <c r="HZ822" s="1512"/>
      <c r="IA822" s="1512"/>
      <c r="IB822" s="1512"/>
      <c r="IC822" s="1512"/>
      <c r="ID822" s="1512"/>
      <c r="IK822" s="521"/>
      <c r="JA822" s="521"/>
      <c r="JB822" s="521"/>
    </row>
    <row r="823" spans="1:262" s="518" customFormat="1" ht="9" customHeight="1">
      <c r="B823" s="1681"/>
      <c r="C823" s="1681"/>
      <c r="D823" s="1681"/>
      <c r="E823" s="1681"/>
      <c r="F823" s="1681"/>
      <c r="G823" s="1681"/>
      <c r="H823" s="1681"/>
      <c r="I823" s="1681"/>
      <c r="J823" s="1681"/>
      <c r="U823" s="1750" t="s">
        <v>1925</v>
      </c>
      <c r="V823" s="1750"/>
      <c r="GT823" s="1512"/>
      <c r="GY823" s="1512"/>
      <c r="GZ823" s="1512"/>
      <c r="HA823" s="1512"/>
      <c r="HB823" s="1512"/>
      <c r="HC823" s="1512"/>
      <c r="HD823" s="1512"/>
      <c r="HE823" s="1512"/>
      <c r="HF823" s="1512"/>
      <c r="HG823" s="1512"/>
      <c r="HH823" s="1512"/>
      <c r="HI823" s="1512"/>
      <c r="HJ823" s="1512"/>
      <c r="HK823" s="1512"/>
      <c r="HL823" s="1512"/>
      <c r="HM823" s="1512"/>
      <c r="HN823" s="1512"/>
      <c r="HO823" s="1512"/>
      <c r="HP823" s="1512"/>
      <c r="HQ823" s="1512"/>
      <c r="HR823" s="1512"/>
      <c r="HS823" s="1512"/>
      <c r="HT823" s="1512"/>
      <c r="HU823" s="1512"/>
      <c r="HV823" s="1512"/>
      <c r="HW823" s="1512"/>
      <c r="HX823" s="1512"/>
      <c r="HY823" s="1512"/>
      <c r="HZ823" s="1512"/>
      <c r="IA823" s="1512"/>
      <c r="IB823" s="1512"/>
      <c r="IC823" s="1512"/>
      <c r="ID823" s="1512"/>
      <c r="IK823" s="521"/>
      <c r="JA823" s="521"/>
      <c r="JB823" s="521"/>
    </row>
    <row r="824" spans="1:262" s="518" customFormat="1" ht="13.15" customHeight="1">
      <c r="B824" s="521" t="s">
        <v>1346</v>
      </c>
      <c r="F824" s="1271"/>
      <c r="G824" s="1271"/>
      <c r="I824" s="521" t="s">
        <v>1434</v>
      </c>
      <c r="N824" s="521" t="s">
        <v>1433</v>
      </c>
      <c r="U824" s="1629">
        <f>'Part VI-Revenues &amp; Expenses'!U163</f>
        <v>0</v>
      </c>
      <c r="V824" s="1629"/>
      <c r="W824" s="1271"/>
      <c r="X824" s="1271"/>
      <c r="Y824" s="1271"/>
      <c r="GT824" s="1512"/>
      <c r="GY824" s="1512"/>
      <c r="GZ824" s="1512"/>
      <c r="HA824" s="1512"/>
      <c r="HB824" s="1512"/>
      <c r="HC824" s="1512"/>
      <c r="HD824" s="1512"/>
      <c r="HE824" s="1512"/>
      <c r="HF824" s="1512"/>
      <c r="HG824" s="1512"/>
      <c r="HH824" s="1512"/>
      <c r="HI824" s="1512"/>
      <c r="HJ824" s="1512"/>
      <c r="HK824" s="1512"/>
      <c r="HL824" s="1512"/>
      <c r="HM824" s="1512"/>
      <c r="HN824" s="1512"/>
      <c r="HO824" s="1512"/>
      <c r="HP824" s="1512"/>
      <c r="HQ824" s="1512"/>
      <c r="HR824" s="1512"/>
      <c r="HS824" s="1512"/>
      <c r="HT824" s="1512"/>
      <c r="HU824" s="1512"/>
      <c r="HV824" s="1512"/>
      <c r="HW824" s="1512"/>
      <c r="HX824" s="1512"/>
      <c r="HY824" s="1512"/>
      <c r="HZ824" s="1512"/>
      <c r="IA824" s="1512"/>
      <c r="IB824" s="1512"/>
      <c r="IC824" s="1512"/>
      <c r="ID824" s="1512"/>
      <c r="IK824" s="521"/>
      <c r="JA824" s="521"/>
      <c r="JB824" s="521"/>
    </row>
    <row r="825" spans="1:262" s="518" customFormat="1" ht="15.6" customHeight="1">
      <c r="B825" s="518" t="s">
        <v>2285</v>
      </c>
      <c r="F825" s="1734">
        <f>'Part VI-Revenues &amp; Expenses'!F164</f>
        <v>95000</v>
      </c>
      <c r="G825" s="1734"/>
      <c r="I825" s="518" t="s">
        <v>1435</v>
      </c>
      <c r="K825" s="1734">
        <f>'Part VI-Revenues &amp; Expenses'!K164</f>
        <v>0</v>
      </c>
      <c r="L825" s="1734"/>
      <c r="N825" s="518" t="s">
        <v>969</v>
      </c>
      <c r="P825" s="1746">
        <f>'Part VI-Revenues &amp; Expenses'!P164</f>
        <v>117000</v>
      </c>
      <c r="Q825" s="1746"/>
      <c r="U825" s="1629"/>
      <c r="V825" s="1629"/>
      <c r="W825" s="1271"/>
      <c r="X825" s="1271"/>
      <c r="Y825" s="1271"/>
      <c r="GT825" s="1512"/>
      <c r="GY825" s="1512"/>
      <c r="GZ825" s="1512"/>
      <c r="HA825" s="1512"/>
      <c r="HB825" s="1512"/>
      <c r="HC825" s="1512"/>
      <c r="HD825" s="1512"/>
      <c r="HE825" s="1512"/>
      <c r="HF825" s="1512"/>
      <c r="HG825" s="1512"/>
      <c r="HH825" s="1512"/>
      <c r="HI825" s="1512"/>
      <c r="HJ825" s="1512"/>
      <c r="HK825" s="1512"/>
      <c r="HL825" s="1512"/>
      <c r="HM825" s="1512"/>
      <c r="HN825" s="1512"/>
      <c r="HO825" s="1512"/>
      <c r="HP825" s="1512"/>
      <c r="HQ825" s="1512"/>
      <c r="HR825" s="1512"/>
      <c r="HS825" s="1512"/>
      <c r="HT825" s="1512"/>
      <c r="HU825" s="1512"/>
      <c r="HV825" s="1512"/>
      <c r="HW825" s="1512"/>
      <c r="HX825" s="1512"/>
      <c r="HY825" s="1512"/>
      <c r="HZ825" s="1512"/>
      <c r="IA825" s="1512"/>
      <c r="IB825" s="1512"/>
      <c r="IC825" s="1512"/>
      <c r="ID825" s="1512"/>
      <c r="IK825" s="521"/>
      <c r="JA825" s="521"/>
      <c r="JB825" s="521"/>
    </row>
    <row r="826" spans="1:262" s="518" customFormat="1" ht="15.6" customHeight="1">
      <c r="B826" s="518" t="s">
        <v>1424</v>
      </c>
      <c r="F826" s="1734">
        <f>'Part VI-Revenues &amp; Expenses'!F165</f>
        <v>50000</v>
      </c>
      <c r="G826" s="1734"/>
      <c r="I826" s="518" t="s">
        <v>1436</v>
      </c>
      <c r="K826" s="1734">
        <f>'Part VI-Revenues &amp; Expenses'!K165</f>
        <v>0</v>
      </c>
      <c r="L826" s="1734"/>
      <c r="N826" s="518" t="s">
        <v>152</v>
      </c>
      <c r="P826" s="1746">
        <f>'Part VI-Revenues &amp; Expenses'!P165</f>
        <v>38800</v>
      </c>
      <c r="Q826" s="1746"/>
      <c r="U826" s="1629"/>
      <c r="V826" s="1629"/>
      <c r="W826" s="1271"/>
      <c r="X826" s="1271"/>
      <c r="Y826" s="1271"/>
      <c r="GT826" s="1512"/>
      <c r="GY826" s="1512"/>
      <c r="GZ826" s="1512"/>
      <c r="HA826" s="1512"/>
      <c r="HB826" s="1512"/>
      <c r="HC826" s="1512"/>
      <c r="HD826" s="1512"/>
      <c r="HE826" s="1512"/>
      <c r="HF826" s="1512"/>
      <c r="HG826" s="1512"/>
      <c r="HH826" s="1512"/>
      <c r="HI826" s="1512"/>
      <c r="HJ826" s="1512"/>
      <c r="HK826" s="1512"/>
      <c r="HL826" s="1512"/>
      <c r="HM826" s="1512"/>
      <c r="HN826" s="1512"/>
      <c r="HO826" s="1512"/>
      <c r="HP826" s="1512"/>
      <c r="HQ826" s="1512"/>
      <c r="HR826" s="1512"/>
      <c r="HS826" s="1512"/>
      <c r="HT826" s="1512"/>
      <c r="HU826" s="1512"/>
      <c r="HV826" s="1512"/>
      <c r="HW826" s="1512"/>
      <c r="HX826" s="1512"/>
      <c r="HY826" s="1512"/>
      <c r="HZ826" s="1512"/>
      <c r="IA826" s="1512"/>
      <c r="IB826" s="1512"/>
      <c r="IC826" s="1512"/>
      <c r="ID826" s="1512"/>
      <c r="IK826" s="521"/>
      <c r="JA826" s="521"/>
      <c r="JB826" s="521"/>
    </row>
    <row r="827" spans="1:262" s="518" customFormat="1" ht="15.6" customHeight="1">
      <c r="B827" s="518" t="s">
        <v>1293</v>
      </c>
      <c r="F827" s="1734">
        <f>'Part VI-Revenues &amp; Expenses'!F166</f>
        <v>0</v>
      </c>
      <c r="G827" s="1734"/>
      <c r="J827" s="1751" t="s">
        <v>198</v>
      </c>
      <c r="K827" s="1734">
        <f>SUM(K825:L826)</f>
        <v>0</v>
      </c>
      <c r="L827" s="1734"/>
      <c r="N827" s="1752" t="str">
        <f>'Part VI-Revenues &amp; Expenses'!N166</f>
        <v>Other (describe here)</v>
      </c>
      <c r="O827" s="1752"/>
      <c r="P827" s="1746">
        <f>'Part VI-Revenues &amp; Expenses'!P166</f>
        <v>0</v>
      </c>
      <c r="Q827" s="1746"/>
      <c r="U827" s="1629"/>
      <c r="V827" s="1629"/>
      <c r="W827" s="1271"/>
      <c r="X827" s="1271"/>
      <c r="Y827" s="1271"/>
      <c r="GT827" s="1512"/>
      <c r="GY827" s="1512"/>
      <c r="GZ827" s="1512"/>
      <c r="HA827" s="1512"/>
      <c r="HB827" s="1512"/>
      <c r="HC827" s="1512"/>
      <c r="HD827" s="1512"/>
      <c r="HE827" s="1512"/>
      <c r="HF827" s="1512"/>
      <c r="HG827" s="1512"/>
      <c r="HH827" s="1512"/>
      <c r="HI827" s="1512"/>
      <c r="HJ827" s="1512"/>
      <c r="HK827" s="1512"/>
      <c r="HL827" s="1512"/>
      <c r="HM827" s="1512"/>
      <c r="HN827" s="1512"/>
      <c r="HO827" s="1512"/>
      <c r="HP827" s="1512"/>
      <c r="HQ827" s="1512"/>
      <c r="HR827" s="1512"/>
      <c r="HS827" s="1512"/>
      <c r="HT827" s="1512"/>
      <c r="HU827" s="1512"/>
      <c r="HV827" s="1512"/>
      <c r="HW827" s="1512"/>
      <c r="HX827" s="1512"/>
      <c r="HY827" s="1512"/>
      <c r="HZ827" s="1512"/>
      <c r="IA827" s="1512"/>
      <c r="IB827" s="1512"/>
      <c r="IC827" s="1512"/>
      <c r="ID827" s="1512"/>
      <c r="IK827" s="521"/>
      <c r="JA827" s="521"/>
      <c r="JB827" s="521"/>
    </row>
    <row r="828" spans="1:262" s="518" customFormat="1" ht="15.6" customHeight="1">
      <c r="B828" s="519" t="str">
        <f>'Part VI-Revenues &amp; Expenses'!B167</f>
        <v>Benefits, payroll taxes, WC</v>
      </c>
      <c r="C828" s="519"/>
      <c r="D828" s="519"/>
      <c r="E828" s="519"/>
      <c r="F828" s="1734">
        <f>'Part VI-Revenues &amp; Expenses'!F167</f>
        <v>29000</v>
      </c>
      <c r="G828" s="1734"/>
      <c r="N828" s="1751" t="s">
        <v>198</v>
      </c>
      <c r="P828" s="1746">
        <f>SUM(P825:P827)</f>
        <v>155800</v>
      </c>
      <c r="Q828" s="1746"/>
      <c r="U828" s="1629"/>
      <c r="V828" s="1629"/>
      <c r="W828" s="1271"/>
      <c r="X828" s="1271"/>
      <c r="Y828" s="1271"/>
      <c r="GT828" s="1512"/>
      <c r="GY828" s="1512"/>
      <c r="GZ828" s="1512"/>
      <c r="HA828" s="1512"/>
      <c r="HB828" s="1512"/>
      <c r="HC828" s="1512"/>
      <c r="HD828" s="1512"/>
      <c r="HE828" s="1512"/>
      <c r="HF828" s="1512"/>
      <c r="HG828" s="1512"/>
      <c r="HH828" s="1512"/>
      <c r="HI828" s="1512"/>
      <c r="HJ828" s="1512"/>
      <c r="HK828" s="1512"/>
      <c r="HL828" s="1512"/>
      <c r="HM828" s="1512"/>
      <c r="HN828" s="1512"/>
      <c r="HO828" s="1512"/>
      <c r="HP828" s="1512"/>
      <c r="HQ828" s="1512"/>
      <c r="HR828" s="1512"/>
      <c r="HS828" s="1512"/>
      <c r="HT828" s="1512"/>
      <c r="HU828" s="1512"/>
      <c r="HV828" s="1512"/>
      <c r="HW828" s="1512"/>
      <c r="HX828" s="1512"/>
      <c r="HY828" s="1512"/>
      <c r="HZ828" s="1512"/>
      <c r="IA828" s="1512"/>
      <c r="IB828" s="1512"/>
      <c r="IC828" s="1512"/>
      <c r="ID828" s="1512"/>
      <c r="IK828" s="521"/>
      <c r="JA828" s="521"/>
      <c r="JB828" s="521"/>
    </row>
    <row r="829" spans="1:262" s="518" customFormat="1" ht="15.6" customHeight="1">
      <c r="C829" s="1751" t="s">
        <v>198</v>
      </c>
      <c r="F829" s="1734">
        <f>SUM(F825:G828)</f>
        <v>174000</v>
      </c>
      <c r="G829" s="1734"/>
      <c r="J829" s="1722"/>
      <c r="U829" s="1629"/>
      <c r="V829" s="1629"/>
      <c r="W829" s="1271"/>
      <c r="X829" s="1271"/>
      <c r="Y829" s="1271"/>
      <c r="GT829" s="1512"/>
      <c r="GY829" s="1512"/>
      <c r="GZ829" s="1512"/>
      <c r="HA829" s="1512"/>
      <c r="HB829" s="1512"/>
      <c r="HC829" s="1512"/>
      <c r="HD829" s="1512"/>
      <c r="HE829" s="1512"/>
      <c r="HF829" s="1512"/>
      <c r="HG829" s="1512"/>
      <c r="HH829" s="1512"/>
      <c r="HI829" s="1512"/>
      <c r="HJ829" s="1512"/>
      <c r="HK829" s="1512"/>
      <c r="HL829" s="1512"/>
      <c r="HM829" s="1512"/>
      <c r="HN829" s="1512"/>
      <c r="HO829" s="1512"/>
      <c r="HP829" s="1512"/>
      <c r="HQ829" s="1512"/>
      <c r="HR829" s="1512"/>
      <c r="HS829" s="1512"/>
      <c r="HT829" s="1512"/>
      <c r="HU829" s="1512"/>
      <c r="HV829" s="1512"/>
      <c r="HW829" s="1512"/>
      <c r="HX829" s="1512"/>
      <c r="HY829" s="1512"/>
      <c r="HZ829" s="1512"/>
      <c r="IA829" s="1512"/>
      <c r="IB829" s="1512"/>
      <c r="IC829" s="1512"/>
      <c r="ID829" s="1512"/>
      <c r="IK829" s="521"/>
      <c r="JA829" s="521"/>
      <c r="JB829" s="521"/>
    </row>
    <row r="830" spans="1:262" s="518" customFormat="1" ht="6" customHeight="1">
      <c r="C830" s="521"/>
      <c r="D830" s="1751"/>
      <c r="F830" s="1722"/>
      <c r="G830" s="1722"/>
      <c r="J830" s="1722"/>
      <c r="M830" s="521"/>
      <c r="O830" s="1751"/>
      <c r="U830" s="1629"/>
      <c r="V830" s="1629"/>
      <c r="GT830" s="1512"/>
      <c r="GY830" s="1512"/>
      <c r="GZ830" s="1512"/>
      <c r="HA830" s="1512"/>
      <c r="HB830" s="1512"/>
      <c r="HC830" s="1512"/>
      <c r="HD830" s="1512"/>
      <c r="HE830" s="1512"/>
      <c r="HF830" s="1512"/>
      <c r="HG830" s="1512"/>
      <c r="HH830" s="1512"/>
      <c r="HI830" s="1512"/>
      <c r="HJ830" s="1512"/>
      <c r="HK830" s="1512"/>
      <c r="HL830" s="1512"/>
      <c r="HM830" s="1512"/>
      <c r="HN830" s="1512"/>
      <c r="HO830" s="1512"/>
      <c r="HP830" s="1512"/>
      <c r="HQ830" s="1512"/>
      <c r="HR830" s="1512"/>
      <c r="HS830" s="1512"/>
      <c r="HT830" s="1512"/>
      <c r="HU830" s="1512"/>
      <c r="HV830" s="1512"/>
      <c r="HW830" s="1512"/>
      <c r="HX830" s="1512"/>
      <c r="HY830" s="1512"/>
      <c r="HZ830" s="1512"/>
      <c r="IA830" s="1512"/>
      <c r="IB830" s="1512"/>
      <c r="IC830" s="1512"/>
      <c r="ID830" s="1512"/>
      <c r="IK830" s="521"/>
      <c r="JA830" s="521"/>
      <c r="JB830" s="521"/>
    </row>
    <row r="831" spans="1:262" s="518" customFormat="1" ht="13.15" customHeight="1">
      <c r="B831" s="521" t="s">
        <v>1347</v>
      </c>
      <c r="D831" s="1753"/>
      <c r="I831" s="521" t="s">
        <v>1348</v>
      </c>
      <c r="N831" s="521" t="s">
        <v>1437</v>
      </c>
      <c r="P831" s="1754">
        <f>IF(OR('Part VII-Pro Forma'!$B$20 = "Choose Mgt Fee",'Part VII-Pro Forma'!$B$20 = "Choose One!"), 0,- 'Part VII-Pro Forma'!$B$20)</f>
        <v>67416</v>
      </c>
      <c r="Q831" s="1754"/>
      <c r="U831" s="1629"/>
      <c r="V831" s="1629"/>
      <c r="W831" s="1271"/>
      <c r="X831" s="1271"/>
      <c r="Y831" s="1271"/>
      <c r="GT831" s="1512"/>
      <c r="GY831" s="1512"/>
      <c r="GZ831" s="1512"/>
      <c r="HA831" s="1512"/>
      <c r="HB831" s="1512"/>
      <c r="HC831" s="1512"/>
      <c r="HD831" s="1512"/>
      <c r="HE831" s="1512"/>
      <c r="HF831" s="1512"/>
      <c r="HG831" s="1512"/>
      <c r="HH831" s="1512"/>
      <c r="HI831" s="1512"/>
      <c r="HJ831" s="1512"/>
      <c r="HK831" s="1512"/>
      <c r="HL831" s="1512"/>
      <c r="HM831" s="1512"/>
      <c r="HN831" s="1512"/>
      <c r="HO831" s="1512"/>
      <c r="HP831" s="1512"/>
      <c r="HQ831" s="1512"/>
      <c r="HR831" s="1512"/>
      <c r="HS831" s="1512"/>
      <c r="HT831" s="1512"/>
      <c r="HU831" s="1512"/>
      <c r="HV831" s="1512"/>
      <c r="HW831" s="1512"/>
      <c r="HX831" s="1512"/>
      <c r="HY831" s="1512"/>
      <c r="HZ831" s="1512"/>
      <c r="IA831" s="1512"/>
      <c r="IB831" s="1512"/>
      <c r="IC831" s="1512"/>
      <c r="ID831" s="1512"/>
      <c r="IK831" s="521"/>
      <c r="JA831" s="521"/>
      <c r="JB831" s="521"/>
    </row>
    <row r="832" spans="1:262" s="518" customFormat="1" ht="15.6" customHeight="1">
      <c r="B832" s="518" t="s">
        <v>1429</v>
      </c>
      <c r="D832" s="1753"/>
      <c r="F832" s="1734">
        <f>'Part VI-Revenues &amp; Expenses'!F171</f>
        <v>4800</v>
      </c>
      <c r="G832" s="1734"/>
      <c r="I832" s="518" t="s">
        <v>1670</v>
      </c>
      <c r="K832" s="1734">
        <f>'Part VI-Revenues &amp; Expenses'!K171</f>
        <v>10000</v>
      </c>
      <c r="L832" s="1734"/>
      <c r="N832" s="1755">
        <f>+P831/(O723*0.93)</f>
        <v>447.47112704101954</v>
      </c>
      <c r="O832" s="1756" t="s">
        <v>2956</v>
      </c>
      <c r="U832" s="1629"/>
      <c r="V832" s="1629"/>
      <c r="W832" s="1271"/>
      <c r="X832" s="1271"/>
      <c r="Y832" s="1271"/>
      <c r="GT832" s="1512"/>
      <c r="GY832" s="1512"/>
      <c r="GZ832" s="1512"/>
      <c r="HA832" s="1512"/>
      <c r="HB832" s="1512"/>
      <c r="HC832" s="1512"/>
      <c r="HD832" s="1512"/>
      <c r="HE832" s="1512"/>
      <c r="HF832" s="1512"/>
      <c r="HG832" s="1512"/>
      <c r="HH832" s="1512"/>
      <c r="HI832" s="1512"/>
      <c r="HJ832" s="1512"/>
      <c r="HK832" s="1512"/>
      <c r="HL832" s="1512"/>
      <c r="HM832" s="1512"/>
      <c r="HN832" s="1512"/>
      <c r="HO832" s="1512"/>
      <c r="HP832" s="1512"/>
      <c r="HQ832" s="1512"/>
      <c r="HR832" s="1512"/>
      <c r="HS832" s="1512"/>
      <c r="HT832" s="1512"/>
      <c r="HU832" s="1512"/>
      <c r="HV832" s="1512"/>
      <c r="HW832" s="1512"/>
      <c r="HX832" s="1512"/>
      <c r="HY832" s="1512"/>
      <c r="HZ832" s="1512"/>
      <c r="IA832" s="1512"/>
      <c r="IB832" s="1512"/>
      <c r="IC832" s="1512"/>
      <c r="ID832" s="1512"/>
      <c r="IK832" s="521"/>
      <c r="JA832" s="521"/>
      <c r="JB832" s="521"/>
    </row>
    <row r="833" spans="2:262" s="518" customFormat="1" ht="15.6" customHeight="1">
      <c r="B833" s="518" t="s">
        <v>1430</v>
      </c>
      <c r="D833" s="1753"/>
      <c r="F833" s="1734">
        <f>'Part VI-Revenues &amp; Expenses'!F172</f>
        <v>9600</v>
      </c>
      <c r="G833" s="1734"/>
      <c r="I833" s="518" t="s">
        <v>2137</v>
      </c>
      <c r="K833" s="1734">
        <f>'Part VI-Revenues &amp; Expenses'!K172</f>
        <v>11500</v>
      </c>
      <c r="L833" s="1734"/>
      <c r="N833" s="1755">
        <f>+P831/(O723*0.93)/12</f>
        <v>37.289260586751631</v>
      </c>
      <c r="O833" s="1756" t="s">
        <v>2957</v>
      </c>
      <c r="U833" s="1629"/>
      <c r="V833" s="1629"/>
      <c r="W833" s="1271"/>
      <c r="X833" s="1271"/>
      <c r="Y833" s="1271"/>
      <c r="GT833" s="1512"/>
      <c r="GY833" s="1512"/>
      <c r="GZ833" s="1512"/>
      <c r="HA833" s="1512"/>
      <c r="HB833" s="1512"/>
      <c r="HC833" s="1512"/>
      <c r="HD833" s="1512"/>
      <c r="HE833" s="1512"/>
      <c r="HF833" s="1512"/>
      <c r="HG833" s="1512"/>
      <c r="HH833" s="1512"/>
      <c r="HI833" s="1512"/>
      <c r="HJ833" s="1512"/>
      <c r="HK833" s="1512"/>
      <c r="HL833" s="1512"/>
      <c r="HM833" s="1512"/>
      <c r="HN833" s="1512"/>
      <c r="HO833" s="1512"/>
      <c r="HP833" s="1512"/>
      <c r="HQ833" s="1512"/>
      <c r="HR833" s="1512"/>
      <c r="HS833" s="1512"/>
      <c r="HT833" s="1512"/>
      <c r="HU833" s="1512"/>
      <c r="HV833" s="1512"/>
      <c r="HW833" s="1512"/>
      <c r="HX833" s="1512"/>
      <c r="HY833" s="1512"/>
      <c r="HZ833" s="1512"/>
      <c r="IA833" s="1512"/>
      <c r="IB833" s="1512"/>
      <c r="IC833" s="1512"/>
      <c r="ID833" s="1512"/>
      <c r="IK833" s="521"/>
      <c r="JA833" s="521"/>
      <c r="JB833" s="521"/>
    </row>
    <row r="834" spans="2:262" s="518" customFormat="1" ht="15.6" customHeight="1">
      <c r="B834" s="518" t="s">
        <v>1431</v>
      </c>
      <c r="D834" s="1753"/>
      <c r="F834" s="1734">
        <f>'Part VI-Revenues &amp; Expenses'!F173</f>
        <v>0</v>
      </c>
      <c r="G834" s="1734"/>
      <c r="I834" s="518" t="s">
        <v>1671</v>
      </c>
      <c r="K834" s="1734">
        <f>'Part VI-Revenues &amp; Expenses'!K173</f>
        <v>6500</v>
      </c>
      <c r="L834" s="1734"/>
      <c r="N834" s="1757" t="s">
        <v>2558</v>
      </c>
      <c r="O834" s="1757"/>
      <c r="P834" s="1757"/>
      <c r="Q834" s="1723"/>
      <c r="U834" s="1629"/>
      <c r="V834" s="1629"/>
      <c r="W834" s="1271"/>
      <c r="X834" s="1271"/>
      <c r="Y834" s="1271"/>
      <c r="GT834" s="1512"/>
      <c r="GY834" s="1512"/>
      <c r="GZ834" s="1512"/>
      <c r="HA834" s="1512"/>
      <c r="HB834" s="1512"/>
      <c r="HC834" s="1512"/>
      <c r="HD834" s="1512"/>
      <c r="HE834" s="1512"/>
      <c r="HF834" s="1512"/>
      <c r="HG834" s="1512"/>
      <c r="HH834" s="1512"/>
      <c r="HI834" s="1512"/>
      <c r="HJ834" s="1512"/>
      <c r="HK834" s="1512"/>
      <c r="HL834" s="1512"/>
      <c r="HM834" s="1512"/>
      <c r="HN834" s="1512"/>
      <c r="HO834" s="1512"/>
      <c r="HP834" s="1512"/>
      <c r="HQ834" s="1512"/>
      <c r="HR834" s="1512"/>
      <c r="HS834" s="1512"/>
      <c r="HT834" s="1512"/>
      <c r="HU834" s="1512"/>
      <c r="HV834" s="1512"/>
      <c r="HW834" s="1512"/>
      <c r="HX834" s="1512"/>
      <c r="HY834" s="1512"/>
      <c r="HZ834" s="1512"/>
      <c r="IA834" s="1512"/>
      <c r="IB834" s="1512"/>
      <c r="IC834" s="1512"/>
      <c r="ID834" s="1512"/>
      <c r="IK834" s="521"/>
      <c r="JA834" s="521"/>
      <c r="JB834" s="521"/>
    </row>
    <row r="835" spans="2:262" s="518" customFormat="1" ht="15.6" customHeight="1">
      <c r="B835" s="518" t="s">
        <v>2433</v>
      </c>
      <c r="D835" s="1753"/>
      <c r="F835" s="1734">
        <f>'Part VI-Revenues &amp; Expenses'!F174</f>
        <v>0</v>
      </c>
      <c r="G835" s="1734"/>
      <c r="I835" s="1752" t="str">
        <f>'Part VI-Revenues &amp; Expenses'!I174</f>
        <v>Credit Reports</v>
      </c>
      <c r="J835" s="1752"/>
      <c r="K835" s="1734">
        <f>'Part VI-Revenues &amp; Expenses'!K174</f>
        <v>2500</v>
      </c>
      <c r="L835" s="1734"/>
      <c r="N835" s="1757"/>
      <c r="O835" s="1757"/>
      <c r="P835" s="1757"/>
      <c r="Q835" s="1723"/>
      <c r="U835" s="1629"/>
      <c r="V835" s="1629"/>
      <c r="W835" s="1271"/>
      <c r="X835" s="1271"/>
      <c r="Y835" s="1271"/>
      <c r="GT835" s="1512"/>
      <c r="GY835" s="1512"/>
      <c r="GZ835" s="1512"/>
      <c r="HA835" s="1512"/>
      <c r="HB835" s="1512"/>
      <c r="HC835" s="1512"/>
      <c r="HD835" s="1512"/>
      <c r="HE835" s="1512"/>
      <c r="HF835" s="1512"/>
      <c r="HG835" s="1512"/>
      <c r="HH835" s="1512"/>
      <c r="HI835" s="1512"/>
      <c r="HJ835" s="1512"/>
      <c r="HK835" s="1512"/>
      <c r="HL835" s="1512"/>
      <c r="HM835" s="1512"/>
      <c r="HN835" s="1512"/>
      <c r="HO835" s="1512"/>
      <c r="HP835" s="1512"/>
      <c r="HQ835" s="1512"/>
      <c r="HR835" s="1512"/>
      <c r="HS835" s="1512"/>
      <c r="HT835" s="1512"/>
      <c r="HU835" s="1512"/>
      <c r="HV835" s="1512"/>
      <c r="HW835" s="1512"/>
      <c r="HX835" s="1512"/>
      <c r="HY835" s="1512"/>
      <c r="HZ835" s="1512"/>
      <c r="IA835" s="1512"/>
      <c r="IB835" s="1512"/>
      <c r="IC835" s="1512"/>
      <c r="ID835" s="1512"/>
      <c r="IK835" s="521"/>
      <c r="JA835" s="521"/>
      <c r="JB835" s="521"/>
    </row>
    <row r="836" spans="2:262" s="518" customFormat="1" ht="15.6" customHeight="1">
      <c r="B836" s="518" t="s">
        <v>1668</v>
      </c>
      <c r="D836" s="1753"/>
      <c r="F836" s="1734">
        <f>'Part VI-Revenues &amp; Expenses'!F175</f>
        <v>0</v>
      </c>
      <c r="G836" s="1734"/>
      <c r="I836" s="521"/>
      <c r="J836" s="1751" t="s">
        <v>198</v>
      </c>
      <c r="K836" s="1746">
        <f>SUM(K832:K835)</f>
        <v>30500</v>
      </c>
      <c r="L836" s="1746"/>
      <c r="U836" s="1629"/>
      <c r="V836" s="1629"/>
      <c r="W836" s="1271"/>
      <c r="X836" s="1271"/>
      <c r="Y836" s="1271"/>
      <c r="GT836" s="1512"/>
      <c r="GY836" s="1512"/>
      <c r="GZ836" s="1512"/>
      <c r="HA836" s="1512"/>
      <c r="HB836" s="1512"/>
      <c r="HC836" s="1512"/>
      <c r="HD836" s="1512"/>
      <c r="HE836" s="1512"/>
      <c r="HF836" s="1512"/>
      <c r="HG836" s="1512"/>
      <c r="HH836" s="1512"/>
      <c r="HI836" s="1512"/>
      <c r="HJ836" s="1512"/>
      <c r="HK836" s="1512"/>
      <c r="HL836" s="1512"/>
      <c r="HM836" s="1512"/>
      <c r="HN836" s="1512"/>
      <c r="HO836" s="1512"/>
      <c r="HP836" s="1512"/>
      <c r="HQ836" s="1512"/>
      <c r="HR836" s="1512"/>
      <c r="HS836" s="1512"/>
      <c r="HT836" s="1512"/>
      <c r="HU836" s="1512"/>
      <c r="HV836" s="1512"/>
      <c r="HW836" s="1512"/>
      <c r="HX836" s="1512"/>
      <c r="HY836" s="1512"/>
      <c r="HZ836" s="1512"/>
      <c r="IA836" s="1512"/>
      <c r="IB836" s="1512"/>
      <c r="IC836" s="1512"/>
      <c r="ID836" s="1512"/>
      <c r="IK836" s="521"/>
      <c r="JA836" s="521"/>
      <c r="JB836" s="521"/>
    </row>
    <row r="837" spans="2:262" s="518" customFormat="1" ht="15.6" customHeight="1">
      <c r="B837" s="519" t="str">
        <f>'Part VI-Revenues &amp; Expenses'!B176</f>
        <v>Other Admin, Software, Compliance Fee</v>
      </c>
      <c r="C837" s="519"/>
      <c r="D837" s="519"/>
      <c r="E837" s="519"/>
      <c r="F837" s="1734">
        <f>'Part VI-Revenues &amp; Expenses'!F176</f>
        <v>11700</v>
      </c>
      <c r="G837" s="1734"/>
      <c r="J837" s="1722"/>
      <c r="N837" s="521" t="s">
        <v>2275</v>
      </c>
      <c r="P837" s="1746">
        <f>F829+F838+F849+K827+K836+K846+P828+P831</f>
        <v>771236</v>
      </c>
      <c r="Q837" s="1746"/>
      <c r="U837" s="1629">
        <f>'Part VI-Revenues &amp; Expenses'!U176</f>
        <v>0</v>
      </c>
      <c r="V837" s="1629"/>
      <c r="W837" s="1271"/>
      <c r="X837" s="1271"/>
      <c r="Y837" s="1271"/>
      <c r="GT837" s="1512"/>
      <c r="GY837" s="1512"/>
      <c r="GZ837" s="1512"/>
      <c r="HA837" s="1512"/>
      <c r="HB837" s="1512"/>
      <c r="HC837" s="1512"/>
      <c r="HD837" s="1512"/>
      <c r="HE837" s="1512"/>
      <c r="HF837" s="1512"/>
      <c r="HG837" s="1512"/>
      <c r="HH837" s="1512"/>
      <c r="HI837" s="1512"/>
      <c r="HJ837" s="1512"/>
      <c r="HK837" s="1512"/>
      <c r="HL837" s="1512"/>
      <c r="HM837" s="1512"/>
      <c r="HN837" s="1512"/>
      <c r="HO837" s="1512"/>
      <c r="HP837" s="1512"/>
      <c r="HQ837" s="1512"/>
      <c r="HR837" s="1512"/>
      <c r="HS837" s="1512"/>
      <c r="HT837" s="1512"/>
      <c r="HU837" s="1512"/>
      <c r="HV837" s="1512"/>
      <c r="HW837" s="1512"/>
      <c r="HX837" s="1512"/>
      <c r="HY837" s="1512"/>
      <c r="HZ837" s="1512"/>
      <c r="IA837" s="1512"/>
      <c r="IB837" s="1512"/>
      <c r="IC837" s="1512"/>
      <c r="ID837" s="1512"/>
      <c r="IK837" s="521"/>
      <c r="JA837" s="521"/>
      <c r="JB837" s="521"/>
    </row>
    <row r="838" spans="2:262" s="518" customFormat="1" ht="15.6" customHeight="1">
      <c r="C838" s="1751" t="s">
        <v>198</v>
      </c>
      <c r="F838" s="1734">
        <f>SUM(F832:G837)</f>
        <v>26100</v>
      </c>
      <c r="G838" s="1734"/>
      <c r="J838" s="1722"/>
      <c r="N838" s="1755">
        <f>+P837/O723</f>
        <v>4760.7160493827159</v>
      </c>
      <c r="O838" s="1756" t="s">
        <v>2958</v>
      </c>
      <c r="U838" s="1629"/>
      <c r="V838" s="1629"/>
      <c r="W838" s="1271"/>
      <c r="X838" s="1271"/>
      <c r="Y838" s="1271"/>
      <c r="GT838" s="1512"/>
      <c r="GY838" s="1512"/>
      <c r="GZ838" s="1512"/>
      <c r="HA838" s="1512"/>
      <c r="HB838" s="1512"/>
      <c r="HC838" s="1512"/>
      <c r="HD838" s="1512"/>
      <c r="HE838" s="1512"/>
      <c r="HF838" s="1512"/>
      <c r="HG838" s="1512"/>
      <c r="HH838" s="1512"/>
      <c r="HI838" s="1512"/>
      <c r="HJ838" s="1512"/>
      <c r="HK838" s="1512"/>
      <c r="HL838" s="1512"/>
      <c r="HM838" s="1512"/>
      <c r="HN838" s="1512"/>
      <c r="HO838" s="1512"/>
      <c r="HP838" s="1512"/>
      <c r="HQ838" s="1512"/>
      <c r="HR838" s="1512"/>
      <c r="HS838" s="1512"/>
      <c r="HT838" s="1512"/>
      <c r="HU838" s="1512"/>
      <c r="HV838" s="1512"/>
      <c r="HW838" s="1512"/>
      <c r="HX838" s="1512"/>
      <c r="HY838" s="1512"/>
      <c r="HZ838" s="1512"/>
      <c r="IA838" s="1512"/>
      <c r="IB838" s="1512"/>
      <c r="IC838" s="1512"/>
      <c r="ID838" s="1512"/>
      <c r="IK838" s="521"/>
      <c r="JA838" s="521"/>
      <c r="JB838" s="521"/>
    </row>
    <row r="839" spans="2:262" s="518" customFormat="1" ht="6" customHeight="1">
      <c r="D839" s="1751"/>
      <c r="F839" s="1722"/>
      <c r="G839" s="1722"/>
      <c r="J839" s="1722"/>
      <c r="U839" s="1629"/>
      <c r="V839" s="1629"/>
      <c r="GT839" s="1512"/>
      <c r="GY839" s="1512"/>
      <c r="GZ839" s="1512"/>
      <c r="HA839" s="1512"/>
      <c r="HB839" s="1512"/>
      <c r="HC839" s="1512"/>
      <c r="HD839" s="1512"/>
      <c r="HE839" s="1512"/>
      <c r="HF839" s="1512"/>
      <c r="HG839" s="1512"/>
      <c r="HH839" s="1512"/>
      <c r="HI839" s="1512"/>
      <c r="HJ839" s="1512"/>
      <c r="HK839" s="1512"/>
      <c r="HL839" s="1512"/>
      <c r="HM839" s="1512"/>
      <c r="HN839" s="1512"/>
      <c r="HO839" s="1512"/>
      <c r="HP839" s="1512"/>
      <c r="HQ839" s="1512"/>
      <c r="HR839" s="1512"/>
      <c r="HS839" s="1512"/>
      <c r="HT839" s="1512"/>
      <c r="HU839" s="1512"/>
      <c r="HV839" s="1512"/>
      <c r="HW839" s="1512"/>
      <c r="HX839" s="1512"/>
      <c r="HY839" s="1512"/>
      <c r="HZ839" s="1512"/>
      <c r="IA839" s="1512"/>
      <c r="IB839" s="1512"/>
      <c r="IC839" s="1512"/>
      <c r="ID839" s="1512"/>
      <c r="IK839" s="521"/>
      <c r="JA839" s="521"/>
      <c r="JB839" s="521"/>
    </row>
    <row r="840" spans="2:262" s="518" customFormat="1" ht="15.75" customHeight="1">
      <c r="B840" s="521" t="s">
        <v>1349</v>
      </c>
      <c r="D840" s="1753"/>
      <c r="I840" s="521" t="s">
        <v>1432</v>
      </c>
      <c r="J840" s="1531" t="s">
        <v>2955</v>
      </c>
      <c r="N840" s="521" t="s">
        <v>3970</v>
      </c>
      <c r="O840" s="521"/>
      <c r="P840" s="1754">
        <f>P841*O723</f>
        <v>40500</v>
      </c>
      <c r="Q840" s="1754"/>
      <c r="U840" s="1629"/>
      <c r="V840" s="1629"/>
      <c r="W840" s="1271"/>
      <c r="X840" s="1271"/>
      <c r="Y840" s="1271"/>
      <c r="GT840" s="1512"/>
      <c r="GY840" s="1512"/>
      <c r="GZ840" s="1512"/>
      <c r="HA840" s="1512"/>
      <c r="HB840" s="1512"/>
      <c r="HC840" s="1512"/>
      <c r="HD840" s="1512"/>
      <c r="HE840" s="1512"/>
      <c r="HF840" s="1512"/>
      <c r="HG840" s="1512"/>
      <c r="HH840" s="1512"/>
      <c r="HI840" s="1512"/>
      <c r="HJ840" s="1512"/>
      <c r="HK840" s="1512"/>
      <c r="HL840" s="1512"/>
      <c r="HM840" s="1512"/>
      <c r="HN840" s="1512"/>
      <c r="HO840" s="1512"/>
      <c r="HP840" s="1512"/>
      <c r="HQ840" s="1512"/>
      <c r="HR840" s="1512"/>
      <c r="HS840" s="1512"/>
      <c r="HT840" s="1512"/>
      <c r="HU840" s="1512"/>
      <c r="HV840" s="1512"/>
      <c r="HW840" s="1512"/>
      <c r="HX840" s="1512"/>
      <c r="HY840" s="1512"/>
      <c r="HZ840" s="1512"/>
      <c r="IA840" s="1512"/>
      <c r="IB840" s="1512"/>
      <c r="IC840" s="1512"/>
      <c r="ID840" s="1512"/>
      <c r="IK840" s="521"/>
      <c r="JA840" s="521"/>
      <c r="JB840" s="521"/>
    </row>
    <row r="841" spans="2:262" s="518" customFormat="1" ht="15.6" customHeight="1">
      <c r="B841" s="518" t="s">
        <v>1672</v>
      </c>
      <c r="D841" s="1753"/>
      <c r="F841" s="1734">
        <f>'Part VI-Revenues &amp; Expenses'!F180</f>
        <v>20000</v>
      </c>
      <c r="G841" s="1734"/>
      <c r="I841" s="518" t="s">
        <v>1425</v>
      </c>
      <c r="J841" s="1658">
        <f>K841/12/O723</f>
        <v>35.853909465020571</v>
      </c>
      <c r="K841" s="1734">
        <f>'Part VI-Revenues &amp; Expenses'!K180</f>
        <v>69700</v>
      </c>
      <c r="L841" s="1734"/>
      <c r="N841" s="522" t="s">
        <v>3971</v>
      </c>
      <c r="P841" s="1758">
        <f>'Part VI-Revenues &amp; Expenses'!P180</f>
        <v>250</v>
      </c>
      <c r="Q841" s="1759"/>
      <c r="U841" s="1629"/>
      <c r="V841" s="1629"/>
      <c r="W841" s="1271"/>
      <c r="X841" s="1271"/>
      <c r="Y841" s="1271"/>
      <c r="GT841" s="1512"/>
      <c r="GY841" s="1512"/>
      <c r="GZ841" s="1512"/>
      <c r="HA841" s="1512"/>
      <c r="HB841" s="1512"/>
      <c r="HC841" s="1512"/>
      <c r="HD841" s="1512"/>
      <c r="HE841" s="1512"/>
      <c r="HF841" s="1512"/>
      <c r="HG841" s="1512"/>
      <c r="HH841" s="1512"/>
      <c r="HI841" s="1512"/>
      <c r="HJ841" s="1512"/>
      <c r="HK841" s="1512"/>
      <c r="HL841" s="1512"/>
      <c r="HM841" s="1512"/>
      <c r="HN841" s="1512"/>
      <c r="HO841" s="1512"/>
      <c r="HP841" s="1512"/>
      <c r="HQ841" s="1512"/>
      <c r="HR841" s="1512"/>
      <c r="HS841" s="1512"/>
      <c r="HT841" s="1512"/>
      <c r="HU841" s="1512"/>
      <c r="HV841" s="1512"/>
      <c r="HW841" s="1512"/>
      <c r="HX841" s="1512"/>
      <c r="HY841" s="1512"/>
      <c r="HZ841" s="1512"/>
      <c r="IA841" s="1512"/>
      <c r="IB841" s="1512"/>
      <c r="IC841" s="1512"/>
      <c r="ID841" s="1512"/>
      <c r="IK841" s="521"/>
      <c r="JA841" s="521"/>
      <c r="JB841" s="521"/>
    </row>
    <row r="842" spans="2:262" s="518" customFormat="1" ht="15.6" customHeight="1">
      <c r="B842" s="518" t="s">
        <v>1673</v>
      </c>
      <c r="D842" s="1753"/>
      <c r="F842" s="1734">
        <f>'Part VI-Revenues &amp; Expenses'!F181</f>
        <v>15000</v>
      </c>
      <c r="G842" s="1734"/>
      <c r="I842" s="518" t="s">
        <v>1426</v>
      </c>
      <c r="J842" s="1658">
        <f>K842/12/O723</f>
        <v>0</v>
      </c>
      <c r="K842" s="1734">
        <f>'Part VI-Revenues &amp; Expenses'!K181</f>
        <v>0</v>
      </c>
      <c r="L842" s="1734"/>
      <c r="N842" s="1760">
        <f>ROUND(P849/O723,0)</f>
        <v>250</v>
      </c>
      <c r="O842" s="1756" t="s">
        <v>2958</v>
      </c>
      <c r="R842" s="1761"/>
      <c r="U842" s="1629"/>
      <c r="V842" s="1629"/>
      <c r="W842" s="1271"/>
      <c r="X842" s="1271"/>
      <c r="Y842" s="1271"/>
      <c r="GT842" s="1512"/>
      <c r="GY842" s="1512"/>
      <c r="GZ842" s="1512"/>
      <c r="HA842" s="1512"/>
      <c r="HB842" s="1512"/>
      <c r="HC842" s="1512"/>
      <c r="HD842" s="1512"/>
      <c r="HE842" s="1512"/>
      <c r="HF842" s="1512"/>
      <c r="HG842" s="1512"/>
      <c r="HH842" s="1512"/>
      <c r="HI842" s="1512"/>
      <c r="HJ842" s="1512"/>
      <c r="HK842" s="1512"/>
      <c r="HL842" s="1512"/>
      <c r="HM842" s="1512"/>
      <c r="HN842" s="1512"/>
      <c r="HO842" s="1512"/>
      <c r="HP842" s="1512"/>
      <c r="HQ842" s="1512"/>
      <c r="HR842" s="1512"/>
      <c r="HS842" s="1512"/>
      <c r="HT842" s="1512"/>
      <c r="HU842" s="1512"/>
      <c r="HV842" s="1512"/>
      <c r="HW842" s="1512"/>
      <c r="HX842" s="1512"/>
      <c r="HY842" s="1512"/>
      <c r="HZ842" s="1512"/>
      <c r="IA842" s="1512"/>
      <c r="IB842" s="1512"/>
      <c r="IC842" s="1512"/>
      <c r="ID842" s="1512"/>
      <c r="IK842" s="521"/>
      <c r="JA842" s="521"/>
      <c r="JB842" s="521"/>
    </row>
    <row r="843" spans="2:262" s="518" customFormat="1" ht="15.6" customHeight="1">
      <c r="B843" s="518" t="s">
        <v>1674</v>
      </c>
      <c r="D843" s="1753"/>
      <c r="F843" s="1734">
        <f>'Part VI-Revenues &amp; Expenses'!F182</f>
        <v>15000</v>
      </c>
      <c r="G843" s="1734"/>
      <c r="I843" s="518" t="s">
        <v>2445</v>
      </c>
      <c r="J843" s="1658">
        <f>K843/12/O723</f>
        <v>72.016460905349788</v>
      </c>
      <c r="K843" s="1734">
        <f>'Part VI-Revenues &amp; Expenses'!K182</f>
        <v>140000</v>
      </c>
      <c r="L843" s="1734"/>
      <c r="N843" s="1761" t="s">
        <v>2844</v>
      </c>
      <c r="O843" s="1762" t="s">
        <v>3827</v>
      </c>
      <c r="P843" s="1762" t="s">
        <v>3828</v>
      </c>
      <c r="Q843" s="1762"/>
      <c r="U843" s="1629"/>
      <c r="V843" s="1629"/>
      <c r="W843" s="1271"/>
      <c r="X843" s="1271"/>
      <c r="Y843" s="1271"/>
      <c r="GT843" s="1512"/>
      <c r="GY843" s="1512"/>
      <c r="GZ843" s="1512"/>
      <c r="HA843" s="1512"/>
      <c r="HB843" s="1512"/>
      <c r="HC843" s="1512"/>
      <c r="HD843" s="1512"/>
      <c r="HE843" s="1512"/>
      <c r="HF843" s="1512"/>
      <c r="HG843" s="1512"/>
      <c r="HH843" s="1512"/>
      <c r="HI843" s="1512"/>
      <c r="HJ843" s="1512"/>
      <c r="HK843" s="1512"/>
      <c r="HL843" s="1512"/>
      <c r="HM843" s="1512"/>
      <c r="HN843" s="1512"/>
      <c r="HO843" s="1512"/>
      <c r="HP843" s="1512"/>
      <c r="HQ843" s="1512"/>
      <c r="HR843" s="1512"/>
      <c r="HS843" s="1512"/>
      <c r="HT843" s="1512"/>
      <c r="HU843" s="1512"/>
      <c r="HV843" s="1512"/>
      <c r="HW843" s="1512"/>
      <c r="HX843" s="1512"/>
      <c r="HY843" s="1512"/>
      <c r="HZ843" s="1512"/>
      <c r="IA843" s="1512"/>
      <c r="IB843" s="1512"/>
      <c r="IC843" s="1512"/>
      <c r="ID843" s="1512"/>
      <c r="IK843" s="521"/>
      <c r="JA843" s="521"/>
      <c r="JB843" s="521"/>
    </row>
    <row r="844" spans="2:262" s="518" customFormat="1" ht="15.6" customHeight="1">
      <c r="B844" s="518" t="s">
        <v>1046</v>
      </c>
      <c r="D844" s="1753"/>
      <c r="F844" s="1734">
        <f>'Part VI-Revenues &amp; Expenses'!F183</f>
        <v>4800</v>
      </c>
      <c r="G844" s="1734"/>
      <c r="I844" s="518" t="s">
        <v>1428</v>
      </c>
      <c r="K844" s="1734">
        <f>'Part VI-Revenues &amp; Expenses'!K183</f>
        <v>25000</v>
      </c>
      <c r="L844" s="1734"/>
      <c r="N844" s="1763" t="s">
        <v>41</v>
      </c>
      <c r="U844" s="1629"/>
      <c r="V844" s="1629"/>
      <c r="W844" s="1271"/>
      <c r="X844" s="1271"/>
      <c r="Y844" s="1271"/>
      <c r="GT844" s="1512"/>
      <c r="GY844" s="1512"/>
      <c r="GZ844" s="1512"/>
      <c r="HA844" s="1512"/>
      <c r="HB844" s="1512"/>
      <c r="HC844" s="1512"/>
      <c r="HD844" s="1512"/>
      <c r="HE844" s="1512"/>
      <c r="HF844" s="1512"/>
      <c r="HG844" s="1512"/>
      <c r="HH844" s="1512"/>
      <c r="HI844" s="1512"/>
      <c r="HJ844" s="1512"/>
      <c r="HK844" s="1512"/>
      <c r="HL844" s="1512"/>
      <c r="HM844" s="1512"/>
      <c r="HN844" s="1512"/>
      <c r="HO844" s="1512"/>
      <c r="HP844" s="1512"/>
      <c r="HQ844" s="1512"/>
      <c r="HR844" s="1512"/>
      <c r="HS844" s="1512"/>
      <c r="HT844" s="1512"/>
      <c r="HU844" s="1512"/>
      <c r="HV844" s="1512"/>
      <c r="HW844" s="1512"/>
      <c r="HX844" s="1512"/>
      <c r="HY844" s="1512"/>
      <c r="HZ844" s="1512"/>
      <c r="IA844" s="1512"/>
      <c r="IB844" s="1512"/>
      <c r="IC844" s="1512"/>
      <c r="ID844" s="1512"/>
      <c r="IK844" s="521"/>
      <c r="JA844" s="521"/>
      <c r="JB844" s="521"/>
    </row>
    <row r="845" spans="2:262" s="518" customFormat="1" ht="15.6" customHeight="1">
      <c r="B845" s="518" t="s">
        <v>1047</v>
      </c>
      <c r="D845" s="1753"/>
      <c r="F845" s="1734">
        <f>'Part VI-Revenues &amp; Expenses'!F184</f>
        <v>8000</v>
      </c>
      <c r="G845" s="1734"/>
      <c r="I845" s="1752" t="str">
        <f>'Part VI-Revenues &amp; Expenses'!I184</f>
        <v>Other (describe here)</v>
      </c>
      <c r="J845" s="1752"/>
      <c r="K845" s="1734">
        <f>'Part VI-Revenues &amp; Expenses'!K184</f>
        <v>0</v>
      </c>
      <c r="L845" s="1734"/>
      <c r="N845" s="1532" t="s">
        <v>3819</v>
      </c>
      <c r="O845" s="1764" t="str">
        <f>CONCATENATE(SUM(JC709:JG709)," units x $",'DCA Underwriting Assumptions'!$Q$62," =")</f>
        <v>0 units x $350 =</v>
      </c>
      <c r="P845" s="1764">
        <f>SUM(JC709:JG709)*'DCA Underwriting Assumptions'!$Q$62</f>
        <v>0</v>
      </c>
      <c r="Q845" s="1764"/>
      <c r="U845" s="1629"/>
      <c r="V845" s="1629"/>
      <c r="W845" s="1271"/>
      <c r="X845" s="1271"/>
      <c r="Y845" s="1271"/>
      <c r="GT845" s="1512"/>
      <c r="GY845" s="1512"/>
      <c r="GZ845" s="1512"/>
      <c r="HA845" s="1512"/>
      <c r="HB845" s="1512"/>
      <c r="HC845" s="1512"/>
      <c r="HD845" s="1512"/>
      <c r="HE845" s="1512"/>
      <c r="HF845" s="1512"/>
      <c r="HG845" s="1512"/>
      <c r="HH845" s="1512"/>
      <c r="HI845" s="1512"/>
      <c r="HJ845" s="1512"/>
      <c r="HK845" s="1512"/>
      <c r="HL845" s="1512"/>
      <c r="HM845" s="1512"/>
      <c r="HN845" s="1512"/>
      <c r="HO845" s="1512"/>
      <c r="HP845" s="1512"/>
      <c r="HQ845" s="1512"/>
      <c r="HR845" s="1512"/>
      <c r="HS845" s="1512"/>
      <c r="HT845" s="1512"/>
      <c r="HU845" s="1512"/>
      <c r="HV845" s="1512"/>
      <c r="HW845" s="1512"/>
      <c r="HX845" s="1512"/>
      <c r="HY845" s="1512"/>
      <c r="HZ845" s="1512"/>
      <c r="IA845" s="1512"/>
      <c r="IB845" s="1512"/>
      <c r="IC845" s="1512"/>
      <c r="ID845" s="1512"/>
      <c r="IK845" s="521"/>
      <c r="JA845" s="521"/>
      <c r="JB845" s="521"/>
    </row>
    <row r="846" spans="2:262" s="518" customFormat="1" ht="15.6" customHeight="1">
      <c r="B846" s="518" t="s">
        <v>1048</v>
      </c>
      <c r="D846" s="1753"/>
      <c r="F846" s="1734">
        <f>'Part VI-Revenues &amp; Expenses'!F185</f>
        <v>12000</v>
      </c>
      <c r="G846" s="1734"/>
      <c r="J846" s="1751" t="s">
        <v>198</v>
      </c>
      <c r="K846" s="1746">
        <f>SUM(K841:K845)</f>
        <v>234700</v>
      </c>
      <c r="L846" s="1746"/>
      <c r="N846" s="1532" t="s">
        <v>3818</v>
      </c>
      <c r="O846" s="1764" t="str">
        <f>CONCATENATE(SUM(JH709:JL709)," units x $",'DCA Underwriting Assumptions'!$Q$63," =")</f>
        <v>162 units x $250 =</v>
      </c>
      <c r="P846" s="1764">
        <f>SUM(JH709:JL709)*'DCA Underwriting Assumptions'!$Q$63</f>
        <v>40500</v>
      </c>
      <c r="Q846" s="1764"/>
      <c r="U846" s="1629"/>
      <c r="V846" s="1629"/>
      <c r="W846" s="1271"/>
      <c r="X846" s="1271"/>
      <c r="Y846" s="1271"/>
      <c r="GT846" s="1512"/>
      <c r="GY846" s="1512"/>
      <c r="GZ846" s="1512"/>
      <c r="HA846" s="1512"/>
      <c r="HB846" s="1512"/>
      <c r="HC846" s="1512"/>
      <c r="HD846" s="1512"/>
      <c r="HE846" s="1512"/>
      <c r="HF846" s="1512"/>
      <c r="HG846" s="1512"/>
      <c r="HH846" s="1512"/>
      <c r="HI846" s="1512"/>
      <c r="HJ846" s="1512"/>
      <c r="HK846" s="1512"/>
      <c r="HL846" s="1512"/>
      <c r="HM846" s="1512"/>
      <c r="HN846" s="1512"/>
      <c r="HO846" s="1512"/>
      <c r="HP846" s="1512"/>
      <c r="HQ846" s="1512"/>
      <c r="HR846" s="1512"/>
      <c r="HS846" s="1512"/>
      <c r="HT846" s="1512"/>
      <c r="HU846" s="1512"/>
      <c r="HV846" s="1512"/>
      <c r="HW846" s="1512"/>
      <c r="HX846" s="1512"/>
      <c r="HY846" s="1512"/>
      <c r="HZ846" s="1512"/>
      <c r="IA846" s="1512"/>
      <c r="IB846" s="1512"/>
      <c r="IC846" s="1512"/>
      <c r="ID846" s="1512"/>
      <c r="IK846" s="521"/>
      <c r="JA846" s="521"/>
      <c r="JB846" s="521"/>
    </row>
    <row r="847" spans="2:262" s="518" customFormat="1" ht="15.6" customHeight="1">
      <c r="B847" s="518" t="s">
        <v>907</v>
      </c>
      <c r="D847" s="1753"/>
      <c r="F847" s="1734">
        <f>'Part VI-Revenues &amp; Expenses'!F186</f>
        <v>7920</v>
      </c>
      <c r="G847" s="1734"/>
      <c r="J847" s="1722"/>
      <c r="N847" s="1672" t="s">
        <v>3822</v>
      </c>
      <c r="O847" s="1764" t="str">
        <f>CONCATENATE(SUM(JM709:JQ709)," units x $",'DCA Underwriting Assumptions'!$Q$64," =")</f>
        <v>0 units x $420 =</v>
      </c>
      <c r="P847" s="1764">
        <f>SUM(JM709:JQ709)*'DCA Underwriting Assumptions'!$Q$64</f>
        <v>0</v>
      </c>
      <c r="Q847" s="1764"/>
      <c r="U847" s="1629"/>
      <c r="V847" s="1629"/>
      <c r="W847" s="1271"/>
      <c r="X847" s="1271"/>
      <c r="Y847" s="1271"/>
      <c r="GT847" s="1512"/>
      <c r="GY847" s="1512"/>
      <c r="GZ847" s="1512"/>
      <c r="HA847" s="1512"/>
      <c r="HB847" s="1512"/>
      <c r="HC847" s="1512"/>
      <c r="HD847" s="1512"/>
      <c r="HE847" s="1512"/>
      <c r="HF847" s="1512"/>
      <c r="HG847" s="1512"/>
      <c r="HH847" s="1512"/>
      <c r="HI847" s="1512"/>
      <c r="HJ847" s="1512"/>
      <c r="HK847" s="1512"/>
      <c r="HL847" s="1512"/>
      <c r="HM847" s="1512"/>
      <c r="HN847" s="1512"/>
      <c r="HO847" s="1512"/>
      <c r="HP847" s="1512"/>
      <c r="HQ847" s="1512"/>
      <c r="HR847" s="1512"/>
      <c r="HS847" s="1512"/>
      <c r="HT847" s="1512"/>
      <c r="HU847" s="1512"/>
      <c r="HV847" s="1512"/>
      <c r="HW847" s="1512"/>
      <c r="HX847" s="1512"/>
      <c r="HY847" s="1512"/>
      <c r="HZ847" s="1512"/>
      <c r="IA847" s="1512"/>
      <c r="IB847" s="1512"/>
      <c r="IC847" s="1512"/>
      <c r="ID847" s="1512"/>
      <c r="IK847" s="521"/>
      <c r="JA847" s="521"/>
      <c r="JB847" s="521"/>
    </row>
    <row r="848" spans="2:262" s="518" customFormat="1" ht="15.6" customHeight="1">
      <c r="B848" s="519" t="str">
        <f>'Part VI-Revenues &amp; Expenses'!B187</f>
        <v>Other (describe here)</v>
      </c>
      <c r="C848" s="519"/>
      <c r="D848" s="519"/>
      <c r="E848" s="519"/>
      <c r="F848" s="1734">
        <f>'Part VI-Revenues &amp; Expenses'!F187</f>
        <v>0</v>
      </c>
      <c r="G848" s="1734"/>
      <c r="J848" s="1722"/>
      <c r="N848" s="1672" t="s">
        <v>3817</v>
      </c>
      <c r="O848" s="1764" t="str">
        <f>CONCATENATE(O745," units x $",'DCA Underwriting Assumptions'!$Q$64," =")</f>
        <v>0 units x $420 =</v>
      </c>
      <c r="P848" s="1764">
        <f>O745*'DCA Underwriting Assumptions'!$Q$64</f>
        <v>0</v>
      </c>
      <c r="Q848" s="1764"/>
      <c r="U848" s="1629"/>
      <c r="V848" s="1629"/>
      <c r="W848" s="1271"/>
      <c r="X848" s="1271"/>
      <c r="Y848" s="1271"/>
      <c r="GT848" s="1512"/>
      <c r="GY848" s="1512"/>
      <c r="GZ848" s="1512"/>
      <c r="HA848" s="1512"/>
      <c r="HB848" s="1512"/>
      <c r="HC848" s="1512"/>
      <c r="HD848" s="1512"/>
      <c r="HE848" s="1512"/>
      <c r="HF848" s="1512"/>
      <c r="HG848" s="1512"/>
      <c r="HH848" s="1512"/>
      <c r="HI848" s="1512"/>
      <c r="HJ848" s="1512"/>
      <c r="HK848" s="1512"/>
      <c r="HL848" s="1512"/>
      <c r="HM848" s="1512"/>
      <c r="HN848" s="1512"/>
      <c r="HO848" s="1512"/>
      <c r="HP848" s="1512"/>
      <c r="HQ848" s="1512"/>
      <c r="HR848" s="1512"/>
      <c r="HS848" s="1512"/>
      <c r="HT848" s="1512"/>
      <c r="HU848" s="1512"/>
      <c r="HV848" s="1512"/>
      <c r="HW848" s="1512"/>
      <c r="HX848" s="1512"/>
      <c r="HY848" s="1512"/>
      <c r="HZ848" s="1512"/>
      <c r="IA848" s="1512"/>
      <c r="IB848" s="1512"/>
      <c r="IC848" s="1512"/>
      <c r="ID848" s="1512"/>
      <c r="IK848" s="521"/>
      <c r="JA848" s="521"/>
      <c r="JB848" s="521"/>
    </row>
    <row r="849" spans="1:262" s="518" customFormat="1" ht="15.6" customHeight="1">
      <c r="B849" s="521"/>
      <c r="C849" s="1751" t="s">
        <v>198</v>
      </c>
      <c r="F849" s="1734">
        <f>SUM(F841:G848)</f>
        <v>82720</v>
      </c>
      <c r="G849" s="1734"/>
      <c r="J849" s="1722"/>
      <c r="N849" s="1765" t="s">
        <v>2847</v>
      </c>
      <c r="O849" s="1764">
        <f>SUM(JC709:JG709)+SUM(JH709:JL709)+SUM(JM709:JQ709)+O745</f>
        <v>162</v>
      </c>
      <c r="P849" s="1764">
        <f>SUM(P845:P848)</f>
        <v>40500</v>
      </c>
      <c r="Q849" s="1764"/>
      <c r="U849" s="1629"/>
      <c r="V849" s="1629"/>
      <c r="W849" s="1271"/>
      <c r="X849" s="1271"/>
      <c r="Y849" s="1271"/>
      <c r="GT849" s="1512"/>
      <c r="GY849" s="1512"/>
      <c r="GZ849" s="1512"/>
      <c r="HA849" s="1512"/>
      <c r="HB849" s="1512"/>
      <c r="HC849" s="1512"/>
      <c r="HD849" s="1512"/>
      <c r="HE849" s="1512"/>
      <c r="HF849" s="1512"/>
      <c r="HG849" s="1512"/>
      <c r="HH849" s="1512"/>
      <c r="HI849" s="1512"/>
      <c r="HJ849" s="1512"/>
      <c r="HK849" s="1512"/>
      <c r="HL849" s="1512"/>
      <c r="HM849" s="1512"/>
      <c r="HN849" s="1512"/>
      <c r="HO849" s="1512"/>
      <c r="HP849" s="1512"/>
      <c r="HQ849" s="1512"/>
      <c r="HR849" s="1512"/>
      <c r="HS849" s="1512"/>
      <c r="HT849" s="1512"/>
      <c r="HU849" s="1512"/>
      <c r="HV849" s="1512"/>
      <c r="HW849" s="1512"/>
      <c r="HX849" s="1512"/>
      <c r="HY849" s="1512"/>
      <c r="HZ849" s="1512"/>
      <c r="IA849" s="1512"/>
      <c r="IB849" s="1512"/>
      <c r="IC849" s="1512"/>
      <c r="ID849" s="1512"/>
      <c r="IK849" s="521"/>
      <c r="JA849" s="521"/>
      <c r="JB849" s="521"/>
    </row>
    <row r="850" spans="1:262" s="518" customFormat="1" ht="6" customHeight="1">
      <c r="B850" s="521"/>
      <c r="C850" s="1751"/>
      <c r="F850" s="1722"/>
      <c r="G850" s="1722"/>
      <c r="J850" s="1722"/>
      <c r="W850" s="1271"/>
      <c r="X850" s="1271"/>
      <c r="Y850" s="1271"/>
      <c r="GT850" s="1512"/>
      <c r="GY850" s="1512"/>
      <c r="GZ850" s="1512"/>
      <c r="HA850" s="1512"/>
      <c r="HB850" s="1512"/>
      <c r="HC850" s="1512"/>
      <c r="HD850" s="1512"/>
      <c r="HE850" s="1512"/>
      <c r="HF850" s="1512"/>
      <c r="HG850" s="1512"/>
      <c r="HH850" s="1512"/>
      <c r="HI850" s="1512"/>
      <c r="HJ850" s="1512"/>
      <c r="HK850" s="1512"/>
      <c r="HL850" s="1512"/>
      <c r="HM850" s="1512"/>
      <c r="HN850" s="1512"/>
      <c r="HO850" s="1512"/>
      <c r="HP850" s="1512"/>
      <c r="HQ850" s="1512"/>
      <c r="HR850" s="1512"/>
      <c r="HS850" s="1512"/>
      <c r="HT850" s="1512"/>
      <c r="HU850" s="1512"/>
      <c r="HV850" s="1512"/>
      <c r="HW850" s="1512"/>
      <c r="HX850" s="1512"/>
      <c r="HY850" s="1512"/>
      <c r="HZ850" s="1512"/>
      <c r="IA850" s="1512"/>
      <c r="IB850" s="1512"/>
      <c r="IC850" s="1512"/>
      <c r="ID850" s="1512"/>
      <c r="IK850" s="521"/>
      <c r="JA850" s="521"/>
      <c r="JB850" s="521"/>
    </row>
    <row r="851" spans="1:262" s="518" customFormat="1" ht="15.6" customHeight="1">
      <c r="B851" s="521"/>
      <c r="C851" s="1751"/>
      <c r="F851" s="1722"/>
      <c r="G851" s="1722"/>
      <c r="J851" s="1722"/>
      <c r="N851" s="521" t="s">
        <v>2276</v>
      </c>
      <c r="P851" s="1746">
        <f>P837+P840</f>
        <v>811736</v>
      </c>
      <c r="Q851" s="1746"/>
      <c r="W851" s="1271"/>
      <c r="X851" s="1271"/>
      <c r="Y851" s="1271"/>
      <c r="GT851" s="1512"/>
      <c r="GY851" s="1512"/>
      <c r="GZ851" s="1512"/>
      <c r="HA851" s="1512"/>
      <c r="HB851" s="1512"/>
      <c r="HC851" s="1512"/>
      <c r="HD851" s="1512"/>
      <c r="HE851" s="1512"/>
      <c r="HF851" s="1512"/>
      <c r="HG851" s="1512"/>
      <c r="HH851" s="1512"/>
      <c r="HI851" s="1512"/>
      <c r="HJ851" s="1512"/>
      <c r="HK851" s="1512"/>
      <c r="HL851" s="1512"/>
      <c r="HM851" s="1512"/>
      <c r="HN851" s="1512"/>
      <c r="HO851" s="1512"/>
      <c r="HP851" s="1512"/>
      <c r="HQ851" s="1512"/>
      <c r="HR851" s="1512"/>
      <c r="HS851" s="1512"/>
      <c r="HT851" s="1512"/>
      <c r="HU851" s="1512"/>
      <c r="HV851" s="1512"/>
      <c r="HW851" s="1512"/>
      <c r="HX851" s="1512"/>
      <c r="HY851" s="1512"/>
      <c r="HZ851" s="1512"/>
      <c r="IA851" s="1512"/>
      <c r="IB851" s="1512"/>
      <c r="IC851" s="1512"/>
      <c r="ID851" s="1512"/>
      <c r="IK851" s="521"/>
      <c r="JA851" s="521"/>
      <c r="JB851" s="521"/>
    </row>
    <row r="852" spans="1:262" ht="12" customHeight="1">
      <c r="A852" s="1522" t="s">
        <v>1870</v>
      </c>
      <c r="B852" s="1522" t="s">
        <v>599</v>
      </c>
      <c r="K852" s="1522" t="s">
        <v>555</v>
      </c>
      <c r="L852" s="1522" t="s">
        <v>1925</v>
      </c>
      <c r="GT852" s="1518"/>
      <c r="GY852" s="1518"/>
      <c r="GZ852" s="1518"/>
      <c r="HA852" s="1518"/>
      <c r="HB852" s="1518"/>
      <c r="HC852" s="1518"/>
      <c r="HD852" s="1518"/>
      <c r="HE852" s="1518"/>
      <c r="HF852" s="1518"/>
      <c r="HG852" s="1518"/>
      <c r="HH852" s="1518"/>
      <c r="HI852" s="1518"/>
      <c r="HJ852" s="1518"/>
      <c r="HK852" s="1518"/>
      <c r="HL852" s="1518"/>
      <c r="HM852" s="1518"/>
      <c r="HN852" s="1518"/>
      <c r="HO852" s="1518"/>
      <c r="HP852" s="1518"/>
      <c r="HQ852" s="1518"/>
      <c r="HR852" s="1518"/>
      <c r="HS852" s="1518"/>
      <c r="HT852" s="1518"/>
      <c r="HU852" s="1518"/>
      <c r="HV852" s="1518"/>
      <c r="HW852" s="1518"/>
      <c r="HX852" s="1518"/>
      <c r="HY852" s="1518"/>
      <c r="HZ852" s="1518"/>
      <c r="IA852" s="1518"/>
      <c r="IB852" s="1518"/>
      <c r="IC852" s="1518"/>
      <c r="ID852" s="1518"/>
      <c r="IK852" s="1522"/>
      <c r="JA852" s="1522"/>
      <c r="JB852" s="1522"/>
    </row>
    <row r="853" spans="1:262" ht="145.5" customHeight="1">
      <c r="A853" s="1596" t="str">
        <f>'Part VI-Revenues &amp; Expenses'!A192</f>
        <v>*To all Applicants: Real estate taxes shown in Operating Budget should be prior to any tax abatement.  Please provide methodology for real estate tax calculation.  
**To all Applicants: Please provide methodology for insurance calculation.  See Tab 1, item 6 for insurance calculation information. 
All units are PBRA units. The tenant paid portion of the rent will not exceed the maximum tax credit rent for that particular unit.  The tax calculation can be found in Tab 010600 - The NOI multiplied by the Cap Rate equals the Fair Market Value.  The FMV is multiplied by the 40% assessment ratio and then multiplied by the mileage rate.</v>
      </c>
      <c r="B853" s="1596"/>
      <c r="C853" s="1596"/>
      <c r="D853" s="1596"/>
      <c r="E853" s="1596"/>
      <c r="F853" s="1596"/>
      <c r="G853" s="1596"/>
      <c r="H853" s="1596"/>
      <c r="I853" s="1596"/>
      <c r="J853" s="1596"/>
      <c r="K853" s="1596">
        <f>'Part VI-Revenues &amp; Expenses'!K192</f>
        <v>0</v>
      </c>
      <c r="L853" s="1596"/>
      <c r="M853" s="1596"/>
      <c r="N853" s="1596"/>
      <c r="O853" s="1596"/>
      <c r="P853" s="1596"/>
      <c r="Q853" s="1766"/>
      <c r="U853" s="1680" t="s">
        <v>2811</v>
      </c>
      <c r="V853" s="1680"/>
      <c r="GT853" s="1518"/>
      <c r="GY853" s="1518"/>
      <c r="GZ853" s="1518"/>
      <c r="HA853" s="1518"/>
      <c r="HB853" s="1518"/>
      <c r="HC853" s="1518"/>
      <c r="HD853" s="1518"/>
      <c r="HE853" s="1518"/>
      <c r="HF853" s="1518"/>
      <c r="HG853" s="1518"/>
      <c r="HH853" s="1518"/>
      <c r="HI853" s="1518"/>
      <c r="HJ853" s="1518"/>
      <c r="HK853" s="1518"/>
      <c r="HL853" s="1518"/>
      <c r="HM853" s="1518"/>
      <c r="HN853" s="1518"/>
      <c r="HO853" s="1518"/>
      <c r="HP853" s="1518"/>
      <c r="HQ853" s="1518"/>
      <c r="HR853" s="1518"/>
      <c r="HS853" s="1518"/>
      <c r="HT853" s="1518"/>
      <c r="HU853" s="1518"/>
      <c r="HV853" s="1518"/>
      <c r="HW853" s="1518"/>
      <c r="HX853" s="1518"/>
      <c r="HY853" s="1518"/>
      <c r="HZ853" s="1518"/>
      <c r="IA853" s="1518"/>
      <c r="IB853" s="1518"/>
      <c r="IC853" s="1518"/>
      <c r="ID853" s="1518"/>
      <c r="IK853" s="1522"/>
      <c r="JA853" s="1522"/>
      <c r="JB853" s="1522"/>
    </row>
    <row r="860" spans="1:262">
      <c r="A860" s="521" t="str">
        <f>CONCATENATE("DRAFT PART SEVEN - OPERATING PRO FORMA","  -  ",'Part I-Project Information'!$O$4," ",'Part I-Project Information'!$F$24,", ",'Part I-Project Information'!F887,", ",'Part I-Project Information'!J888," County")</f>
        <v>DRAFT PART SEVEN - OPERATING PRO FORMA  -  2016-508 Gateway Capitol View, ,  County</v>
      </c>
      <c r="B860" s="1682"/>
      <c r="C860" s="1682"/>
      <c r="D860" s="1682"/>
      <c r="E860" s="1682"/>
      <c r="F860" s="1682"/>
      <c r="G860" s="1682"/>
      <c r="H860" s="1682"/>
      <c r="I860" s="1682"/>
      <c r="J860" s="1682"/>
      <c r="K860" s="1682"/>
      <c r="L860" s="521"/>
      <c r="M860" s="521" t="str">
        <f>A860</f>
        <v>DRAFT PART SEVEN - OPERATING PRO FORMA  -  2016-508 Gateway Capitol View, ,  County</v>
      </c>
      <c r="N860" s="521"/>
    </row>
    <row r="861" spans="1:262">
      <c r="A861" s="1684"/>
      <c r="B861" s="1684"/>
      <c r="C861" s="1684"/>
      <c r="D861" s="1684"/>
      <c r="E861" s="1684"/>
      <c r="F861" s="1684"/>
      <c r="G861" s="1684"/>
      <c r="H861" s="1684"/>
      <c r="I861" s="1684"/>
      <c r="J861" s="1684"/>
      <c r="K861" s="1684"/>
      <c r="M861" s="1684" t="s">
        <v>1925</v>
      </c>
      <c r="N861" s="1684"/>
    </row>
    <row r="862" spans="1:262" ht="13.5">
      <c r="A862" s="1522" t="s">
        <v>92</v>
      </c>
      <c r="D862" s="1522" t="s">
        <v>82</v>
      </c>
      <c r="E862" s="1687"/>
      <c r="F862" s="1530" t="s">
        <v>4585</v>
      </c>
      <c r="M862" s="1522" t="str">
        <f>A862</f>
        <v>I.  OPERATING ASSUMPTIONS</v>
      </c>
      <c r="N862" s="1684"/>
    </row>
    <row r="864" spans="1:262" ht="12.75" customHeight="1">
      <c r="A864" s="1271" t="s">
        <v>2277</v>
      </c>
      <c r="B864" s="1767">
        <v>0.02</v>
      </c>
      <c r="D864" s="1629" t="s">
        <v>4586</v>
      </c>
      <c r="E864" s="1629"/>
      <c r="F864" s="1629"/>
      <c r="G864" s="1768">
        <f>'Part VII-Pro Forma'!G5</f>
        <v>7500</v>
      </c>
      <c r="H864" s="1730" t="s">
        <v>1991</v>
      </c>
      <c r="K864" s="1769" t="str">
        <f>IF(($B$14+$B$15+$B$16+$B$17)=0,"",B887/($B$14+$B$15+$B$16+$B$17))</f>
        <v/>
      </c>
      <c r="M864" s="1629">
        <f>'Part VII-Pro Forma'!M5</f>
        <v>0</v>
      </c>
      <c r="N864" s="1629"/>
    </row>
    <row r="865" spans="1:14">
      <c r="A865" s="1271" t="s">
        <v>2278</v>
      </c>
      <c r="B865" s="1767">
        <v>0.03</v>
      </c>
      <c r="D865" s="1629"/>
      <c r="E865" s="1629"/>
      <c r="F865" s="1629"/>
      <c r="M865" s="1629"/>
      <c r="N865" s="1629"/>
    </row>
    <row r="866" spans="1:14">
      <c r="A866" s="1271" t="s">
        <v>2280</v>
      </c>
      <c r="B866" s="1767">
        <v>0.03</v>
      </c>
      <c r="D866" s="518" t="s">
        <v>283</v>
      </c>
      <c r="G866" s="1770"/>
      <c r="H866" s="1730" t="s">
        <v>2470</v>
      </c>
      <c r="K866" s="1769" t="str">
        <f>IF(($B$14+$B$15+$B$16+$B$17)=0,"",-B879/($B$14+$B$15+$B$16+$B$17))</f>
        <v/>
      </c>
      <c r="M866" s="1629"/>
      <c r="N866" s="1629"/>
    </row>
    <row r="867" spans="1:14">
      <c r="A867" s="1271" t="s">
        <v>2279</v>
      </c>
      <c r="B867" s="1767">
        <f>'Part VII-Pro Forma'!B8</f>
        <v>7.0000000000000007E-2</v>
      </c>
      <c r="D867" s="518" t="s">
        <v>2607</v>
      </c>
      <c r="G867" s="1771" t="str">
        <f>'Part VII-Pro Forma'!G8</f>
        <v>Yes</v>
      </c>
      <c r="H867" s="1772" t="s">
        <v>1508</v>
      </c>
      <c r="K867" s="1773">
        <f>'Part VII-Pro Forma'!K8</f>
        <v>67416</v>
      </c>
      <c r="M867" s="1629"/>
      <c r="N867" s="1629"/>
    </row>
    <row r="868" spans="1:14">
      <c r="A868" s="1271" t="s">
        <v>1479</v>
      </c>
      <c r="B868" s="1767">
        <v>0.02</v>
      </c>
      <c r="D868" s="518" t="s">
        <v>1794</v>
      </c>
      <c r="G868" s="1771" t="str">
        <f>'Part VII-Pro Forma'!G9</f>
        <v>No</v>
      </c>
      <c r="H868" s="1772" t="s">
        <v>2450</v>
      </c>
      <c r="K868" s="1774">
        <f>'Part VII-Pro Forma'!K9</f>
        <v>0</v>
      </c>
      <c r="M868" s="1629"/>
      <c r="N868" s="1629"/>
    </row>
    <row r="870" spans="1:14">
      <c r="A870" s="1522" t="s">
        <v>93</v>
      </c>
      <c r="M870" s="1522" t="str">
        <f>A870</f>
        <v>II.  OPERATING PRO FORMA</v>
      </c>
    </row>
    <row r="872" spans="1:14">
      <c r="A872" s="1522" t="s">
        <v>2578</v>
      </c>
      <c r="B872" s="1522">
        <v>1</v>
      </c>
      <c r="C872" s="1522">
        <f t="shared" ref="C872:K872" si="279">B872+1</f>
        <v>2</v>
      </c>
      <c r="D872" s="1522">
        <f t="shared" si="279"/>
        <v>3</v>
      </c>
      <c r="E872" s="1522">
        <f t="shared" si="279"/>
        <v>4</v>
      </c>
      <c r="F872" s="1522">
        <f t="shared" si="279"/>
        <v>5</v>
      </c>
      <c r="G872" s="1522">
        <f t="shared" si="279"/>
        <v>6</v>
      </c>
      <c r="H872" s="1522">
        <f t="shared" si="279"/>
        <v>7</v>
      </c>
      <c r="I872" s="1522">
        <f t="shared" si="279"/>
        <v>8</v>
      </c>
      <c r="J872" s="1522">
        <f t="shared" si="279"/>
        <v>9</v>
      </c>
      <c r="K872" s="1522">
        <f t="shared" si="279"/>
        <v>10</v>
      </c>
      <c r="M872" s="1684" t="s">
        <v>2724</v>
      </c>
      <c r="N872" s="1684"/>
    </row>
    <row r="873" spans="1:14">
      <c r="A873" s="1271" t="s">
        <v>2500</v>
      </c>
      <c r="B873" s="1775">
        <f>'Part VI-Revenues &amp; Expenses'!$L$49</f>
        <v>1421388</v>
      </c>
      <c r="C873" s="1775">
        <f t="shared" ref="C873:K873" si="280">$B$14*(1+$B$5)^(C872-1)</f>
        <v>0</v>
      </c>
      <c r="D873" s="1775">
        <f t="shared" si="280"/>
        <v>0</v>
      </c>
      <c r="E873" s="1775">
        <f t="shared" si="280"/>
        <v>0</v>
      </c>
      <c r="F873" s="1775">
        <f t="shared" si="280"/>
        <v>0</v>
      </c>
      <c r="G873" s="1775">
        <f t="shared" si="280"/>
        <v>0</v>
      </c>
      <c r="H873" s="1775">
        <f t="shared" si="280"/>
        <v>0</v>
      </c>
      <c r="I873" s="1775">
        <f t="shared" si="280"/>
        <v>0</v>
      </c>
      <c r="J873" s="1775">
        <f t="shared" si="280"/>
        <v>0</v>
      </c>
      <c r="K873" s="1775">
        <f t="shared" si="280"/>
        <v>0</v>
      </c>
      <c r="M873" s="1629">
        <f>'Part VII-Pro Forma'!M14</f>
        <v>0</v>
      </c>
      <c r="N873" s="1629"/>
    </row>
    <row r="874" spans="1:14">
      <c r="A874" s="1271" t="s">
        <v>1060</v>
      </c>
      <c r="B874" s="1775">
        <f>MIN(B873*B868,'Part VI-Revenues &amp; Expenses'!$H$122)</f>
        <v>28427.760000000002</v>
      </c>
      <c r="C874" s="1775">
        <f t="shared" ref="C874:K874" si="281">$B$15*(1+$B$5)^(C872-1)</f>
        <v>0</v>
      </c>
      <c r="D874" s="1775">
        <f t="shared" si="281"/>
        <v>0</v>
      </c>
      <c r="E874" s="1775">
        <f t="shared" si="281"/>
        <v>0</v>
      </c>
      <c r="F874" s="1775">
        <f t="shared" si="281"/>
        <v>0</v>
      </c>
      <c r="G874" s="1775">
        <f t="shared" si="281"/>
        <v>0</v>
      </c>
      <c r="H874" s="1775">
        <f t="shared" si="281"/>
        <v>0</v>
      </c>
      <c r="I874" s="1775">
        <f t="shared" si="281"/>
        <v>0</v>
      </c>
      <c r="J874" s="1775">
        <f t="shared" si="281"/>
        <v>0</v>
      </c>
      <c r="K874" s="1775">
        <f t="shared" si="281"/>
        <v>0</v>
      </c>
      <c r="M874" s="1629"/>
      <c r="N874" s="1629"/>
    </row>
    <row r="875" spans="1:14">
      <c r="A875" s="1271" t="s">
        <v>2501</v>
      </c>
      <c r="B875" s="1775">
        <f t="shared" ref="B875:K875" si="282">-(B873+B874)*$B$8</f>
        <v>0</v>
      </c>
      <c r="C875" s="1775">
        <f t="shared" si="282"/>
        <v>0</v>
      </c>
      <c r="D875" s="1775">
        <f t="shared" si="282"/>
        <v>0</v>
      </c>
      <c r="E875" s="1775">
        <f t="shared" si="282"/>
        <v>0</v>
      </c>
      <c r="F875" s="1775">
        <f t="shared" si="282"/>
        <v>0</v>
      </c>
      <c r="G875" s="1775">
        <f t="shared" si="282"/>
        <v>0</v>
      </c>
      <c r="H875" s="1775">
        <f t="shared" si="282"/>
        <v>0</v>
      </c>
      <c r="I875" s="1775">
        <f t="shared" si="282"/>
        <v>0</v>
      </c>
      <c r="J875" s="1775">
        <f t="shared" si="282"/>
        <v>0</v>
      </c>
      <c r="K875" s="1775">
        <f t="shared" si="282"/>
        <v>0</v>
      </c>
      <c r="M875" s="1629"/>
      <c r="N875" s="1629"/>
    </row>
    <row r="876" spans="1:14">
      <c r="A876" s="1271" t="s">
        <v>54</v>
      </c>
      <c r="B876" s="1775">
        <f>+'Part VI-Revenues &amp; Expenses'!G987</f>
        <v>0</v>
      </c>
      <c r="C876" s="1775">
        <f>+'Part VI-Revenues &amp; Expenses'!H987</f>
        <v>0</v>
      </c>
      <c r="D876" s="1775">
        <f>+'Part VI-Revenues &amp; Expenses'!I987</f>
        <v>0</v>
      </c>
      <c r="E876" s="1775">
        <f>+'Part VI-Revenues &amp; Expenses'!J987</f>
        <v>0</v>
      </c>
      <c r="F876" s="1775">
        <f>+'Part VI-Revenues &amp; Expenses'!K987</f>
        <v>0</v>
      </c>
      <c r="G876" s="1775">
        <f>+'Part VI-Revenues &amp; Expenses'!L987</f>
        <v>0</v>
      </c>
      <c r="H876" s="1775">
        <f>+'Part VI-Revenues &amp; Expenses'!M987</f>
        <v>0</v>
      </c>
      <c r="I876" s="1775">
        <f>+'Part VI-Revenues &amp; Expenses'!N987</f>
        <v>0</v>
      </c>
      <c r="J876" s="1775">
        <f>+'Part VI-Revenues &amp; Expenses'!O987</f>
        <v>0</v>
      </c>
      <c r="K876" s="1775">
        <f>+'Part VI-Revenues &amp; Expenses'!P987</f>
        <v>0</v>
      </c>
      <c r="M876" s="1629"/>
      <c r="N876" s="1629"/>
    </row>
    <row r="877" spans="1:14">
      <c r="A877" s="1271" t="s">
        <v>55</v>
      </c>
      <c r="B877" s="1775">
        <f>'Part VI-Revenues &amp; Expenses'!G991</f>
        <v>0</v>
      </c>
      <c r="C877" s="1775">
        <f>'Part VI-Revenues &amp; Expenses'!H991</f>
        <v>0</v>
      </c>
      <c r="D877" s="1775">
        <f>'Part VI-Revenues &amp; Expenses'!I991</f>
        <v>0</v>
      </c>
      <c r="E877" s="1775">
        <f>'Part VI-Revenues &amp; Expenses'!J991</f>
        <v>0</v>
      </c>
      <c r="F877" s="1775">
        <f>'Part VI-Revenues &amp; Expenses'!K991</f>
        <v>0</v>
      </c>
      <c r="G877" s="1775">
        <f>'Part VI-Revenues &amp; Expenses'!L991</f>
        <v>0</v>
      </c>
      <c r="H877" s="1775">
        <f>'Part VI-Revenues &amp; Expenses'!M991</f>
        <v>0</v>
      </c>
      <c r="I877" s="1775">
        <f>'Part VI-Revenues &amp; Expenses'!N991</f>
        <v>0</v>
      </c>
      <c r="J877" s="1775">
        <f>'Part VI-Revenues &amp; Expenses'!O991</f>
        <v>0</v>
      </c>
      <c r="K877" s="1775">
        <f>'Part VI-Revenues &amp; Expenses'!P991</f>
        <v>0</v>
      </c>
      <c r="M877" s="1629"/>
      <c r="N877" s="1629"/>
    </row>
    <row r="878" spans="1:14">
      <c r="A878" s="1271" t="s">
        <v>644</v>
      </c>
      <c r="B878" s="1775">
        <f>-('Part VI-Revenues &amp; Expenses'!$P$176-'Part VI-Revenues &amp; Expenses'!$P$170)</f>
        <v>-703820</v>
      </c>
      <c r="C878" s="1775">
        <f t="shared" ref="C878:K878" si="283">$B$19*(1+$B$6)^(C872-1)</f>
        <v>0</v>
      </c>
      <c r="D878" s="1775">
        <f t="shared" si="283"/>
        <v>0</v>
      </c>
      <c r="E878" s="1775">
        <f t="shared" si="283"/>
        <v>0</v>
      </c>
      <c r="F878" s="1775">
        <f t="shared" si="283"/>
        <v>0</v>
      </c>
      <c r="G878" s="1775">
        <f t="shared" si="283"/>
        <v>0</v>
      </c>
      <c r="H878" s="1775">
        <f t="shared" si="283"/>
        <v>0</v>
      </c>
      <c r="I878" s="1775">
        <f t="shared" si="283"/>
        <v>0</v>
      </c>
      <c r="J878" s="1775">
        <f t="shared" si="283"/>
        <v>0</v>
      </c>
      <c r="K878" s="1775">
        <f t="shared" si="283"/>
        <v>0</v>
      </c>
      <c r="M878" s="1629"/>
      <c r="N878" s="1629"/>
    </row>
    <row r="879" spans="1:14">
      <c r="A879" s="1271" t="s">
        <v>1160</v>
      </c>
      <c r="B879" s="1775">
        <f>IF(AND('Part VII-Pro Forma'!$G$8="Yes",'Part VII-Pro Forma'!$G$9="Yes"),"Choose One!",IF('Part VII-Pro Forma'!$G$8="Yes",ROUND((-$K$8*(1+'Part VII-Pro Forma'!$B$6)^('Part VII-Pro Forma'!B872-1)),),IF('Part VII-Pro Forma'!$G$9="Yes",ROUND((-(SUM(B873:B876)*'Part VII-Pro Forma'!$K$9)),),"Choose mgt fee")))</f>
        <v>0</v>
      </c>
      <c r="C879" s="1775">
        <f>IF(AND('Part VII-Pro Forma'!$G$8="Yes",'Part VII-Pro Forma'!$G$9="Yes"),"Choose One!",IF('Part VII-Pro Forma'!$G$8="Yes",ROUND((-$K$8*(1+'Part VII-Pro Forma'!$B$6)^('Part VII-Pro Forma'!C872-1)),),IF('Part VII-Pro Forma'!$G$9="Yes",ROUND((-(SUM(C873:C876)*'Part VII-Pro Forma'!$K$9)),),"Choose mgt fee")))</f>
        <v>0</v>
      </c>
      <c r="D879" s="1775">
        <f>IF(AND('Part VII-Pro Forma'!$G$8="Yes",'Part VII-Pro Forma'!$G$9="Yes"),"Choose One!",IF('Part VII-Pro Forma'!$G$8="Yes",ROUND((-$K$8*(1+'Part VII-Pro Forma'!$B$6)^('Part VII-Pro Forma'!D872-1)),),IF('Part VII-Pro Forma'!$G$9="Yes",ROUND((-(SUM(D873:D876)*'Part VII-Pro Forma'!$K$9)),),"Choose mgt fee")))</f>
        <v>0</v>
      </c>
      <c r="E879" s="1775">
        <f>IF(AND('Part VII-Pro Forma'!$G$8="Yes",'Part VII-Pro Forma'!$G$9="Yes"),"Choose One!",IF('Part VII-Pro Forma'!$G$8="Yes",ROUND((-$K$8*(1+'Part VII-Pro Forma'!$B$6)^('Part VII-Pro Forma'!E872-1)),),IF('Part VII-Pro Forma'!$G$9="Yes",ROUND((-(SUM(E873:E876)*'Part VII-Pro Forma'!$K$9)),),"Choose mgt fee")))</f>
        <v>0</v>
      </c>
      <c r="F879" s="1775">
        <f>IF(AND('Part VII-Pro Forma'!$G$8="Yes",'Part VII-Pro Forma'!$G$9="Yes"),"Choose One!",IF('Part VII-Pro Forma'!$G$8="Yes",ROUND((-$K$8*(1+'Part VII-Pro Forma'!$B$6)^('Part VII-Pro Forma'!F872-1)),),IF('Part VII-Pro Forma'!$G$9="Yes",ROUND((-(SUM(F873:F876)*'Part VII-Pro Forma'!$K$9)),),"Choose mgt fee")))</f>
        <v>0</v>
      </c>
      <c r="G879" s="1775">
        <f>IF(AND('Part VII-Pro Forma'!$G$8="Yes",'Part VII-Pro Forma'!$G$9="Yes"),"Choose One!",IF('Part VII-Pro Forma'!$G$8="Yes",ROUND((-$K$8*(1+'Part VII-Pro Forma'!$B$6)^('Part VII-Pro Forma'!G872-1)),),IF('Part VII-Pro Forma'!$G$9="Yes",ROUND((-(SUM(G873:G876)*'Part VII-Pro Forma'!$K$9)),),"Choose mgt fee")))</f>
        <v>0</v>
      </c>
      <c r="H879" s="1775">
        <f>IF(AND('Part VII-Pro Forma'!$G$8="Yes",'Part VII-Pro Forma'!$G$9="Yes"),"Choose One!",IF('Part VII-Pro Forma'!$G$8="Yes",ROUND((-$K$8*(1+'Part VII-Pro Forma'!$B$6)^('Part VII-Pro Forma'!H872-1)),),IF('Part VII-Pro Forma'!$G$9="Yes",ROUND((-(SUM(H873:H876)*'Part VII-Pro Forma'!$K$9)),),"Choose mgt fee")))</f>
        <v>0</v>
      </c>
      <c r="I879" s="1775">
        <f>IF(AND('Part VII-Pro Forma'!$G$8="Yes",'Part VII-Pro Forma'!$G$9="Yes"),"Choose One!",IF('Part VII-Pro Forma'!$G$8="Yes",ROUND((-$K$8*(1+'Part VII-Pro Forma'!$B$6)^('Part VII-Pro Forma'!I872-1)),),IF('Part VII-Pro Forma'!$G$9="Yes",ROUND((-(SUM(I873:I876)*'Part VII-Pro Forma'!$K$9)),),"Choose mgt fee")))</f>
        <v>0</v>
      </c>
      <c r="J879" s="1775">
        <f>IF(AND('Part VII-Pro Forma'!$G$8="Yes",'Part VII-Pro Forma'!$G$9="Yes"),"Choose One!",IF('Part VII-Pro Forma'!$G$8="Yes",ROUND((-$K$8*(1+'Part VII-Pro Forma'!$B$6)^('Part VII-Pro Forma'!J872-1)),),IF('Part VII-Pro Forma'!$G$9="Yes",ROUND((-(SUM(J873:J876)*'Part VII-Pro Forma'!$K$9)),),"Choose mgt fee")))</f>
        <v>0</v>
      </c>
      <c r="K879" s="1775">
        <f>IF(AND('Part VII-Pro Forma'!$G$8="Yes",'Part VII-Pro Forma'!$G$9="Yes"),"Choose One!",IF('Part VII-Pro Forma'!$G$8="Yes",ROUND((-$K$8*(1+'Part VII-Pro Forma'!$B$6)^('Part VII-Pro Forma'!K872-1)),),IF('Part VII-Pro Forma'!$G$9="Yes",ROUND((-(SUM(K873:K876)*'Part VII-Pro Forma'!$K$9)),),"Choose mgt fee")))</f>
        <v>0</v>
      </c>
      <c r="M879" s="1629"/>
      <c r="N879" s="1629"/>
    </row>
    <row r="880" spans="1:14">
      <c r="A880" s="1271" t="s">
        <v>1254</v>
      </c>
      <c r="B880" s="1775">
        <f>-('Part VI-Revenues &amp; Expenses'!$P$179)</f>
        <v>-40500</v>
      </c>
      <c r="C880" s="1775">
        <f t="shared" ref="C880:K880" si="284">$B$21*(1+$B$7)^(C872-1)</f>
        <v>0</v>
      </c>
      <c r="D880" s="1775">
        <f t="shared" si="284"/>
        <v>0</v>
      </c>
      <c r="E880" s="1775">
        <f t="shared" si="284"/>
        <v>0</v>
      </c>
      <c r="F880" s="1775">
        <f t="shared" si="284"/>
        <v>0</v>
      </c>
      <c r="G880" s="1775">
        <f t="shared" si="284"/>
        <v>0</v>
      </c>
      <c r="H880" s="1775">
        <f t="shared" si="284"/>
        <v>0</v>
      </c>
      <c r="I880" s="1775">
        <f t="shared" si="284"/>
        <v>0</v>
      </c>
      <c r="J880" s="1775">
        <f t="shared" si="284"/>
        <v>0</v>
      </c>
      <c r="K880" s="1775">
        <f t="shared" si="284"/>
        <v>0</v>
      </c>
      <c r="M880" s="1629"/>
      <c r="N880" s="1629"/>
    </row>
    <row r="881" spans="1:14">
      <c r="A881" s="1271" t="s">
        <v>1255</v>
      </c>
      <c r="B881" s="1775">
        <f t="shared" ref="B881:K881" si="285">SUM(B873:B880)</f>
        <v>705495.76</v>
      </c>
      <c r="C881" s="1775">
        <f t="shared" si="285"/>
        <v>0</v>
      </c>
      <c r="D881" s="1775">
        <f t="shared" si="285"/>
        <v>0</v>
      </c>
      <c r="E881" s="1775">
        <f t="shared" si="285"/>
        <v>0</v>
      </c>
      <c r="F881" s="1775">
        <f t="shared" si="285"/>
        <v>0</v>
      </c>
      <c r="G881" s="1775">
        <f t="shared" si="285"/>
        <v>0</v>
      </c>
      <c r="H881" s="1775">
        <f t="shared" si="285"/>
        <v>0</v>
      </c>
      <c r="I881" s="1775">
        <f t="shared" si="285"/>
        <v>0</v>
      </c>
      <c r="J881" s="1775">
        <f t="shared" si="285"/>
        <v>0</v>
      </c>
      <c r="K881" s="1775">
        <f t="shared" si="285"/>
        <v>0</v>
      </c>
      <c r="M881" s="1629"/>
      <c r="N881" s="1629"/>
    </row>
    <row r="882" spans="1:14">
      <c r="A882" s="1271" t="s">
        <v>1658</v>
      </c>
      <c r="B882" s="1775">
        <f>'Part VII-Pro Forma'!B23</f>
        <v>-361987.34381576651</v>
      </c>
      <c r="C882" s="1775">
        <f>'Part VII-Pro Forma'!C23</f>
        <v>-361987.34381576651</v>
      </c>
      <c r="D882" s="1775">
        <f>'Part VII-Pro Forma'!D23</f>
        <v>-361987.34381576651</v>
      </c>
      <c r="E882" s="1775">
        <f>'Part VII-Pro Forma'!E23</f>
        <v>-361987.34381576651</v>
      </c>
      <c r="F882" s="1775">
        <f>'Part VII-Pro Forma'!F23</f>
        <v>-361987.34381576651</v>
      </c>
      <c r="G882" s="1775">
        <f>'Part VII-Pro Forma'!G23</f>
        <v>-361987.34381576651</v>
      </c>
      <c r="H882" s="1775">
        <f>'Part VII-Pro Forma'!H23</f>
        <v>-361987.34381576651</v>
      </c>
      <c r="I882" s="1775">
        <f>'Part VII-Pro Forma'!I23</f>
        <v>-361987.34381576651</v>
      </c>
      <c r="J882" s="1775">
        <f>'Part VII-Pro Forma'!J23</f>
        <v>-361987.34381576651</v>
      </c>
      <c r="K882" s="1775">
        <f>'Part VII-Pro Forma'!K23</f>
        <v>-361987.34381576651</v>
      </c>
      <c r="M882" s="1629"/>
      <c r="N882" s="1629"/>
    </row>
    <row r="883" spans="1:14">
      <c r="A883" s="1271" t="s">
        <v>1659</v>
      </c>
      <c r="B883" s="1775">
        <f>'Part VII-Pro Forma'!B24</f>
        <v>-101622.85161720682</v>
      </c>
      <c r="C883" s="1775">
        <f>'Part VII-Pro Forma'!C24</f>
        <v>-101622.85161720682</v>
      </c>
      <c r="D883" s="1775">
        <f>'Part VII-Pro Forma'!D24</f>
        <v>-101622.85161720682</v>
      </c>
      <c r="E883" s="1775">
        <f>'Part VII-Pro Forma'!E24</f>
        <v>-101622.85161720682</v>
      </c>
      <c r="F883" s="1775">
        <f>'Part VII-Pro Forma'!F24</f>
        <v>-101622.85161720682</v>
      </c>
      <c r="G883" s="1775">
        <f>'Part VII-Pro Forma'!G24</f>
        <v>-101622.85161720682</v>
      </c>
      <c r="H883" s="1775">
        <f>'Part VII-Pro Forma'!H24</f>
        <v>-101622.85161720682</v>
      </c>
      <c r="I883" s="1775">
        <f>'Part VII-Pro Forma'!I24</f>
        <v>-101622.85161720682</v>
      </c>
      <c r="J883" s="1775">
        <f>'Part VII-Pro Forma'!J24</f>
        <v>-101622.85161720682</v>
      </c>
      <c r="K883" s="1775">
        <f>'Part VII-Pro Forma'!K24</f>
        <v>-101622.85161720682</v>
      </c>
      <c r="M883" s="1629"/>
      <c r="N883" s="1629"/>
    </row>
    <row r="884" spans="1:14">
      <c r="A884" s="1271" t="s">
        <v>1660</v>
      </c>
      <c r="B884" s="1775">
        <f>'Part VII-Pro Forma'!B25</f>
        <v>0</v>
      </c>
      <c r="C884" s="1775">
        <f>'Part VII-Pro Forma'!C25</f>
        <v>0</v>
      </c>
      <c r="D884" s="1775">
        <f>'Part VII-Pro Forma'!D25</f>
        <v>0</v>
      </c>
      <c r="E884" s="1775">
        <f>'Part VII-Pro Forma'!E25</f>
        <v>0</v>
      </c>
      <c r="F884" s="1775">
        <f>'Part VII-Pro Forma'!F25</f>
        <v>0</v>
      </c>
      <c r="G884" s="1775">
        <f>'Part VII-Pro Forma'!G25</f>
        <v>0</v>
      </c>
      <c r="H884" s="1775">
        <f>'Part VII-Pro Forma'!H25</f>
        <v>0</v>
      </c>
      <c r="I884" s="1775">
        <f>'Part VII-Pro Forma'!I25</f>
        <v>0</v>
      </c>
      <c r="J884" s="1775">
        <f>'Part VII-Pro Forma'!J25</f>
        <v>0</v>
      </c>
      <c r="K884" s="1775">
        <f>'Part VII-Pro Forma'!K25</f>
        <v>0</v>
      </c>
      <c r="M884" s="1629"/>
      <c r="N884" s="1629"/>
    </row>
    <row r="885" spans="1:14">
      <c r="A885" s="1271" t="s">
        <v>821</v>
      </c>
      <c r="B885" s="1775">
        <f>'Part VII-Pro Forma'!B26</f>
        <v>0</v>
      </c>
      <c r="C885" s="1775">
        <f>'Part VII-Pro Forma'!C26</f>
        <v>0</v>
      </c>
      <c r="D885" s="1775">
        <f>'Part VII-Pro Forma'!D26</f>
        <v>0</v>
      </c>
      <c r="E885" s="1775">
        <f>'Part VII-Pro Forma'!E26</f>
        <v>0</v>
      </c>
      <c r="F885" s="1775">
        <f>'Part VII-Pro Forma'!F26</f>
        <v>0</v>
      </c>
      <c r="G885" s="1775">
        <f>'Part VII-Pro Forma'!G26</f>
        <v>0</v>
      </c>
      <c r="H885" s="1775">
        <f>'Part VII-Pro Forma'!H26</f>
        <v>0</v>
      </c>
      <c r="I885" s="1775">
        <f>'Part VII-Pro Forma'!I26</f>
        <v>0</v>
      </c>
      <c r="J885" s="1775">
        <f>'Part VII-Pro Forma'!J26</f>
        <v>0</v>
      </c>
      <c r="K885" s="1775">
        <f>'Part VII-Pro Forma'!K26</f>
        <v>0</v>
      </c>
      <c r="M885" s="1629"/>
      <c r="N885" s="1629"/>
    </row>
    <row r="886" spans="1:14">
      <c r="A886" s="1271" t="s">
        <v>801</v>
      </c>
      <c r="B886" s="1775">
        <f>'Part VII-Pro Forma'!B27</f>
        <v>0</v>
      </c>
      <c r="C886" s="1775">
        <f>'Part VII-Pro Forma'!C27</f>
        <v>0</v>
      </c>
      <c r="D886" s="1775">
        <f>'Part VII-Pro Forma'!D27</f>
        <v>0</v>
      </c>
      <c r="E886" s="1775">
        <f>'Part VII-Pro Forma'!E27</f>
        <v>0</v>
      </c>
      <c r="F886" s="1775">
        <f>'Part VII-Pro Forma'!F27</f>
        <v>0</v>
      </c>
      <c r="G886" s="1775">
        <f>'Part VII-Pro Forma'!G27</f>
        <v>0</v>
      </c>
      <c r="H886" s="1775">
        <f>'Part VII-Pro Forma'!H27</f>
        <v>0</v>
      </c>
      <c r="I886" s="1775">
        <f>'Part VII-Pro Forma'!I27</f>
        <v>0</v>
      </c>
      <c r="J886" s="1775">
        <f>'Part VII-Pro Forma'!J27</f>
        <v>0</v>
      </c>
      <c r="K886" s="1775">
        <f>'Part VII-Pro Forma'!K27</f>
        <v>0</v>
      </c>
      <c r="M886" s="1629"/>
      <c r="N886" s="1629"/>
    </row>
    <row r="887" spans="1:14">
      <c r="A887" s="1271" t="s">
        <v>1213</v>
      </c>
      <c r="B887" s="1775">
        <f>'Part VII-Pro Forma'!B28</f>
        <v>-7500</v>
      </c>
      <c r="C887" s="1775">
        <f>'Part VII-Pro Forma'!C28</f>
        <v>-7500</v>
      </c>
      <c r="D887" s="1775">
        <f>'Part VII-Pro Forma'!D28</f>
        <v>-7500</v>
      </c>
      <c r="E887" s="1775">
        <f>'Part VII-Pro Forma'!E28</f>
        <v>-7500</v>
      </c>
      <c r="F887" s="1775">
        <f>'Part VII-Pro Forma'!F28</f>
        <v>-7500</v>
      </c>
      <c r="G887" s="1775">
        <f>'Part VII-Pro Forma'!G28</f>
        <v>-7500</v>
      </c>
      <c r="H887" s="1775">
        <f>'Part VII-Pro Forma'!H28</f>
        <v>-7500</v>
      </c>
      <c r="I887" s="1775">
        <f>'Part VII-Pro Forma'!I28</f>
        <v>-7500</v>
      </c>
      <c r="J887" s="1775">
        <f>'Part VII-Pro Forma'!J28</f>
        <v>-7500</v>
      </c>
      <c r="K887" s="1775">
        <f>'Part VII-Pro Forma'!K28</f>
        <v>-7500</v>
      </c>
      <c r="M887" s="1629"/>
      <c r="N887" s="1629"/>
    </row>
    <row r="888" spans="1:14">
      <c r="A888" s="1271" t="s">
        <v>1256</v>
      </c>
      <c r="B888" s="1775">
        <f>'Part VII-Pro Forma'!B29</f>
        <v>-41602.75</v>
      </c>
      <c r="C888" s="1775">
        <f>'Part VII-Pro Forma'!C29</f>
        <v>-41602.75</v>
      </c>
      <c r="D888" s="1775">
        <f>'Part VII-Pro Forma'!D29</f>
        <v>-41602.75</v>
      </c>
      <c r="E888" s="1775">
        <f>'Part VII-Pro Forma'!E29</f>
        <v>-41602.75</v>
      </c>
      <c r="F888" s="1775">
        <f>'Part VII-Pro Forma'!F29</f>
        <v>-41602.75</v>
      </c>
      <c r="G888" s="1775">
        <f>'Part VII-Pro Forma'!G29</f>
        <v>-41602.75</v>
      </c>
      <c r="H888" s="1775">
        <f>'Part VII-Pro Forma'!H29</f>
        <v>-41602.75</v>
      </c>
      <c r="I888" s="1775">
        <f>'Part VII-Pro Forma'!I29</f>
        <v>-41602.75</v>
      </c>
      <c r="J888" s="1775">
        <f>'Part VII-Pro Forma'!J29</f>
        <v>-41602.75</v>
      </c>
      <c r="K888" s="1775">
        <f>'Part VII-Pro Forma'!K29</f>
        <v>-41602.75</v>
      </c>
      <c r="M888" s="1629"/>
      <c r="N888" s="1629"/>
    </row>
    <row r="889" spans="1:14">
      <c r="A889" s="1271" t="s">
        <v>1214</v>
      </c>
      <c r="B889" s="1775">
        <f t="shared" ref="B889:K889" si="286">SUM(B881:B888)</f>
        <v>192782.81456702668</v>
      </c>
      <c r="C889" s="1775">
        <f t="shared" si="286"/>
        <v>-512712.94543297333</v>
      </c>
      <c r="D889" s="1775">
        <f t="shared" si="286"/>
        <v>-512712.94543297333</v>
      </c>
      <c r="E889" s="1775">
        <f t="shared" si="286"/>
        <v>-512712.94543297333</v>
      </c>
      <c r="F889" s="1775">
        <f t="shared" si="286"/>
        <v>-512712.94543297333</v>
      </c>
      <c r="G889" s="1775">
        <f t="shared" si="286"/>
        <v>-512712.94543297333</v>
      </c>
      <c r="H889" s="1775">
        <f t="shared" si="286"/>
        <v>-512712.94543297333</v>
      </c>
      <c r="I889" s="1775">
        <f t="shared" si="286"/>
        <v>-512712.94543297333</v>
      </c>
      <c r="J889" s="1775">
        <f t="shared" si="286"/>
        <v>-512712.94543297333</v>
      </c>
      <c r="K889" s="1775">
        <f t="shared" si="286"/>
        <v>-512712.94543297333</v>
      </c>
      <c r="M889" s="1629"/>
      <c r="N889" s="1629"/>
    </row>
    <row r="890" spans="1:14">
      <c r="A890" s="1271" t="str">
        <f>IF('Part III-Sources of Funds'!$E$37 = "Neither", "", "DCR Mortgage A")</f>
        <v>DCR Mortgage A</v>
      </c>
      <c r="B890" s="1776">
        <f>IF(B882=0,"",-B881/B882)</f>
        <v>1.9489514538360826</v>
      </c>
      <c r="C890" s="1776">
        <f t="shared" ref="C890:K890" si="287">IF(C882=0,"",-C881/C882)</f>
        <v>0</v>
      </c>
      <c r="D890" s="1776">
        <f t="shared" si="287"/>
        <v>0</v>
      </c>
      <c r="E890" s="1776">
        <f t="shared" si="287"/>
        <v>0</v>
      </c>
      <c r="F890" s="1776">
        <f t="shared" si="287"/>
        <v>0</v>
      </c>
      <c r="G890" s="1776">
        <f t="shared" si="287"/>
        <v>0</v>
      </c>
      <c r="H890" s="1776">
        <f t="shared" si="287"/>
        <v>0</v>
      </c>
      <c r="I890" s="1776">
        <f t="shared" si="287"/>
        <v>0</v>
      </c>
      <c r="J890" s="1776">
        <f t="shared" si="287"/>
        <v>0</v>
      </c>
      <c r="K890" s="1776">
        <f t="shared" si="287"/>
        <v>0</v>
      </c>
      <c r="M890" s="1629"/>
      <c r="N890" s="1629"/>
    </row>
    <row r="891" spans="1:14">
      <c r="A891" s="1271" t="str">
        <f>IF('Part III-Sources of Funds'!$E$37 = "Neither", "", "DCR Mortgage B")</f>
        <v>DCR Mortgage B</v>
      </c>
      <c r="B891" s="1776">
        <f t="shared" ref="B891:K891" si="288">IF(OR(B883=0,AND(B883=0,B882=0)),"",-B881/(B882+B883))</f>
        <v>1.5217434106278136</v>
      </c>
      <c r="C891" s="1776">
        <f t="shared" si="288"/>
        <v>0</v>
      </c>
      <c r="D891" s="1776">
        <f t="shared" si="288"/>
        <v>0</v>
      </c>
      <c r="E891" s="1776">
        <f t="shared" si="288"/>
        <v>0</v>
      </c>
      <c r="F891" s="1776">
        <f t="shared" si="288"/>
        <v>0</v>
      </c>
      <c r="G891" s="1776">
        <f t="shared" si="288"/>
        <v>0</v>
      </c>
      <c r="H891" s="1776">
        <f t="shared" si="288"/>
        <v>0</v>
      </c>
      <c r="I891" s="1776">
        <f t="shared" si="288"/>
        <v>0</v>
      </c>
      <c r="J891" s="1776">
        <f t="shared" si="288"/>
        <v>0</v>
      </c>
      <c r="K891" s="1776">
        <f t="shared" si="288"/>
        <v>0</v>
      </c>
      <c r="M891" s="1629"/>
      <c r="N891" s="1629"/>
    </row>
    <row r="892" spans="1:14">
      <c r="A892" s="1271" t="str">
        <f>IF('Part III-Sources of Funds'!$E$37 = "Neither", "DCR First Mortgage", "DCR Mortgage C")</f>
        <v>DCR Mortgage C</v>
      </c>
      <c r="B892" s="1776" t="str">
        <f t="shared" ref="B892:K892" si="289">IF(OR(B884=0,AND(B884=0,B883=0,B882=0)),"",-B881/(B882+B883+B884))</f>
        <v/>
      </c>
      <c r="C892" s="1776" t="str">
        <f t="shared" si="289"/>
        <v/>
      </c>
      <c r="D892" s="1776" t="str">
        <f t="shared" si="289"/>
        <v/>
      </c>
      <c r="E892" s="1776" t="str">
        <f t="shared" si="289"/>
        <v/>
      </c>
      <c r="F892" s="1776" t="str">
        <f t="shared" si="289"/>
        <v/>
      </c>
      <c r="G892" s="1776" t="str">
        <f t="shared" si="289"/>
        <v/>
      </c>
      <c r="H892" s="1776" t="str">
        <f t="shared" si="289"/>
        <v/>
      </c>
      <c r="I892" s="1776" t="str">
        <f t="shared" si="289"/>
        <v/>
      </c>
      <c r="J892" s="1776" t="str">
        <f t="shared" si="289"/>
        <v/>
      </c>
      <c r="K892" s="1776" t="str">
        <f t="shared" si="289"/>
        <v/>
      </c>
      <c r="M892" s="1629"/>
      <c r="N892" s="1629"/>
    </row>
    <row r="893" spans="1:14">
      <c r="A893" s="1271" t="s">
        <v>822</v>
      </c>
      <c r="B893" s="1776" t="str">
        <f t="shared" ref="B893:K893" si="290">IF(OR(B885=0,AND(B882=0,B883=0,B884=0,B885=0)),"",-B881/(B882+B883+B884+B885))</f>
        <v/>
      </c>
      <c r="C893" s="1776" t="str">
        <f t="shared" si="290"/>
        <v/>
      </c>
      <c r="D893" s="1776" t="str">
        <f t="shared" si="290"/>
        <v/>
      </c>
      <c r="E893" s="1776" t="str">
        <f t="shared" si="290"/>
        <v/>
      </c>
      <c r="F893" s="1776" t="str">
        <f t="shared" si="290"/>
        <v/>
      </c>
      <c r="G893" s="1776" t="str">
        <f t="shared" si="290"/>
        <v/>
      </c>
      <c r="H893" s="1776" t="str">
        <f t="shared" si="290"/>
        <v/>
      </c>
      <c r="I893" s="1776" t="str">
        <f t="shared" si="290"/>
        <v/>
      </c>
      <c r="J893" s="1776" t="str">
        <f t="shared" si="290"/>
        <v/>
      </c>
      <c r="K893" s="1776" t="str">
        <f t="shared" si="290"/>
        <v/>
      </c>
      <c r="M893" s="1629"/>
      <c r="N893" s="1629"/>
    </row>
    <row r="894" spans="1:14">
      <c r="A894" s="1271" t="s">
        <v>808</v>
      </c>
      <c r="B894" s="1777">
        <f>IF(OR(B879="Choose mgt fee",B879="Choose One!"),"",(B873+B874+B875+B876+B877) / -(B878+B879+B880))</f>
        <v>1.9478393164230439</v>
      </c>
      <c r="C894" s="1777" t="e">
        <f t="shared" ref="C894:K894" si="291">IF(OR(C879="Choose mgt fee",C879="Choose One!"),"",(C873+C874+C875+C876+C877) / -(C878+C879+C880))</f>
        <v>#DIV/0!</v>
      </c>
      <c r="D894" s="1777" t="e">
        <f t="shared" si="291"/>
        <v>#DIV/0!</v>
      </c>
      <c r="E894" s="1777" t="e">
        <f t="shared" si="291"/>
        <v>#DIV/0!</v>
      </c>
      <c r="F894" s="1777" t="e">
        <f t="shared" si="291"/>
        <v>#DIV/0!</v>
      </c>
      <c r="G894" s="1777" t="e">
        <f t="shared" si="291"/>
        <v>#DIV/0!</v>
      </c>
      <c r="H894" s="1777" t="e">
        <f t="shared" si="291"/>
        <v>#DIV/0!</v>
      </c>
      <c r="I894" s="1777" t="e">
        <f t="shared" si="291"/>
        <v>#DIV/0!</v>
      </c>
      <c r="J894" s="1777" t="e">
        <f t="shared" si="291"/>
        <v>#DIV/0!</v>
      </c>
      <c r="K894" s="1777" t="e">
        <f t="shared" si="291"/>
        <v>#DIV/0!</v>
      </c>
      <c r="M894" s="1629"/>
      <c r="N894" s="1629"/>
    </row>
    <row r="895" spans="1:14">
      <c r="A895" s="1271" t="s">
        <v>2717</v>
      </c>
      <c r="B895" s="1775">
        <f>'Part VII-Pro Forma'!B36</f>
        <v>6589969.1680769362</v>
      </c>
      <c r="C895" s="1775">
        <f>'Part VII-Pro Forma'!C36</f>
        <v>6499762.5742183244</v>
      </c>
      <c r="D895" s="1775">
        <f>'Part VII-Pro Forma'!D36</f>
        <v>6405740.3735558335</v>
      </c>
      <c r="E895" s="1775">
        <f>'Part VII-Pro Forma'!E36</f>
        <v>6307741.1715099867</v>
      </c>
      <c r="F895" s="1775">
        <f>'Part VII-Pro Forma'!F36</f>
        <v>6205596.746746975</v>
      </c>
      <c r="G895" s="1775">
        <f>'Part VII-Pro Forma'!G36</f>
        <v>6099131.762416943</v>
      </c>
      <c r="H895" s="1775">
        <f>'Part VII-Pro Forma'!H36</f>
        <v>5988163.4651780864</v>
      </c>
      <c r="I895" s="1775">
        <f>'Part VII-Pro Forma'!I36</f>
        <v>5872501.371489903</v>
      </c>
      <c r="J895" s="1775">
        <f>'Part VII-Pro Forma'!J36</f>
        <v>5751946.940637107</v>
      </c>
      <c r="K895" s="1775">
        <f>'Part VII-Pro Forma'!K36</f>
        <v>5626293.2339229407</v>
      </c>
      <c r="M895" s="1629"/>
      <c r="N895" s="1629"/>
    </row>
    <row r="896" spans="1:14">
      <c r="A896" s="1271" t="s">
        <v>2718</v>
      </c>
      <c r="B896" s="1775">
        <f>'Part VII-Pro Forma'!B37</f>
        <v>2928047.9634025204</v>
      </c>
      <c r="C896" s="1775">
        <f>'Part VII-Pro Forma'!C37</f>
        <v>2855373.0994596295</v>
      </c>
      <c r="D896" s="1775">
        <f>'Part VII-Pro Forma'!D37</f>
        <v>2781968.1466760868</v>
      </c>
      <c r="E896" s="1775">
        <f>'Part VII-Pro Forma'!E37</f>
        <v>2707825.7706079553</v>
      </c>
      <c r="F896" s="1775">
        <f>'Part VII-Pro Forma'!F37</f>
        <v>2632938.5631297608</v>
      </c>
      <c r="G896" s="1775">
        <f>'Part VII-Pro Forma'!G37</f>
        <v>2557299.0416942905</v>
      </c>
      <c r="H896" s="1775">
        <f>'Part VII-Pro Forma'!H37</f>
        <v>2480899.648584954</v>
      </c>
      <c r="I896" s="1775">
        <f>'Part VII-Pro Forma'!I37</f>
        <v>2403732.7501606368</v>
      </c>
      <c r="J896" s="1775">
        <f>'Part VII-Pro Forma'!J37</f>
        <v>2325790.6360929641</v>
      </c>
      <c r="K896" s="1775">
        <f>'Part VII-Pro Forma'!K37</f>
        <v>2247065.5185959032</v>
      </c>
      <c r="M896" s="1629"/>
      <c r="N896" s="1629"/>
    </row>
    <row r="897" spans="1:14">
      <c r="A897" s="1271" t="s">
        <v>2719</v>
      </c>
      <c r="B897" s="1775" t="str">
        <f>'Part VII-Pro Forma'!B38</f>
        <v/>
      </c>
      <c r="C897" s="1775" t="str">
        <f>'Part VII-Pro Forma'!C38</f>
        <v/>
      </c>
      <c r="D897" s="1775" t="str">
        <f>'Part VII-Pro Forma'!D38</f>
        <v/>
      </c>
      <c r="E897" s="1775" t="str">
        <f>'Part VII-Pro Forma'!E38</f>
        <v/>
      </c>
      <c r="F897" s="1775" t="str">
        <f>'Part VII-Pro Forma'!F38</f>
        <v/>
      </c>
      <c r="G897" s="1775" t="str">
        <f>'Part VII-Pro Forma'!G38</f>
        <v/>
      </c>
      <c r="H897" s="1775" t="str">
        <f>'Part VII-Pro Forma'!H38</f>
        <v/>
      </c>
      <c r="I897" s="1775" t="str">
        <f>'Part VII-Pro Forma'!I38</f>
        <v/>
      </c>
      <c r="J897" s="1775" t="str">
        <f>'Part VII-Pro Forma'!J38</f>
        <v/>
      </c>
      <c r="K897" s="1775" t="str">
        <f>'Part VII-Pro Forma'!K38</f>
        <v/>
      </c>
      <c r="M897" s="1629"/>
      <c r="N897" s="1629"/>
    </row>
    <row r="898" spans="1:14">
      <c r="A898" s="1271" t="s">
        <v>823</v>
      </c>
      <c r="B898" s="1775" t="str">
        <f>'Part VII-Pro Forma'!B39</f>
        <v/>
      </c>
      <c r="C898" s="1775" t="str">
        <f>'Part VII-Pro Forma'!C39</f>
        <v/>
      </c>
      <c r="D898" s="1775" t="str">
        <f>'Part VII-Pro Forma'!D39</f>
        <v/>
      </c>
      <c r="E898" s="1775" t="str">
        <f>'Part VII-Pro Forma'!E39</f>
        <v/>
      </c>
      <c r="F898" s="1775" t="str">
        <f>'Part VII-Pro Forma'!F39</f>
        <v/>
      </c>
      <c r="G898" s="1775" t="str">
        <f>'Part VII-Pro Forma'!G39</f>
        <v/>
      </c>
      <c r="H898" s="1775" t="str">
        <f>'Part VII-Pro Forma'!H39</f>
        <v/>
      </c>
      <c r="I898" s="1775" t="str">
        <f>'Part VII-Pro Forma'!I39</f>
        <v/>
      </c>
      <c r="J898" s="1775" t="str">
        <f>'Part VII-Pro Forma'!J39</f>
        <v/>
      </c>
      <c r="K898" s="1775" t="str">
        <f>'Part VII-Pro Forma'!K39</f>
        <v/>
      </c>
      <c r="M898" s="1629"/>
      <c r="N898" s="1629"/>
    </row>
    <row r="899" spans="1:14">
      <c r="A899" s="1271" t="s">
        <v>1291</v>
      </c>
      <c r="B899" s="1775">
        <f>'Part VII-Pro Forma'!B40</f>
        <v>374424.75</v>
      </c>
      <c r="C899" s="1775">
        <f>'Part VII-Pro Forma'!C40</f>
        <v>332822</v>
      </c>
      <c r="D899" s="1775">
        <f>'Part VII-Pro Forma'!D40</f>
        <v>291219.25</v>
      </c>
      <c r="E899" s="1775">
        <f>'Part VII-Pro Forma'!E40</f>
        <v>249616.5</v>
      </c>
      <c r="F899" s="1775">
        <f>'Part VII-Pro Forma'!F40</f>
        <v>208013.75</v>
      </c>
      <c r="G899" s="1775">
        <f>'Part VII-Pro Forma'!G40</f>
        <v>166411</v>
      </c>
      <c r="H899" s="1775">
        <f>'Part VII-Pro Forma'!H40</f>
        <v>124808.25</v>
      </c>
      <c r="I899" s="1775">
        <f>'Part VII-Pro Forma'!I40</f>
        <v>83205.5</v>
      </c>
      <c r="J899" s="1775">
        <f>'Part VII-Pro Forma'!J40</f>
        <v>41602.75</v>
      </c>
      <c r="K899" s="1775">
        <f>'Part VII-Pro Forma'!K40</f>
        <v>0</v>
      </c>
      <c r="M899" s="1629"/>
      <c r="N899" s="1629"/>
    </row>
    <row r="900" spans="1:14">
      <c r="B900" s="1775"/>
      <c r="C900" s="1775"/>
      <c r="D900" s="1775"/>
      <c r="E900" s="1775"/>
      <c r="F900" s="1775"/>
      <c r="G900" s="1775"/>
      <c r="H900" s="1775"/>
      <c r="I900" s="1775"/>
      <c r="J900" s="1775"/>
      <c r="K900" s="1775"/>
    </row>
    <row r="901" spans="1:14">
      <c r="A901" s="1522" t="s">
        <v>2578</v>
      </c>
      <c r="B901" s="1778">
        <f>K872+1</f>
        <v>11</v>
      </c>
      <c r="C901" s="1778">
        <f t="shared" ref="C901:K901" si="292">B901+1</f>
        <v>12</v>
      </c>
      <c r="D901" s="1778">
        <f t="shared" si="292"/>
        <v>13</v>
      </c>
      <c r="E901" s="1778">
        <f t="shared" si="292"/>
        <v>14</v>
      </c>
      <c r="F901" s="1778">
        <f t="shared" si="292"/>
        <v>15</v>
      </c>
      <c r="G901" s="1778">
        <f t="shared" si="292"/>
        <v>16</v>
      </c>
      <c r="H901" s="1778">
        <f t="shared" si="292"/>
        <v>17</v>
      </c>
      <c r="I901" s="1778">
        <f t="shared" si="292"/>
        <v>18</v>
      </c>
      <c r="J901" s="1778">
        <f t="shared" si="292"/>
        <v>19</v>
      </c>
      <c r="K901" s="1778">
        <f t="shared" si="292"/>
        <v>20</v>
      </c>
      <c r="M901" s="1684" t="s">
        <v>2722</v>
      </c>
      <c r="N901" s="1684"/>
    </row>
    <row r="902" spans="1:14">
      <c r="A902" s="1271" t="s">
        <v>2500</v>
      </c>
      <c r="B902" s="1775">
        <f t="shared" ref="B902:K902" si="293">$B$14*(1+$B$5)^(B901-1)</f>
        <v>0</v>
      </c>
      <c r="C902" s="1775">
        <f t="shared" si="293"/>
        <v>0</v>
      </c>
      <c r="D902" s="1775">
        <f t="shared" si="293"/>
        <v>0</v>
      </c>
      <c r="E902" s="1775">
        <f t="shared" si="293"/>
        <v>0</v>
      </c>
      <c r="F902" s="1775">
        <f t="shared" si="293"/>
        <v>0</v>
      </c>
      <c r="G902" s="1775">
        <f t="shared" si="293"/>
        <v>0</v>
      </c>
      <c r="H902" s="1775">
        <f t="shared" si="293"/>
        <v>0</v>
      </c>
      <c r="I902" s="1775">
        <f t="shared" si="293"/>
        <v>0</v>
      </c>
      <c r="J902" s="1775">
        <f t="shared" si="293"/>
        <v>0</v>
      </c>
      <c r="K902" s="1775">
        <f t="shared" si="293"/>
        <v>0</v>
      </c>
      <c r="M902" s="1629">
        <f>'Part VII-Pro Forma'!M43</f>
        <v>0</v>
      </c>
      <c r="N902" s="1629"/>
    </row>
    <row r="903" spans="1:14">
      <c r="A903" s="1271" t="s">
        <v>1060</v>
      </c>
      <c r="B903" s="1775">
        <f t="shared" ref="B903:K903" si="294">$B$15*(1+$B$5)^(B901-1)</f>
        <v>0</v>
      </c>
      <c r="C903" s="1775">
        <f t="shared" si="294"/>
        <v>0</v>
      </c>
      <c r="D903" s="1775">
        <f t="shared" si="294"/>
        <v>0</v>
      </c>
      <c r="E903" s="1775">
        <f t="shared" si="294"/>
        <v>0</v>
      </c>
      <c r="F903" s="1775">
        <f t="shared" si="294"/>
        <v>0</v>
      </c>
      <c r="G903" s="1775">
        <f t="shared" si="294"/>
        <v>0</v>
      </c>
      <c r="H903" s="1775">
        <f t="shared" si="294"/>
        <v>0</v>
      </c>
      <c r="I903" s="1775">
        <f t="shared" si="294"/>
        <v>0</v>
      </c>
      <c r="J903" s="1775">
        <f t="shared" si="294"/>
        <v>0</v>
      </c>
      <c r="K903" s="1775">
        <f t="shared" si="294"/>
        <v>0</v>
      </c>
      <c r="M903" s="1629"/>
      <c r="N903" s="1629"/>
    </row>
    <row r="904" spans="1:14">
      <c r="A904" s="1271" t="s">
        <v>2501</v>
      </c>
      <c r="B904" s="1775">
        <f t="shared" ref="B904:K904" si="295">-(B902+B903)*$B$8</f>
        <v>0</v>
      </c>
      <c r="C904" s="1775">
        <f t="shared" si="295"/>
        <v>0</v>
      </c>
      <c r="D904" s="1775">
        <f t="shared" si="295"/>
        <v>0</v>
      </c>
      <c r="E904" s="1775">
        <f t="shared" si="295"/>
        <v>0</v>
      </c>
      <c r="F904" s="1775">
        <f t="shared" si="295"/>
        <v>0</v>
      </c>
      <c r="G904" s="1775">
        <f t="shared" si="295"/>
        <v>0</v>
      </c>
      <c r="H904" s="1775">
        <f t="shared" si="295"/>
        <v>0</v>
      </c>
      <c r="I904" s="1775">
        <f t="shared" si="295"/>
        <v>0</v>
      </c>
      <c r="J904" s="1775">
        <f t="shared" si="295"/>
        <v>0</v>
      </c>
      <c r="K904" s="1775">
        <f t="shared" si="295"/>
        <v>0</v>
      </c>
      <c r="M904" s="1629"/>
      <c r="N904" s="1629"/>
    </row>
    <row r="905" spans="1:14">
      <c r="A905" s="1271" t="s">
        <v>54</v>
      </c>
      <c r="B905" s="1775">
        <f>'Part VI-Revenues &amp; Expenses'!G996</f>
        <v>0</v>
      </c>
      <c r="C905" s="1775">
        <f>'Part VI-Revenues &amp; Expenses'!H996</f>
        <v>0</v>
      </c>
      <c r="D905" s="1775">
        <f>'Part VI-Revenues &amp; Expenses'!I996</f>
        <v>0</v>
      </c>
      <c r="E905" s="1775">
        <f>'Part VI-Revenues &amp; Expenses'!J996</f>
        <v>0</v>
      </c>
      <c r="F905" s="1775">
        <f>'Part VI-Revenues &amp; Expenses'!K996</f>
        <v>0</v>
      </c>
      <c r="G905" s="1775">
        <f>'Part VI-Revenues &amp; Expenses'!L996</f>
        <v>0</v>
      </c>
      <c r="H905" s="1775">
        <f>'Part VI-Revenues &amp; Expenses'!M996</f>
        <v>0</v>
      </c>
      <c r="I905" s="1775">
        <f>'Part VI-Revenues &amp; Expenses'!N996</f>
        <v>0</v>
      </c>
      <c r="J905" s="1775">
        <f>'Part VI-Revenues &amp; Expenses'!O996</f>
        <v>0</v>
      </c>
      <c r="K905" s="1775">
        <f>'Part VI-Revenues &amp; Expenses'!P996</f>
        <v>0</v>
      </c>
      <c r="M905" s="1629"/>
      <c r="N905" s="1629"/>
    </row>
    <row r="906" spans="1:14">
      <c r="A906" s="1271" t="s">
        <v>55</v>
      </c>
      <c r="B906" s="1775">
        <f>'Part VI-Revenues &amp; Expenses'!G1000</f>
        <v>0</v>
      </c>
      <c r="C906" s="1775">
        <f>'Part VI-Revenues &amp; Expenses'!H1000</f>
        <v>0</v>
      </c>
      <c r="D906" s="1775">
        <f>'Part VI-Revenues &amp; Expenses'!I1000</f>
        <v>0</v>
      </c>
      <c r="E906" s="1775">
        <f>'Part VI-Revenues &amp; Expenses'!J1000</f>
        <v>0</v>
      </c>
      <c r="F906" s="1775">
        <f>'Part VI-Revenues &amp; Expenses'!K1000</f>
        <v>0</v>
      </c>
      <c r="G906" s="1775">
        <f>'Part VI-Revenues &amp; Expenses'!L1000</f>
        <v>0</v>
      </c>
      <c r="H906" s="1775">
        <f>'Part VI-Revenues &amp; Expenses'!M1000</f>
        <v>0</v>
      </c>
      <c r="I906" s="1775">
        <f>'Part VI-Revenues &amp; Expenses'!N1000</f>
        <v>0</v>
      </c>
      <c r="J906" s="1775">
        <f>'Part VI-Revenues &amp; Expenses'!O1000</f>
        <v>0</v>
      </c>
      <c r="K906" s="1775">
        <f>'Part VI-Revenues &amp; Expenses'!P1000</f>
        <v>0</v>
      </c>
      <c r="M906" s="1629"/>
      <c r="N906" s="1629"/>
    </row>
    <row r="907" spans="1:14">
      <c r="A907" s="1271" t="s">
        <v>644</v>
      </c>
      <c r="B907" s="1775">
        <f t="shared" ref="B907:K907" si="296">$B$19*(1+$B$6)^(B901-1)</f>
        <v>0</v>
      </c>
      <c r="C907" s="1775">
        <f t="shared" si="296"/>
        <v>0</v>
      </c>
      <c r="D907" s="1775">
        <f t="shared" si="296"/>
        <v>0</v>
      </c>
      <c r="E907" s="1775">
        <f t="shared" si="296"/>
        <v>0</v>
      </c>
      <c r="F907" s="1775">
        <f t="shared" si="296"/>
        <v>0</v>
      </c>
      <c r="G907" s="1775">
        <f t="shared" si="296"/>
        <v>0</v>
      </c>
      <c r="H907" s="1775">
        <f t="shared" si="296"/>
        <v>0</v>
      </c>
      <c r="I907" s="1775">
        <f t="shared" si="296"/>
        <v>0</v>
      </c>
      <c r="J907" s="1775">
        <f t="shared" si="296"/>
        <v>0</v>
      </c>
      <c r="K907" s="1775">
        <f t="shared" si="296"/>
        <v>0</v>
      </c>
      <c r="M907" s="1629"/>
      <c r="N907" s="1629"/>
    </row>
    <row r="908" spans="1:14">
      <c r="A908" s="1271" t="s">
        <v>1160</v>
      </c>
      <c r="B908" s="1775">
        <f>IF(AND('Part VII-Pro Forma'!$G$8="Yes",'Part VII-Pro Forma'!$G$9="Yes"),"Choose One!",IF('Part VII-Pro Forma'!$G$8="Yes",ROUND((-$K$8*(1+'Part VII-Pro Forma'!$B$6)^('Part VII-Pro Forma'!B901-1)),),IF('Part VII-Pro Forma'!$G$9="Yes",ROUND((-(SUM(B902:B905)*'Part VII-Pro Forma'!$K$9)),),"Choose mgt fee")))</f>
        <v>0</v>
      </c>
      <c r="C908" s="1775">
        <f>IF(AND('Part VII-Pro Forma'!$G$8="Yes",'Part VII-Pro Forma'!$G$9="Yes"),"Choose One!",IF('Part VII-Pro Forma'!$G$8="Yes",ROUND((-$K$8*(1+'Part VII-Pro Forma'!$B$6)^('Part VII-Pro Forma'!C901-1)),),IF('Part VII-Pro Forma'!$G$9="Yes",ROUND((-(SUM(C902:C905)*'Part VII-Pro Forma'!$K$9)),),"Choose mgt fee")))</f>
        <v>0</v>
      </c>
      <c r="D908" s="1775">
        <f>IF(AND('Part VII-Pro Forma'!$G$8="Yes",'Part VII-Pro Forma'!$G$9="Yes"),"Choose One!",IF('Part VII-Pro Forma'!$G$8="Yes",ROUND((-$K$8*(1+'Part VII-Pro Forma'!$B$6)^('Part VII-Pro Forma'!D901-1)),),IF('Part VII-Pro Forma'!$G$9="Yes",ROUND((-(SUM(D902:D905)*'Part VII-Pro Forma'!$K$9)),),"Choose mgt fee")))</f>
        <v>0</v>
      </c>
      <c r="E908" s="1775">
        <f>IF(AND('Part VII-Pro Forma'!$G$8="Yes",'Part VII-Pro Forma'!$G$9="Yes"),"Choose One!",IF('Part VII-Pro Forma'!$G$8="Yes",ROUND((-$K$8*(1+'Part VII-Pro Forma'!$B$6)^('Part VII-Pro Forma'!E901-1)),),IF('Part VII-Pro Forma'!$G$9="Yes",ROUND((-(SUM(E902:E905)*'Part VII-Pro Forma'!$K$9)),),"Choose mgt fee")))</f>
        <v>0</v>
      </c>
      <c r="F908" s="1775">
        <f>IF(AND('Part VII-Pro Forma'!$G$8="Yes",'Part VII-Pro Forma'!$G$9="Yes"),"Choose One!",IF('Part VII-Pro Forma'!$G$8="Yes",ROUND((-$K$8*(1+'Part VII-Pro Forma'!$B$6)^('Part VII-Pro Forma'!F901-1)),),IF('Part VII-Pro Forma'!$G$9="Yes",ROUND((-(SUM(F902:F905)*'Part VII-Pro Forma'!$K$9)),),"Choose mgt fee")))</f>
        <v>0</v>
      </c>
      <c r="G908" s="1775">
        <f>IF(AND('Part VII-Pro Forma'!$G$8="Yes",'Part VII-Pro Forma'!$G$9="Yes"),"Choose One!",IF('Part VII-Pro Forma'!$G$8="Yes",ROUND((-$K$8*(1+'Part VII-Pro Forma'!$B$6)^('Part VII-Pro Forma'!G901-1)),),IF('Part VII-Pro Forma'!$G$9="Yes",ROUND((-(SUM(G902:G905)*'Part VII-Pro Forma'!$K$9)),),"Choose mgt fee")))</f>
        <v>0</v>
      </c>
      <c r="H908" s="1775">
        <f>IF(AND('Part VII-Pro Forma'!$G$8="Yes",'Part VII-Pro Forma'!$G$9="Yes"),"Choose One!",IF('Part VII-Pro Forma'!$G$8="Yes",ROUND((-$K$8*(1+'Part VII-Pro Forma'!$B$6)^('Part VII-Pro Forma'!H901-1)),),IF('Part VII-Pro Forma'!$G$9="Yes",ROUND((-(SUM(H902:H905)*'Part VII-Pro Forma'!$K$9)),),"Choose mgt fee")))</f>
        <v>0</v>
      </c>
      <c r="I908" s="1775">
        <f>IF(AND('Part VII-Pro Forma'!$G$8="Yes",'Part VII-Pro Forma'!$G$9="Yes"),"Choose One!",IF('Part VII-Pro Forma'!$G$8="Yes",ROUND((-$K$8*(1+'Part VII-Pro Forma'!$B$6)^('Part VII-Pro Forma'!I901-1)),),IF('Part VII-Pro Forma'!$G$9="Yes",ROUND((-(SUM(I902:I905)*'Part VII-Pro Forma'!$K$9)),),"Choose mgt fee")))</f>
        <v>0</v>
      </c>
      <c r="J908" s="1775">
        <f>IF(AND('Part VII-Pro Forma'!$G$8="Yes",'Part VII-Pro Forma'!$G$9="Yes"),"Choose One!",IF('Part VII-Pro Forma'!$G$8="Yes",ROUND((-$K$8*(1+'Part VII-Pro Forma'!$B$6)^('Part VII-Pro Forma'!J901-1)),),IF('Part VII-Pro Forma'!$G$9="Yes",ROUND((-(SUM(J902:J905)*'Part VII-Pro Forma'!$K$9)),),"Choose mgt fee")))</f>
        <v>0</v>
      </c>
      <c r="K908" s="1775">
        <f>IF(AND('Part VII-Pro Forma'!$G$8="Yes",'Part VII-Pro Forma'!$G$9="Yes"),"Choose One!",IF('Part VII-Pro Forma'!$G$8="Yes",ROUND((-$K$8*(1+'Part VII-Pro Forma'!$B$6)^('Part VII-Pro Forma'!K901-1)),),IF('Part VII-Pro Forma'!$G$9="Yes",ROUND((-(SUM(K902:K905)*'Part VII-Pro Forma'!$K$9)),),"Choose mgt fee")))</f>
        <v>0</v>
      </c>
      <c r="M908" s="1629"/>
      <c r="N908" s="1629"/>
    </row>
    <row r="909" spans="1:14">
      <c r="A909" s="1271" t="s">
        <v>1254</v>
      </c>
      <c r="B909" s="1775">
        <f t="shared" ref="B909:K909" si="297">$B$21*(1+$B$7)^(B901-1)</f>
        <v>0</v>
      </c>
      <c r="C909" s="1775">
        <f t="shared" si="297"/>
        <v>0</v>
      </c>
      <c r="D909" s="1775">
        <f t="shared" si="297"/>
        <v>0</v>
      </c>
      <c r="E909" s="1775">
        <f t="shared" si="297"/>
        <v>0</v>
      </c>
      <c r="F909" s="1775">
        <f t="shared" si="297"/>
        <v>0</v>
      </c>
      <c r="G909" s="1775">
        <f t="shared" si="297"/>
        <v>0</v>
      </c>
      <c r="H909" s="1775">
        <f t="shared" si="297"/>
        <v>0</v>
      </c>
      <c r="I909" s="1775">
        <f t="shared" si="297"/>
        <v>0</v>
      </c>
      <c r="J909" s="1775">
        <f t="shared" si="297"/>
        <v>0</v>
      </c>
      <c r="K909" s="1775">
        <f t="shared" si="297"/>
        <v>0</v>
      </c>
      <c r="M909" s="1629"/>
      <c r="N909" s="1629"/>
    </row>
    <row r="910" spans="1:14">
      <c r="A910" s="1271" t="s">
        <v>1255</v>
      </c>
      <c r="B910" s="1775">
        <f t="shared" ref="B910:K910" si="298">SUM(B902:B909)</f>
        <v>0</v>
      </c>
      <c r="C910" s="1775">
        <f t="shared" si="298"/>
        <v>0</v>
      </c>
      <c r="D910" s="1775">
        <f t="shared" si="298"/>
        <v>0</v>
      </c>
      <c r="E910" s="1775">
        <f t="shared" si="298"/>
        <v>0</v>
      </c>
      <c r="F910" s="1775">
        <f t="shared" si="298"/>
        <v>0</v>
      </c>
      <c r="G910" s="1775">
        <f t="shared" si="298"/>
        <v>0</v>
      </c>
      <c r="H910" s="1775">
        <f t="shared" si="298"/>
        <v>0</v>
      </c>
      <c r="I910" s="1775">
        <f t="shared" si="298"/>
        <v>0</v>
      </c>
      <c r="J910" s="1775">
        <f t="shared" si="298"/>
        <v>0</v>
      </c>
      <c r="K910" s="1775">
        <f t="shared" si="298"/>
        <v>0</v>
      </c>
      <c r="M910" s="1629"/>
      <c r="N910" s="1629"/>
    </row>
    <row r="911" spans="1:14">
      <c r="A911" s="1271" t="str">
        <f>$A882</f>
        <v>Mortgage A</v>
      </c>
      <c r="B911" s="1775">
        <f>'Part VII-Pro Forma'!B52</f>
        <v>-361987.34381576651</v>
      </c>
      <c r="C911" s="1775">
        <f>'Part VII-Pro Forma'!C52</f>
        <v>-361987.34381576651</v>
      </c>
      <c r="D911" s="1775">
        <f>'Part VII-Pro Forma'!D52</f>
        <v>-361987.34381576651</v>
      </c>
      <c r="E911" s="1775">
        <f>'Part VII-Pro Forma'!E52</f>
        <v>-361987.34381576651</v>
      </c>
      <c r="F911" s="1775">
        <f>'Part VII-Pro Forma'!F52</f>
        <v>-361987.34381576651</v>
      </c>
      <c r="G911" s="1775">
        <f>'Part VII-Pro Forma'!G52</f>
        <v>-361987.34381576651</v>
      </c>
      <c r="H911" s="1775">
        <f>'Part VII-Pro Forma'!H52</f>
        <v>-361987.34381576651</v>
      </c>
      <c r="I911" s="1775">
        <f>'Part VII-Pro Forma'!I52</f>
        <v>-361987.34381576651</v>
      </c>
      <c r="J911" s="1775">
        <f>'Part VII-Pro Forma'!J52</f>
        <v>-361987.34381576651</v>
      </c>
      <c r="K911" s="1775">
        <f>'Part VII-Pro Forma'!K52</f>
        <v>-361987.34381576651</v>
      </c>
      <c r="M911" s="1629"/>
      <c r="N911" s="1629"/>
    </row>
    <row r="912" spans="1:14">
      <c r="A912" s="1271" t="str">
        <f>$A883</f>
        <v>Mortgage B</v>
      </c>
      <c r="B912" s="1775">
        <f>'Part VII-Pro Forma'!B53</f>
        <v>-101622.85161720682</v>
      </c>
      <c r="C912" s="1775">
        <f>'Part VII-Pro Forma'!C53</f>
        <v>-101622.85161720682</v>
      </c>
      <c r="D912" s="1775">
        <f>'Part VII-Pro Forma'!D53</f>
        <v>-101622.85161720682</v>
      </c>
      <c r="E912" s="1775">
        <f>'Part VII-Pro Forma'!E53</f>
        <v>-101622.85161720682</v>
      </c>
      <c r="F912" s="1775">
        <f>'Part VII-Pro Forma'!F53</f>
        <v>-101622.85161720682</v>
      </c>
      <c r="G912" s="1775">
        <f>'Part VII-Pro Forma'!G53</f>
        <v>-101622.85161720682</v>
      </c>
      <c r="H912" s="1775">
        <f>'Part VII-Pro Forma'!H53</f>
        <v>-101622.85161720682</v>
      </c>
      <c r="I912" s="1775">
        <f>'Part VII-Pro Forma'!I53</f>
        <v>-101622.85161720682</v>
      </c>
      <c r="J912" s="1775">
        <f>'Part VII-Pro Forma'!J53</f>
        <v>-101622.85161720682</v>
      </c>
      <c r="K912" s="1775">
        <f>'Part VII-Pro Forma'!K53</f>
        <v>-101622.85161720682</v>
      </c>
      <c r="M912" s="1629"/>
      <c r="N912" s="1629"/>
    </row>
    <row r="913" spans="1:14">
      <c r="A913" s="1271" t="str">
        <f>$A884</f>
        <v>Mortgage C</v>
      </c>
      <c r="B913" s="1775">
        <f>'Part VII-Pro Forma'!B54</f>
        <v>0</v>
      </c>
      <c r="C913" s="1775">
        <f>'Part VII-Pro Forma'!C54</f>
        <v>0</v>
      </c>
      <c r="D913" s="1775">
        <f>'Part VII-Pro Forma'!D54</f>
        <v>0</v>
      </c>
      <c r="E913" s="1775">
        <f>'Part VII-Pro Forma'!E54</f>
        <v>0</v>
      </c>
      <c r="F913" s="1775">
        <f>'Part VII-Pro Forma'!F54</f>
        <v>0</v>
      </c>
      <c r="G913" s="1775">
        <f>'Part VII-Pro Forma'!G54</f>
        <v>0</v>
      </c>
      <c r="H913" s="1775">
        <f>'Part VII-Pro Forma'!H54</f>
        <v>0</v>
      </c>
      <c r="I913" s="1775">
        <f>'Part VII-Pro Forma'!I54</f>
        <v>0</v>
      </c>
      <c r="J913" s="1775">
        <f>'Part VII-Pro Forma'!J54</f>
        <v>0</v>
      </c>
      <c r="K913" s="1775">
        <f>'Part VII-Pro Forma'!K54</f>
        <v>0</v>
      </c>
      <c r="M913" s="1629"/>
      <c r="N913" s="1629"/>
    </row>
    <row r="914" spans="1:14">
      <c r="A914" s="1271" t="str">
        <f>$A885</f>
        <v>D/S Other Source</v>
      </c>
      <c r="B914" s="1775">
        <f>'Part VII-Pro Forma'!B55</f>
        <v>0</v>
      </c>
      <c r="C914" s="1775">
        <f>'Part VII-Pro Forma'!C55</f>
        <v>0</v>
      </c>
      <c r="D914" s="1775">
        <f>'Part VII-Pro Forma'!D55</f>
        <v>0</v>
      </c>
      <c r="E914" s="1775">
        <f>'Part VII-Pro Forma'!E55</f>
        <v>0</v>
      </c>
      <c r="F914" s="1775">
        <f>'Part VII-Pro Forma'!F55</f>
        <v>0</v>
      </c>
      <c r="G914" s="1775">
        <f>'Part VII-Pro Forma'!G55</f>
        <v>0</v>
      </c>
      <c r="H914" s="1775">
        <f>'Part VII-Pro Forma'!H55</f>
        <v>0</v>
      </c>
      <c r="I914" s="1775">
        <f>'Part VII-Pro Forma'!I55</f>
        <v>0</v>
      </c>
      <c r="J914" s="1775">
        <f>'Part VII-Pro Forma'!J55</f>
        <v>0</v>
      </c>
      <c r="K914" s="1775">
        <f>'Part VII-Pro Forma'!K55</f>
        <v>0</v>
      </c>
      <c r="M914" s="1629"/>
      <c r="N914" s="1629"/>
    </row>
    <row r="915" spans="1:14">
      <c r="A915" s="1271" t="s">
        <v>801</v>
      </c>
      <c r="B915" s="1775">
        <f>'Part VII-Pro Forma'!B56</f>
        <v>0</v>
      </c>
      <c r="C915" s="1775">
        <f>'Part VII-Pro Forma'!C56</f>
        <v>0</v>
      </c>
      <c r="D915" s="1775">
        <f>'Part VII-Pro Forma'!D56</f>
        <v>0</v>
      </c>
      <c r="E915" s="1775">
        <f>'Part VII-Pro Forma'!E56</f>
        <v>0</v>
      </c>
      <c r="F915" s="1775">
        <f>'Part VII-Pro Forma'!F56</f>
        <v>0</v>
      </c>
      <c r="G915" s="1775">
        <f>'Part VII-Pro Forma'!G56</f>
        <v>0</v>
      </c>
      <c r="H915" s="1775">
        <f>'Part VII-Pro Forma'!H56</f>
        <v>0</v>
      </c>
      <c r="I915" s="1775">
        <f>'Part VII-Pro Forma'!I56</f>
        <v>0</v>
      </c>
      <c r="J915" s="1775">
        <f>'Part VII-Pro Forma'!J56</f>
        <v>0</v>
      </c>
      <c r="K915" s="1775">
        <f>'Part VII-Pro Forma'!K56</f>
        <v>0</v>
      </c>
      <c r="M915" s="1629"/>
      <c r="N915" s="1629"/>
    </row>
    <row r="916" spans="1:14">
      <c r="A916" s="1271" t="s">
        <v>1213</v>
      </c>
      <c r="B916" s="1775">
        <f>'Part VII-Pro Forma'!B57</f>
        <v>-7500</v>
      </c>
      <c r="C916" s="1775">
        <f>'Part VII-Pro Forma'!C57</f>
        <v>-7500</v>
      </c>
      <c r="D916" s="1775">
        <f>'Part VII-Pro Forma'!D57</f>
        <v>-7500</v>
      </c>
      <c r="E916" s="1775">
        <f>'Part VII-Pro Forma'!E57</f>
        <v>-7500</v>
      </c>
      <c r="F916" s="1775">
        <f>'Part VII-Pro Forma'!F57</f>
        <v>-7500</v>
      </c>
      <c r="G916" s="1775">
        <f>'Part VII-Pro Forma'!G57</f>
        <v>-7500</v>
      </c>
      <c r="H916" s="1775">
        <f>'Part VII-Pro Forma'!H57</f>
        <v>-7500</v>
      </c>
      <c r="I916" s="1775">
        <f>'Part VII-Pro Forma'!I57</f>
        <v>-7500</v>
      </c>
      <c r="J916" s="1775">
        <f>'Part VII-Pro Forma'!J57</f>
        <v>-7500</v>
      </c>
      <c r="K916" s="1775">
        <f>'Part VII-Pro Forma'!K57</f>
        <v>-7500</v>
      </c>
      <c r="M916" s="1629"/>
      <c r="N916" s="1629"/>
    </row>
    <row r="917" spans="1:14">
      <c r="A917" s="1271" t="s">
        <v>1256</v>
      </c>
      <c r="B917" s="1775">
        <f>'Part VII-Pro Forma'!B58</f>
        <v>0</v>
      </c>
      <c r="C917" s="1775">
        <f>'Part VII-Pro Forma'!C58</f>
        <v>0</v>
      </c>
      <c r="D917" s="1775">
        <f>'Part VII-Pro Forma'!D58</f>
        <v>0</v>
      </c>
      <c r="E917" s="1775">
        <f>'Part VII-Pro Forma'!E58</f>
        <v>0</v>
      </c>
      <c r="F917" s="1775">
        <f>'Part VII-Pro Forma'!F58</f>
        <v>0</v>
      </c>
      <c r="G917" s="1775">
        <f>'Part VII-Pro Forma'!G58</f>
        <v>0</v>
      </c>
      <c r="H917" s="1775">
        <f>'Part VII-Pro Forma'!H58</f>
        <v>0</v>
      </c>
      <c r="I917" s="1775">
        <f>'Part VII-Pro Forma'!I58</f>
        <v>0</v>
      </c>
      <c r="J917" s="1775">
        <f>'Part VII-Pro Forma'!J58</f>
        <v>0</v>
      </c>
      <c r="K917" s="1775">
        <f>'Part VII-Pro Forma'!K58</f>
        <v>0</v>
      </c>
      <c r="M917" s="1629"/>
      <c r="N917" s="1629"/>
    </row>
    <row r="918" spans="1:14">
      <c r="A918" s="1271" t="s">
        <v>1214</v>
      </c>
      <c r="B918" s="1775">
        <f t="shared" ref="B918:K918" si="299">SUM(B910:B917)</f>
        <v>-471110.19543297333</v>
      </c>
      <c r="C918" s="1775">
        <f t="shared" si="299"/>
        <v>-471110.19543297333</v>
      </c>
      <c r="D918" s="1775">
        <f t="shared" si="299"/>
        <v>-471110.19543297333</v>
      </c>
      <c r="E918" s="1775">
        <f t="shared" si="299"/>
        <v>-471110.19543297333</v>
      </c>
      <c r="F918" s="1775">
        <f t="shared" si="299"/>
        <v>-471110.19543297333</v>
      </c>
      <c r="G918" s="1775">
        <f t="shared" si="299"/>
        <v>-471110.19543297333</v>
      </c>
      <c r="H918" s="1775">
        <f t="shared" si="299"/>
        <v>-471110.19543297333</v>
      </c>
      <c r="I918" s="1775">
        <f t="shared" si="299"/>
        <v>-471110.19543297333</v>
      </c>
      <c r="J918" s="1775">
        <f t="shared" si="299"/>
        <v>-471110.19543297333</v>
      </c>
      <c r="K918" s="1775">
        <f t="shared" si="299"/>
        <v>-471110.19543297333</v>
      </c>
      <c r="M918" s="1629"/>
      <c r="N918" s="1629"/>
    </row>
    <row r="919" spans="1:14">
      <c r="A919" s="1271" t="str">
        <f>$A890</f>
        <v>DCR Mortgage A</v>
      </c>
      <c r="B919" s="1776">
        <f>IF(B911=0,"",-B910/B911)</f>
        <v>0</v>
      </c>
      <c r="C919" s="1776">
        <f t="shared" ref="C919:K919" si="300">IF(C911=0,"",-C910/C911)</f>
        <v>0</v>
      </c>
      <c r="D919" s="1776">
        <f t="shared" si="300"/>
        <v>0</v>
      </c>
      <c r="E919" s="1776">
        <f t="shared" si="300"/>
        <v>0</v>
      </c>
      <c r="F919" s="1776">
        <f t="shared" si="300"/>
        <v>0</v>
      </c>
      <c r="G919" s="1776">
        <f t="shared" si="300"/>
        <v>0</v>
      </c>
      <c r="H919" s="1776">
        <f t="shared" si="300"/>
        <v>0</v>
      </c>
      <c r="I919" s="1776">
        <f t="shared" si="300"/>
        <v>0</v>
      </c>
      <c r="J919" s="1776">
        <f t="shared" si="300"/>
        <v>0</v>
      </c>
      <c r="K919" s="1776">
        <f t="shared" si="300"/>
        <v>0</v>
      </c>
      <c r="M919" s="1629"/>
      <c r="N919" s="1629"/>
    </row>
    <row r="920" spans="1:14">
      <c r="A920" s="1271" t="str">
        <f>$A891</f>
        <v>DCR Mortgage B</v>
      </c>
      <c r="B920" s="1776">
        <f>IF(OR(B912=0,AND(B912=0,B911=0)),"",-B910/(B911+B912))</f>
        <v>0</v>
      </c>
      <c r="C920" s="1776">
        <f t="shared" ref="C920:K920" si="301">IF(OR(C912=0,AND(C912=0,C911=0)),"",-C910/(C911+C912))</f>
        <v>0</v>
      </c>
      <c r="D920" s="1776">
        <f t="shared" si="301"/>
        <v>0</v>
      </c>
      <c r="E920" s="1776">
        <f t="shared" si="301"/>
        <v>0</v>
      </c>
      <c r="F920" s="1776">
        <f t="shared" si="301"/>
        <v>0</v>
      </c>
      <c r="G920" s="1776">
        <f t="shared" si="301"/>
        <v>0</v>
      </c>
      <c r="H920" s="1776">
        <f t="shared" si="301"/>
        <v>0</v>
      </c>
      <c r="I920" s="1776">
        <f t="shared" si="301"/>
        <v>0</v>
      </c>
      <c r="J920" s="1776">
        <f t="shared" si="301"/>
        <v>0</v>
      </c>
      <c r="K920" s="1776">
        <f t="shared" si="301"/>
        <v>0</v>
      </c>
      <c r="M920" s="1629"/>
      <c r="N920" s="1629"/>
    </row>
    <row r="921" spans="1:14">
      <c r="A921" s="1271" t="str">
        <f>$A892</f>
        <v>DCR Mortgage C</v>
      </c>
      <c r="B921" s="1776" t="str">
        <f>IF(OR(B913=0,AND(B913=0,B912=0,B911=0)),"",-B910/(B911+B912+B913))</f>
        <v/>
      </c>
      <c r="C921" s="1776" t="str">
        <f t="shared" ref="C921:K921" si="302">IF(OR(C913=0,AND(C913=0,C912=0,C911=0)),"",-C910/(C911+C912+C913))</f>
        <v/>
      </c>
      <c r="D921" s="1776" t="str">
        <f t="shared" si="302"/>
        <v/>
      </c>
      <c r="E921" s="1776" t="str">
        <f t="shared" si="302"/>
        <v/>
      </c>
      <c r="F921" s="1776" t="str">
        <f t="shared" si="302"/>
        <v/>
      </c>
      <c r="G921" s="1776" t="str">
        <f t="shared" si="302"/>
        <v/>
      </c>
      <c r="H921" s="1776" t="str">
        <f t="shared" si="302"/>
        <v/>
      </c>
      <c r="I921" s="1776" t="str">
        <f t="shared" si="302"/>
        <v/>
      </c>
      <c r="J921" s="1776" t="str">
        <f t="shared" si="302"/>
        <v/>
      </c>
      <c r="K921" s="1776" t="str">
        <f t="shared" si="302"/>
        <v/>
      </c>
      <c r="M921" s="1629"/>
      <c r="N921" s="1629"/>
    </row>
    <row r="922" spans="1:14">
      <c r="A922" s="1271" t="str">
        <f>$A893</f>
        <v>DCR Other Source</v>
      </c>
      <c r="B922" s="1776" t="str">
        <f>IF(OR(B914=0,AND(B911=0,B912=0,B913=0,B914=0)),"",-B910/(B911+B912+B913+B914))</f>
        <v/>
      </c>
      <c r="C922" s="1776" t="str">
        <f t="shared" ref="C922:K922" si="303">IF(OR(C914=0,AND(C911=0,C912=0,C913=0,C914=0)),"",-C910/(C911+C912+C913+C914))</f>
        <v/>
      </c>
      <c r="D922" s="1776" t="str">
        <f t="shared" si="303"/>
        <v/>
      </c>
      <c r="E922" s="1776" t="str">
        <f t="shared" si="303"/>
        <v/>
      </c>
      <c r="F922" s="1776" t="str">
        <f t="shared" si="303"/>
        <v/>
      </c>
      <c r="G922" s="1776" t="str">
        <f t="shared" si="303"/>
        <v/>
      </c>
      <c r="H922" s="1776" t="str">
        <f t="shared" si="303"/>
        <v/>
      </c>
      <c r="I922" s="1776" t="str">
        <f t="shared" si="303"/>
        <v/>
      </c>
      <c r="J922" s="1776" t="str">
        <f t="shared" si="303"/>
        <v/>
      </c>
      <c r="K922" s="1776" t="str">
        <f t="shared" si="303"/>
        <v/>
      </c>
      <c r="M922" s="1629"/>
      <c r="N922" s="1629"/>
    </row>
    <row r="923" spans="1:14">
      <c r="A923" s="1271" t="s">
        <v>808</v>
      </c>
      <c r="B923" s="1777" t="e">
        <f>IF(OR(B908="Choose mgt fee",B908="Choose One!"),"",(B902+B903+B904+B905+B906) / -(B907+B908+B909))</f>
        <v>#DIV/0!</v>
      </c>
      <c r="C923" s="1777" t="e">
        <f t="shared" ref="C923:K923" si="304">IF(OR(C908="Choose mgt fee",C908="Choose One!"),"",(C902+C903+C904+C905+C906) / -(C907+C908+C909))</f>
        <v>#DIV/0!</v>
      </c>
      <c r="D923" s="1777" t="e">
        <f t="shared" si="304"/>
        <v>#DIV/0!</v>
      </c>
      <c r="E923" s="1777" t="e">
        <f t="shared" si="304"/>
        <v>#DIV/0!</v>
      </c>
      <c r="F923" s="1777" t="e">
        <f t="shared" si="304"/>
        <v>#DIV/0!</v>
      </c>
      <c r="G923" s="1777" t="e">
        <f t="shared" si="304"/>
        <v>#DIV/0!</v>
      </c>
      <c r="H923" s="1777" t="e">
        <f t="shared" si="304"/>
        <v>#DIV/0!</v>
      </c>
      <c r="I923" s="1777" t="e">
        <f t="shared" si="304"/>
        <v>#DIV/0!</v>
      </c>
      <c r="J923" s="1777" t="e">
        <f t="shared" si="304"/>
        <v>#DIV/0!</v>
      </c>
      <c r="K923" s="1777" t="e">
        <f t="shared" si="304"/>
        <v>#DIV/0!</v>
      </c>
      <c r="M923" s="1629"/>
      <c r="N923" s="1629"/>
    </row>
    <row r="924" spans="1:14">
      <c r="A924" s="1271" t="s">
        <v>2717</v>
      </c>
      <c r="B924" s="1775">
        <f>'Part VII-Pro Forma'!B65</f>
        <v>5495324.5594468536</v>
      </c>
      <c r="C924" s="1775">
        <f>'Part VII-Pro Forma'!C65</f>
        <v>5358816.1018568035</v>
      </c>
      <c r="D924" s="1775">
        <f>'Part VII-Pro Forma'!D65</f>
        <v>5216533.5364406221</v>
      </c>
      <c r="E924" s="1775">
        <f>'Part VII-Pro Forma'!E65</f>
        <v>5068232.6268940074</v>
      </c>
      <c r="F924" s="1775">
        <f>'Part VII-Pro Forma'!F65</f>
        <v>4913658.8060746929</v>
      </c>
      <c r="G924" s="1775">
        <f>'Part VII-Pro Forma'!G65</f>
        <v>4752546.7390231322</v>
      </c>
      <c r="H924" s="1775">
        <f>'Part VII-Pro Forma'!H65</f>
        <v>4584619.8674996002</v>
      </c>
      <c r="I924" s="1775">
        <f>'Part VII-Pro Forma'!I65</f>
        <v>4409589.9352558777</v>
      </c>
      <c r="J924" s="1775">
        <f>'Part VII-Pro Forma'!J65</f>
        <v>4227156.4932266241</v>
      </c>
      <c r="K924" s="1775">
        <f>'Part VII-Pro Forma'!K65</f>
        <v>4037006.3837910728</v>
      </c>
      <c r="M924" s="1629"/>
      <c r="N924" s="1629"/>
    </row>
    <row r="925" spans="1:14">
      <c r="A925" s="1271" t="s">
        <v>2718</v>
      </c>
      <c r="B925" s="1775">
        <f>'Part VII-Pro Forma'!B66</f>
        <v>2167549.5316476282</v>
      </c>
      <c r="C925" s="1775">
        <f>'Part VII-Pro Forma'!C66</f>
        <v>2087234.7302045655</v>
      </c>
      <c r="D925" s="1775">
        <f>'Part VII-Pro Forma'!D66</f>
        <v>2006113.0894075437</v>
      </c>
      <c r="E925" s="1775">
        <f>'Part VII-Pro Forma'!E66</f>
        <v>1924176.5037799713</v>
      </c>
      <c r="F925" s="1775">
        <f>'Part VII-Pro Forma'!F66</f>
        <v>1841416.7864179553</v>
      </c>
      <c r="G925" s="1775">
        <f>'Part VII-Pro Forma'!G66</f>
        <v>1757825.6681722864</v>
      </c>
      <c r="H925" s="1775">
        <f>'Part VII-Pro Forma'!H66</f>
        <v>1673394.7968222057</v>
      </c>
      <c r="I925" s="1775">
        <f>'Part VII-Pro Forma'!I66</f>
        <v>1588115.7362408715</v>
      </c>
      <c r="J925" s="1775">
        <f>'Part VII-Pro Forma'!J66</f>
        <v>1501979.9655524418</v>
      </c>
      <c r="K925" s="1775">
        <f>'Part VII-Pro Forma'!K66</f>
        <v>1414978.878280689</v>
      </c>
      <c r="M925" s="1629"/>
      <c r="N925" s="1629"/>
    </row>
    <row r="926" spans="1:14">
      <c r="A926" s="1271" t="s">
        <v>2719</v>
      </c>
      <c r="B926" s="1775" t="str">
        <f>'Part VII-Pro Forma'!B67</f>
        <v/>
      </c>
      <c r="C926" s="1775" t="str">
        <f>'Part VII-Pro Forma'!C67</f>
        <v/>
      </c>
      <c r="D926" s="1775" t="str">
        <f>'Part VII-Pro Forma'!D67</f>
        <v/>
      </c>
      <c r="E926" s="1775" t="str">
        <f>'Part VII-Pro Forma'!E67</f>
        <v/>
      </c>
      <c r="F926" s="1775" t="str">
        <f>'Part VII-Pro Forma'!F67</f>
        <v/>
      </c>
      <c r="G926" s="1775" t="str">
        <f>'Part VII-Pro Forma'!G67</f>
        <v/>
      </c>
      <c r="H926" s="1775" t="str">
        <f>'Part VII-Pro Forma'!H67</f>
        <v/>
      </c>
      <c r="I926" s="1775" t="str">
        <f>'Part VII-Pro Forma'!I67</f>
        <v/>
      </c>
      <c r="J926" s="1775" t="str">
        <f>'Part VII-Pro Forma'!J67</f>
        <v/>
      </c>
      <c r="K926" s="1775" t="str">
        <f>'Part VII-Pro Forma'!K67</f>
        <v/>
      </c>
      <c r="M926" s="1629"/>
      <c r="N926" s="1629"/>
    </row>
    <row r="927" spans="1:14">
      <c r="A927" s="1271" t="s">
        <v>823</v>
      </c>
      <c r="B927" s="1775" t="str">
        <f>'Part VII-Pro Forma'!B68</f>
        <v/>
      </c>
      <c r="C927" s="1775" t="str">
        <f>'Part VII-Pro Forma'!C68</f>
        <v/>
      </c>
      <c r="D927" s="1775" t="str">
        <f>'Part VII-Pro Forma'!D68</f>
        <v/>
      </c>
      <c r="E927" s="1775" t="str">
        <f>'Part VII-Pro Forma'!E68</f>
        <v/>
      </c>
      <c r="F927" s="1775" t="str">
        <f>'Part VII-Pro Forma'!F68</f>
        <v/>
      </c>
      <c r="G927" s="1775" t="str">
        <f>'Part VII-Pro Forma'!G68</f>
        <v/>
      </c>
      <c r="H927" s="1775" t="str">
        <f>'Part VII-Pro Forma'!H68</f>
        <v/>
      </c>
      <c r="I927" s="1775" t="str">
        <f>'Part VII-Pro Forma'!I68</f>
        <v/>
      </c>
      <c r="J927" s="1775" t="str">
        <f>'Part VII-Pro Forma'!J68</f>
        <v/>
      </c>
      <c r="K927" s="1775" t="str">
        <f>'Part VII-Pro Forma'!K68</f>
        <v/>
      </c>
      <c r="M927" s="1629"/>
      <c r="N927" s="1629"/>
    </row>
    <row r="928" spans="1:14">
      <c r="A928" s="1271" t="s">
        <v>1291</v>
      </c>
      <c r="B928" s="1775">
        <f>'Part VII-Pro Forma'!B69</f>
        <v>0</v>
      </c>
      <c r="C928" s="1775">
        <f>'Part VII-Pro Forma'!C69</f>
        <v>0</v>
      </c>
      <c r="D928" s="1775">
        <f>'Part VII-Pro Forma'!D69</f>
        <v>0</v>
      </c>
      <c r="E928" s="1775">
        <f>'Part VII-Pro Forma'!E69</f>
        <v>0</v>
      </c>
      <c r="F928" s="1775">
        <f>'Part VII-Pro Forma'!F69</f>
        <v>0</v>
      </c>
      <c r="G928" s="1775">
        <f>'Part VII-Pro Forma'!G69</f>
        <v>0</v>
      </c>
      <c r="H928" s="1775">
        <f>'Part VII-Pro Forma'!H69</f>
        <v>0</v>
      </c>
      <c r="I928" s="1775">
        <f>'Part VII-Pro Forma'!I69</f>
        <v>0</v>
      </c>
      <c r="J928" s="1775">
        <f>'Part VII-Pro Forma'!J69</f>
        <v>0</v>
      </c>
      <c r="K928" s="1775">
        <f>'Part VII-Pro Forma'!K69</f>
        <v>0</v>
      </c>
      <c r="M928" s="1629"/>
      <c r="N928" s="1629"/>
    </row>
    <row r="929" spans="1:14">
      <c r="B929" s="1775"/>
      <c r="C929" s="1775"/>
      <c r="D929" s="1775"/>
      <c r="E929" s="1775"/>
      <c r="F929" s="1775"/>
      <c r="G929" s="1775"/>
      <c r="H929" s="1775"/>
      <c r="I929" s="1775"/>
      <c r="J929" s="1775"/>
      <c r="K929" s="1775"/>
    </row>
    <row r="930" spans="1:14">
      <c r="A930" s="1522" t="s">
        <v>2578</v>
      </c>
      <c r="B930" s="1778">
        <f>K901+1</f>
        <v>21</v>
      </c>
      <c r="C930" s="1778">
        <f t="shared" ref="C930:K930" si="305">B930+1</f>
        <v>22</v>
      </c>
      <c r="D930" s="1778">
        <f t="shared" si="305"/>
        <v>23</v>
      </c>
      <c r="E930" s="1778">
        <f t="shared" si="305"/>
        <v>24</v>
      </c>
      <c r="F930" s="1778">
        <f t="shared" si="305"/>
        <v>25</v>
      </c>
      <c r="G930" s="1778">
        <f t="shared" si="305"/>
        <v>26</v>
      </c>
      <c r="H930" s="1778">
        <f t="shared" si="305"/>
        <v>27</v>
      </c>
      <c r="I930" s="1778">
        <f t="shared" si="305"/>
        <v>28</v>
      </c>
      <c r="J930" s="1778">
        <f t="shared" si="305"/>
        <v>29</v>
      </c>
      <c r="K930" s="1778">
        <f t="shared" si="305"/>
        <v>30</v>
      </c>
      <c r="M930" s="1684" t="s">
        <v>2723</v>
      </c>
      <c r="N930" s="1684"/>
    </row>
    <row r="931" spans="1:14">
      <c r="A931" s="1271" t="s">
        <v>2500</v>
      </c>
      <c r="B931" s="1775">
        <f t="shared" ref="B931:K931" si="306">$B$14*(1+$B$5)^(B930-1)</f>
        <v>0</v>
      </c>
      <c r="C931" s="1775">
        <f t="shared" si="306"/>
        <v>0</v>
      </c>
      <c r="D931" s="1775">
        <f t="shared" si="306"/>
        <v>0</v>
      </c>
      <c r="E931" s="1775">
        <f t="shared" si="306"/>
        <v>0</v>
      </c>
      <c r="F931" s="1775">
        <f t="shared" si="306"/>
        <v>0</v>
      </c>
      <c r="G931" s="1775">
        <f t="shared" si="306"/>
        <v>0</v>
      </c>
      <c r="H931" s="1775">
        <f t="shared" si="306"/>
        <v>0</v>
      </c>
      <c r="I931" s="1775">
        <f t="shared" si="306"/>
        <v>0</v>
      </c>
      <c r="J931" s="1775">
        <f t="shared" si="306"/>
        <v>0</v>
      </c>
      <c r="K931" s="1775">
        <f t="shared" si="306"/>
        <v>0</v>
      </c>
      <c r="M931" s="1629">
        <f>'Part VII-Pro Forma'!M72</f>
        <v>0</v>
      </c>
      <c r="N931" s="1629"/>
    </row>
    <row r="932" spans="1:14">
      <c r="A932" s="1271" t="s">
        <v>1060</v>
      </c>
      <c r="B932" s="1775">
        <f t="shared" ref="B932:K932" si="307">$B$15*(1+$B$5)^(B930-1)</f>
        <v>0</v>
      </c>
      <c r="C932" s="1775">
        <f t="shared" si="307"/>
        <v>0</v>
      </c>
      <c r="D932" s="1775">
        <f t="shared" si="307"/>
        <v>0</v>
      </c>
      <c r="E932" s="1775">
        <f t="shared" si="307"/>
        <v>0</v>
      </c>
      <c r="F932" s="1775">
        <f t="shared" si="307"/>
        <v>0</v>
      </c>
      <c r="G932" s="1775">
        <f t="shared" si="307"/>
        <v>0</v>
      </c>
      <c r="H932" s="1775">
        <f t="shared" si="307"/>
        <v>0</v>
      </c>
      <c r="I932" s="1775">
        <f t="shared" si="307"/>
        <v>0</v>
      </c>
      <c r="J932" s="1775">
        <f t="shared" si="307"/>
        <v>0</v>
      </c>
      <c r="K932" s="1775">
        <f t="shared" si="307"/>
        <v>0</v>
      </c>
      <c r="M932" s="1629"/>
      <c r="N932" s="1629"/>
    </row>
    <row r="933" spans="1:14">
      <c r="A933" s="1271" t="s">
        <v>2501</v>
      </c>
      <c r="B933" s="1775">
        <f t="shared" ref="B933:K933" si="308">-(B931+B932)*$B$8</f>
        <v>0</v>
      </c>
      <c r="C933" s="1775">
        <f t="shared" si="308"/>
        <v>0</v>
      </c>
      <c r="D933" s="1775">
        <f t="shared" si="308"/>
        <v>0</v>
      </c>
      <c r="E933" s="1775">
        <f t="shared" si="308"/>
        <v>0</v>
      </c>
      <c r="F933" s="1775">
        <f t="shared" si="308"/>
        <v>0</v>
      </c>
      <c r="G933" s="1775">
        <f t="shared" si="308"/>
        <v>0</v>
      </c>
      <c r="H933" s="1775">
        <f t="shared" si="308"/>
        <v>0</v>
      </c>
      <c r="I933" s="1775">
        <f t="shared" si="308"/>
        <v>0</v>
      </c>
      <c r="J933" s="1775">
        <f t="shared" si="308"/>
        <v>0</v>
      </c>
      <c r="K933" s="1775">
        <f t="shared" si="308"/>
        <v>0</v>
      </c>
      <c r="M933" s="1629"/>
      <c r="N933" s="1629"/>
    </row>
    <row r="934" spans="1:14">
      <c r="A934" s="1271" t="s">
        <v>54</v>
      </c>
      <c r="B934" s="1775">
        <f>'Part VI-Revenues &amp; Expenses'!G1005</f>
        <v>0</v>
      </c>
      <c r="C934" s="1775">
        <f>'Part VI-Revenues &amp; Expenses'!H1005</f>
        <v>0</v>
      </c>
      <c r="D934" s="1775">
        <f>'Part VI-Revenues &amp; Expenses'!I1005</f>
        <v>0</v>
      </c>
      <c r="E934" s="1775">
        <f>'Part VI-Revenues &amp; Expenses'!J1005</f>
        <v>0</v>
      </c>
      <c r="F934" s="1775">
        <f>'Part VI-Revenues &amp; Expenses'!K1005</f>
        <v>0</v>
      </c>
      <c r="G934" s="1775">
        <f>'Part VI-Revenues &amp; Expenses'!L1005</f>
        <v>0</v>
      </c>
      <c r="H934" s="1775">
        <f>'Part VI-Revenues &amp; Expenses'!M1005</f>
        <v>0</v>
      </c>
      <c r="I934" s="1775">
        <f>'Part VI-Revenues &amp; Expenses'!N1005</f>
        <v>0</v>
      </c>
      <c r="J934" s="1775">
        <f>'Part VI-Revenues &amp; Expenses'!O1005</f>
        <v>0</v>
      </c>
      <c r="K934" s="1775">
        <f>'Part VI-Revenues &amp; Expenses'!P1005</f>
        <v>0</v>
      </c>
      <c r="M934" s="1629"/>
      <c r="N934" s="1629"/>
    </row>
    <row r="935" spans="1:14">
      <c r="A935" s="1271" t="s">
        <v>55</v>
      </c>
      <c r="B935" s="1775">
        <f>'Part VI-Revenues &amp; Expenses'!G1009</f>
        <v>0</v>
      </c>
      <c r="C935" s="1775">
        <f>'Part VI-Revenues &amp; Expenses'!H1009</f>
        <v>0</v>
      </c>
      <c r="D935" s="1775">
        <f>'Part VI-Revenues &amp; Expenses'!I1009</f>
        <v>0</v>
      </c>
      <c r="E935" s="1775">
        <f>'Part VI-Revenues &amp; Expenses'!J1009</f>
        <v>0</v>
      </c>
      <c r="F935" s="1775">
        <f>'Part VI-Revenues &amp; Expenses'!K1009</f>
        <v>0</v>
      </c>
      <c r="G935" s="1775">
        <f>'Part VI-Revenues &amp; Expenses'!L1009</f>
        <v>0</v>
      </c>
      <c r="H935" s="1775">
        <f>'Part VI-Revenues &amp; Expenses'!M1009</f>
        <v>0</v>
      </c>
      <c r="I935" s="1775">
        <f>'Part VI-Revenues &amp; Expenses'!N1009</f>
        <v>0</v>
      </c>
      <c r="J935" s="1775">
        <f>'Part VI-Revenues &amp; Expenses'!O1009</f>
        <v>0</v>
      </c>
      <c r="K935" s="1775">
        <f>'Part VI-Revenues &amp; Expenses'!P1009</f>
        <v>0</v>
      </c>
      <c r="M935" s="1629"/>
      <c r="N935" s="1629"/>
    </row>
    <row r="936" spans="1:14">
      <c r="A936" s="1271" t="s">
        <v>644</v>
      </c>
      <c r="B936" s="1775">
        <f t="shared" ref="B936:K936" si="309">$B$19*(1+$B$6)^(B930-1)</f>
        <v>0</v>
      </c>
      <c r="C936" s="1775">
        <f t="shared" si="309"/>
        <v>0</v>
      </c>
      <c r="D936" s="1775">
        <f t="shared" si="309"/>
        <v>0</v>
      </c>
      <c r="E936" s="1775">
        <f t="shared" si="309"/>
        <v>0</v>
      </c>
      <c r="F936" s="1775">
        <f t="shared" si="309"/>
        <v>0</v>
      </c>
      <c r="G936" s="1775">
        <f t="shared" si="309"/>
        <v>0</v>
      </c>
      <c r="H936" s="1775">
        <f t="shared" si="309"/>
        <v>0</v>
      </c>
      <c r="I936" s="1775">
        <f t="shared" si="309"/>
        <v>0</v>
      </c>
      <c r="J936" s="1775">
        <f t="shared" si="309"/>
        <v>0</v>
      </c>
      <c r="K936" s="1775">
        <f t="shared" si="309"/>
        <v>0</v>
      </c>
      <c r="M936" s="1629"/>
      <c r="N936" s="1629"/>
    </row>
    <row r="937" spans="1:14">
      <c r="A937" s="1271" t="s">
        <v>1160</v>
      </c>
      <c r="B937" s="1775">
        <f>IF(AND('Part VII-Pro Forma'!$G$8="Yes",'Part VII-Pro Forma'!$G$9="Yes"),"Choose One!",IF('Part VII-Pro Forma'!$G$8="Yes",ROUND((-$K$8*(1+'Part VII-Pro Forma'!$B$6)^('Part VII-Pro Forma'!B930-1)),),IF('Part VII-Pro Forma'!$G$9="Yes",ROUND((-(SUM(B931:B934)*'Part VII-Pro Forma'!$K$9)),),"Choose mgt fee")))</f>
        <v>0</v>
      </c>
      <c r="C937" s="1775">
        <f>IF(AND('Part VII-Pro Forma'!$G$8="Yes",'Part VII-Pro Forma'!$G$9="Yes"),"Choose One!",IF('Part VII-Pro Forma'!$G$8="Yes",ROUND((-$K$8*(1+'Part VII-Pro Forma'!$B$6)^('Part VII-Pro Forma'!C930-1)),),IF('Part VII-Pro Forma'!$G$9="Yes",ROUND((-(SUM(C931:C934)*'Part VII-Pro Forma'!$K$9)),),"Choose mgt fee")))</f>
        <v>0</v>
      </c>
      <c r="D937" s="1775">
        <f>IF(AND('Part VII-Pro Forma'!$G$8="Yes",'Part VII-Pro Forma'!$G$9="Yes"),"Choose One!",IF('Part VII-Pro Forma'!$G$8="Yes",ROUND((-$K$8*(1+'Part VII-Pro Forma'!$B$6)^('Part VII-Pro Forma'!D930-1)),),IF('Part VII-Pro Forma'!$G$9="Yes",ROUND((-(SUM(D931:D934)*'Part VII-Pro Forma'!$K$9)),),"Choose mgt fee")))</f>
        <v>0</v>
      </c>
      <c r="E937" s="1775">
        <f>IF(AND('Part VII-Pro Forma'!$G$8="Yes",'Part VII-Pro Forma'!$G$9="Yes"),"Choose One!",IF('Part VII-Pro Forma'!$G$8="Yes",ROUND((-$K$8*(1+'Part VII-Pro Forma'!$B$6)^('Part VII-Pro Forma'!E930-1)),),IF('Part VII-Pro Forma'!$G$9="Yes",ROUND((-(SUM(E931:E934)*'Part VII-Pro Forma'!$K$9)),),"Choose mgt fee")))</f>
        <v>0</v>
      </c>
      <c r="F937" s="1775">
        <f>IF(AND('Part VII-Pro Forma'!$G$8="Yes",'Part VII-Pro Forma'!$G$9="Yes"),"Choose One!",IF('Part VII-Pro Forma'!$G$8="Yes",ROUND((-$K$8*(1+'Part VII-Pro Forma'!$B$6)^('Part VII-Pro Forma'!F930-1)),),IF('Part VII-Pro Forma'!$G$9="Yes",ROUND((-(SUM(F931:F934)*'Part VII-Pro Forma'!$K$9)),),"Choose mgt fee")))</f>
        <v>0</v>
      </c>
      <c r="G937" s="1775">
        <f>IF(AND('Part VII-Pro Forma'!$G$8="Yes",'Part VII-Pro Forma'!$G$9="Yes"),"Choose One!",IF('Part VII-Pro Forma'!$G$8="Yes",ROUND((-$K$8*(1+'Part VII-Pro Forma'!$B$6)^('Part VII-Pro Forma'!G930-1)),),IF('Part VII-Pro Forma'!$G$9="Yes",ROUND((-(SUM(G931:G934)*'Part VII-Pro Forma'!$K$9)),),"Choose mgt fee")))</f>
        <v>0</v>
      </c>
      <c r="H937" s="1775">
        <f>IF(AND('Part VII-Pro Forma'!$G$8="Yes",'Part VII-Pro Forma'!$G$9="Yes"),"Choose One!",IF('Part VII-Pro Forma'!$G$8="Yes",ROUND((-$K$8*(1+'Part VII-Pro Forma'!$B$6)^('Part VII-Pro Forma'!H930-1)),),IF('Part VII-Pro Forma'!$G$9="Yes",ROUND((-(SUM(H931:H934)*'Part VII-Pro Forma'!$K$9)),),"Choose mgt fee")))</f>
        <v>0</v>
      </c>
      <c r="I937" s="1775">
        <f>IF(AND('Part VII-Pro Forma'!$G$8="Yes",'Part VII-Pro Forma'!$G$9="Yes"),"Choose One!",IF('Part VII-Pro Forma'!$G$8="Yes",ROUND((-$K$8*(1+'Part VII-Pro Forma'!$B$6)^('Part VII-Pro Forma'!I930-1)),),IF('Part VII-Pro Forma'!$G$9="Yes",ROUND((-(SUM(I931:I934)*'Part VII-Pro Forma'!$K$9)),),"Choose mgt fee")))</f>
        <v>0</v>
      </c>
      <c r="J937" s="1775">
        <f>IF(AND('Part VII-Pro Forma'!$G$8="Yes",'Part VII-Pro Forma'!$G$9="Yes"),"Choose One!",IF('Part VII-Pro Forma'!$G$8="Yes",ROUND((-$K$8*(1+'Part VII-Pro Forma'!$B$6)^('Part VII-Pro Forma'!J930-1)),),IF('Part VII-Pro Forma'!$G$9="Yes",ROUND((-(SUM(J931:J934)*'Part VII-Pro Forma'!$K$9)),),"Choose mgt fee")))</f>
        <v>0</v>
      </c>
      <c r="K937" s="1775">
        <f>IF(AND('Part VII-Pro Forma'!$G$8="Yes",'Part VII-Pro Forma'!$G$9="Yes"),"Choose One!",IF('Part VII-Pro Forma'!$G$8="Yes",ROUND((-$K$8*(1+'Part VII-Pro Forma'!$B$6)^('Part VII-Pro Forma'!K930-1)),),IF('Part VII-Pro Forma'!$G$9="Yes",ROUND((-(SUM(K931:K934)*'Part VII-Pro Forma'!$K$9)),),"Choose mgt fee")))</f>
        <v>0</v>
      </c>
      <c r="M937" s="1629"/>
      <c r="N937" s="1629"/>
    </row>
    <row r="938" spans="1:14">
      <c r="A938" s="1271" t="s">
        <v>1254</v>
      </c>
      <c r="B938" s="1775">
        <f t="shared" ref="B938:K938" si="310">$B$21*(1+$B$7)^(B930-1)</f>
        <v>0</v>
      </c>
      <c r="C938" s="1775">
        <f t="shared" si="310"/>
        <v>0</v>
      </c>
      <c r="D938" s="1775">
        <f t="shared" si="310"/>
        <v>0</v>
      </c>
      <c r="E938" s="1775">
        <f t="shared" si="310"/>
        <v>0</v>
      </c>
      <c r="F938" s="1775">
        <f t="shared" si="310"/>
        <v>0</v>
      </c>
      <c r="G938" s="1775">
        <f t="shared" si="310"/>
        <v>0</v>
      </c>
      <c r="H938" s="1775">
        <f t="shared" si="310"/>
        <v>0</v>
      </c>
      <c r="I938" s="1775">
        <f t="shared" si="310"/>
        <v>0</v>
      </c>
      <c r="J938" s="1775">
        <f t="shared" si="310"/>
        <v>0</v>
      </c>
      <c r="K938" s="1775">
        <f t="shared" si="310"/>
        <v>0</v>
      </c>
      <c r="M938" s="1629"/>
      <c r="N938" s="1629"/>
    </row>
    <row r="939" spans="1:14">
      <c r="A939" s="1271" t="s">
        <v>1255</v>
      </c>
      <c r="B939" s="1775">
        <f t="shared" ref="B939:K939" si="311">SUM(B931:B938)</f>
        <v>0</v>
      </c>
      <c r="C939" s="1775">
        <f t="shared" si="311"/>
        <v>0</v>
      </c>
      <c r="D939" s="1775">
        <f t="shared" si="311"/>
        <v>0</v>
      </c>
      <c r="E939" s="1775">
        <f t="shared" si="311"/>
        <v>0</v>
      </c>
      <c r="F939" s="1775">
        <f t="shared" si="311"/>
        <v>0</v>
      </c>
      <c r="G939" s="1775">
        <f t="shared" si="311"/>
        <v>0</v>
      </c>
      <c r="H939" s="1775">
        <f t="shared" si="311"/>
        <v>0</v>
      </c>
      <c r="I939" s="1775">
        <f t="shared" si="311"/>
        <v>0</v>
      </c>
      <c r="J939" s="1775">
        <f t="shared" si="311"/>
        <v>0</v>
      </c>
      <c r="K939" s="1775">
        <f t="shared" si="311"/>
        <v>0</v>
      </c>
      <c r="M939" s="1629"/>
      <c r="N939" s="1629"/>
    </row>
    <row r="940" spans="1:14">
      <c r="A940" s="1271" t="str">
        <f>$A911</f>
        <v>Mortgage A</v>
      </c>
      <c r="B940" s="1775">
        <f>'Part VII-Pro Forma'!B81</f>
        <v>-361987.34381576651</v>
      </c>
      <c r="C940" s="1775">
        <f>'Part VII-Pro Forma'!C81</f>
        <v>-361987.34381576651</v>
      </c>
      <c r="D940" s="1775">
        <f>'Part VII-Pro Forma'!D81</f>
        <v>-361987.34381576651</v>
      </c>
      <c r="E940" s="1775">
        <f>'Part VII-Pro Forma'!E81</f>
        <v>-361987.34381576651</v>
      </c>
      <c r="F940" s="1775">
        <f>'Part VII-Pro Forma'!F81</f>
        <v>-361987.34381576651</v>
      </c>
      <c r="G940" s="1775">
        <f>'Part VII-Pro Forma'!G81</f>
        <v>-361987.34381576651</v>
      </c>
      <c r="H940" s="1775">
        <f>'Part VII-Pro Forma'!H81</f>
        <v>-361987.34381576651</v>
      </c>
      <c r="I940" s="1775">
        <f>'Part VII-Pro Forma'!I81</f>
        <v>-361987.34381576651</v>
      </c>
      <c r="J940" s="1775">
        <f>'Part VII-Pro Forma'!J81</f>
        <v>-361987.34381576651</v>
      </c>
      <c r="K940" s="1775">
        <f>'Part VII-Pro Forma'!K81</f>
        <v>-361987.34381576651</v>
      </c>
      <c r="M940" s="1629"/>
      <c r="N940" s="1629"/>
    </row>
    <row r="941" spans="1:14">
      <c r="A941" s="1271" t="str">
        <f>$A912</f>
        <v>Mortgage B</v>
      </c>
      <c r="B941" s="1775">
        <f>'Part VII-Pro Forma'!B82</f>
        <v>-101622.85161720682</v>
      </c>
      <c r="C941" s="1775">
        <f>'Part VII-Pro Forma'!C82</f>
        <v>-101622.85161720682</v>
      </c>
      <c r="D941" s="1775">
        <f>'Part VII-Pro Forma'!D82</f>
        <v>-101622.85161720682</v>
      </c>
      <c r="E941" s="1775">
        <f>'Part VII-Pro Forma'!E82</f>
        <v>-101622.85161720682</v>
      </c>
      <c r="F941" s="1775">
        <f>'Part VII-Pro Forma'!F82</f>
        <v>-101622.85161720682</v>
      </c>
      <c r="G941" s="1775">
        <f>'Part VII-Pro Forma'!G82</f>
        <v>-101622.85161720682</v>
      </c>
      <c r="H941" s="1775">
        <f>'Part VII-Pro Forma'!H82</f>
        <v>-101622.85161720682</v>
      </c>
      <c r="I941" s="1775">
        <f>'Part VII-Pro Forma'!I82</f>
        <v>-101622.85161720682</v>
      </c>
      <c r="J941" s="1775">
        <f>'Part VII-Pro Forma'!J82</f>
        <v>-101622.85161720682</v>
      </c>
      <c r="K941" s="1775">
        <f>'Part VII-Pro Forma'!K82</f>
        <v>-101622.85161720682</v>
      </c>
      <c r="M941" s="1629"/>
      <c r="N941" s="1629"/>
    </row>
    <row r="942" spans="1:14">
      <c r="A942" s="1271" t="str">
        <f>$A913</f>
        <v>Mortgage C</v>
      </c>
      <c r="B942" s="1775">
        <f>'Part VII-Pro Forma'!B83</f>
        <v>0</v>
      </c>
      <c r="C942" s="1775">
        <f>'Part VII-Pro Forma'!C83</f>
        <v>0</v>
      </c>
      <c r="D942" s="1775">
        <f>'Part VII-Pro Forma'!D83</f>
        <v>0</v>
      </c>
      <c r="E942" s="1775">
        <f>'Part VII-Pro Forma'!E83</f>
        <v>0</v>
      </c>
      <c r="F942" s="1775">
        <f>'Part VII-Pro Forma'!F83</f>
        <v>0</v>
      </c>
      <c r="G942" s="1775">
        <f>'Part VII-Pro Forma'!G83</f>
        <v>0</v>
      </c>
      <c r="H942" s="1775">
        <f>'Part VII-Pro Forma'!H83</f>
        <v>0</v>
      </c>
      <c r="I942" s="1775">
        <f>'Part VII-Pro Forma'!I83</f>
        <v>0</v>
      </c>
      <c r="J942" s="1775">
        <f>'Part VII-Pro Forma'!J83</f>
        <v>0</v>
      </c>
      <c r="K942" s="1775">
        <f>'Part VII-Pro Forma'!K83</f>
        <v>0</v>
      </c>
      <c r="M942" s="1629"/>
      <c r="N942" s="1629"/>
    </row>
    <row r="943" spans="1:14">
      <c r="A943" s="1271" t="str">
        <f>$A914</f>
        <v>D/S Other Source</v>
      </c>
      <c r="B943" s="1775">
        <f>'Part VII-Pro Forma'!B84</f>
        <v>0</v>
      </c>
      <c r="C943" s="1775">
        <f>'Part VII-Pro Forma'!C84</f>
        <v>0</v>
      </c>
      <c r="D943" s="1775">
        <f>'Part VII-Pro Forma'!D84</f>
        <v>0</v>
      </c>
      <c r="E943" s="1775">
        <f>'Part VII-Pro Forma'!E84</f>
        <v>0</v>
      </c>
      <c r="F943" s="1775">
        <f>'Part VII-Pro Forma'!F84</f>
        <v>0</v>
      </c>
      <c r="G943" s="1775">
        <f>'Part VII-Pro Forma'!G84</f>
        <v>0</v>
      </c>
      <c r="H943" s="1775">
        <f>'Part VII-Pro Forma'!H84</f>
        <v>0</v>
      </c>
      <c r="I943" s="1775">
        <f>'Part VII-Pro Forma'!I84</f>
        <v>0</v>
      </c>
      <c r="J943" s="1775">
        <f>'Part VII-Pro Forma'!J84</f>
        <v>0</v>
      </c>
      <c r="K943" s="1775">
        <f>'Part VII-Pro Forma'!K84</f>
        <v>0</v>
      </c>
      <c r="M943" s="1629"/>
      <c r="N943" s="1629"/>
    </row>
    <row r="944" spans="1:14">
      <c r="A944" s="1271" t="s">
        <v>801</v>
      </c>
      <c r="B944" s="1775">
        <f>'Part VII-Pro Forma'!B85</f>
        <v>0</v>
      </c>
      <c r="C944" s="1775">
        <f>'Part VII-Pro Forma'!C85</f>
        <v>0</v>
      </c>
      <c r="D944" s="1775">
        <f>'Part VII-Pro Forma'!D85</f>
        <v>0</v>
      </c>
      <c r="E944" s="1775">
        <f>'Part VII-Pro Forma'!E85</f>
        <v>0</v>
      </c>
      <c r="F944" s="1775">
        <f>'Part VII-Pro Forma'!F85</f>
        <v>0</v>
      </c>
      <c r="G944" s="1775">
        <f>'Part VII-Pro Forma'!G85</f>
        <v>0</v>
      </c>
      <c r="H944" s="1775">
        <f>'Part VII-Pro Forma'!H85</f>
        <v>0</v>
      </c>
      <c r="I944" s="1775">
        <f>'Part VII-Pro Forma'!I85</f>
        <v>0</v>
      </c>
      <c r="J944" s="1775">
        <f>'Part VII-Pro Forma'!J85</f>
        <v>0</v>
      </c>
      <c r="K944" s="1775">
        <f>'Part VII-Pro Forma'!K85</f>
        <v>0</v>
      </c>
      <c r="M944" s="1629"/>
      <c r="N944" s="1629"/>
    </row>
    <row r="945" spans="1:14">
      <c r="A945" s="1271" t="s">
        <v>1213</v>
      </c>
      <c r="B945" s="1775">
        <f>'Part VII-Pro Forma'!B86</f>
        <v>-7500</v>
      </c>
      <c r="C945" s="1775">
        <f>'Part VII-Pro Forma'!C86</f>
        <v>-7500</v>
      </c>
      <c r="D945" s="1775">
        <f>'Part VII-Pro Forma'!D86</f>
        <v>-7500</v>
      </c>
      <c r="E945" s="1775">
        <f>'Part VII-Pro Forma'!E86</f>
        <v>-7500</v>
      </c>
      <c r="F945" s="1775">
        <f>'Part VII-Pro Forma'!F86</f>
        <v>-7500</v>
      </c>
      <c r="G945" s="1775">
        <f>'Part VII-Pro Forma'!G86</f>
        <v>-7500</v>
      </c>
      <c r="H945" s="1775">
        <f>'Part VII-Pro Forma'!H86</f>
        <v>-7500</v>
      </c>
      <c r="I945" s="1775">
        <f>'Part VII-Pro Forma'!I86</f>
        <v>-7500</v>
      </c>
      <c r="J945" s="1775">
        <f>'Part VII-Pro Forma'!J86</f>
        <v>-7500</v>
      </c>
      <c r="K945" s="1775">
        <f>'Part VII-Pro Forma'!K86</f>
        <v>-7500</v>
      </c>
      <c r="M945" s="1629"/>
      <c r="N945" s="1629"/>
    </row>
    <row r="946" spans="1:14">
      <c r="A946" s="1271" t="s">
        <v>1256</v>
      </c>
      <c r="B946" s="1775">
        <f>'Part VII-Pro Forma'!B87</f>
        <v>0</v>
      </c>
      <c r="C946" s="1775">
        <f>'Part VII-Pro Forma'!C87</f>
        <v>0</v>
      </c>
      <c r="D946" s="1775">
        <f>'Part VII-Pro Forma'!D87</f>
        <v>0</v>
      </c>
      <c r="E946" s="1775">
        <f>'Part VII-Pro Forma'!E87</f>
        <v>0</v>
      </c>
      <c r="F946" s="1775">
        <f>'Part VII-Pro Forma'!F87</f>
        <v>0</v>
      </c>
      <c r="G946" s="1775">
        <f>'Part VII-Pro Forma'!G87</f>
        <v>0</v>
      </c>
      <c r="H946" s="1775">
        <f>'Part VII-Pro Forma'!H87</f>
        <v>0</v>
      </c>
      <c r="I946" s="1775">
        <f>'Part VII-Pro Forma'!I87</f>
        <v>0</v>
      </c>
      <c r="J946" s="1775">
        <f>'Part VII-Pro Forma'!J87</f>
        <v>0</v>
      </c>
      <c r="K946" s="1775">
        <f>'Part VII-Pro Forma'!K87</f>
        <v>0</v>
      </c>
      <c r="M946" s="1629"/>
      <c r="N946" s="1629"/>
    </row>
    <row r="947" spans="1:14">
      <c r="A947" s="1271" t="s">
        <v>1214</v>
      </c>
      <c r="B947" s="1775">
        <f t="shared" ref="B947:K947" si="312">SUM(B939:B946)</f>
        <v>-471110.19543297333</v>
      </c>
      <c r="C947" s="1775">
        <f t="shared" si="312"/>
        <v>-471110.19543297333</v>
      </c>
      <c r="D947" s="1775">
        <f t="shared" si="312"/>
        <v>-471110.19543297333</v>
      </c>
      <c r="E947" s="1775">
        <f t="shared" si="312"/>
        <v>-471110.19543297333</v>
      </c>
      <c r="F947" s="1775">
        <f t="shared" si="312"/>
        <v>-471110.19543297333</v>
      </c>
      <c r="G947" s="1775">
        <f t="shared" si="312"/>
        <v>-471110.19543297333</v>
      </c>
      <c r="H947" s="1775">
        <f t="shared" si="312"/>
        <v>-471110.19543297333</v>
      </c>
      <c r="I947" s="1775">
        <f t="shared" si="312"/>
        <v>-471110.19543297333</v>
      </c>
      <c r="J947" s="1775">
        <f t="shared" si="312"/>
        <v>-471110.19543297333</v>
      </c>
      <c r="K947" s="1775">
        <f t="shared" si="312"/>
        <v>-471110.19543297333</v>
      </c>
      <c r="M947" s="1629"/>
      <c r="N947" s="1629"/>
    </row>
    <row r="948" spans="1:14">
      <c r="A948" s="1271" t="str">
        <f>$A919</f>
        <v>DCR Mortgage A</v>
      </c>
      <c r="B948" s="1776">
        <f>IF(B940=0,"",-B939/B940)</f>
        <v>0</v>
      </c>
      <c r="C948" s="1776">
        <f t="shared" ref="C948:K948" si="313">IF(C940=0,"",-C939/C940)</f>
        <v>0</v>
      </c>
      <c r="D948" s="1776">
        <f t="shared" si="313"/>
        <v>0</v>
      </c>
      <c r="E948" s="1776">
        <f t="shared" si="313"/>
        <v>0</v>
      </c>
      <c r="F948" s="1776">
        <f t="shared" si="313"/>
        <v>0</v>
      </c>
      <c r="G948" s="1776">
        <f t="shared" si="313"/>
        <v>0</v>
      </c>
      <c r="H948" s="1776">
        <f t="shared" si="313"/>
        <v>0</v>
      </c>
      <c r="I948" s="1776">
        <f t="shared" si="313"/>
        <v>0</v>
      </c>
      <c r="J948" s="1776">
        <f t="shared" si="313"/>
        <v>0</v>
      </c>
      <c r="K948" s="1776">
        <f t="shared" si="313"/>
        <v>0</v>
      </c>
      <c r="M948" s="1629"/>
      <c r="N948" s="1629"/>
    </row>
    <row r="949" spans="1:14">
      <c r="A949" s="1271" t="str">
        <f>$A920</f>
        <v>DCR Mortgage B</v>
      </c>
      <c r="B949" s="1776">
        <f>IF(OR(B941=0,AND(B941=0,B940=0)),"",-B939/(B940+B941))</f>
        <v>0</v>
      </c>
      <c r="C949" s="1776">
        <f t="shared" ref="C949:K949" si="314">IF(OR(C941=0,AND(C941=0,C940=0)),"",-C939/(C940+C941))</f>
        <v>0</v>
      </c>
      <c r="D949" s="1776">
        <f t="shared" si="314"/>
        <v>0</v>
      </c>
      <c r="E949" s="1776">
        <f t="shared" si="314"/>
        <v>0</v>
      </c>
      <c r="F949" s="1776">
        <f t="shared" si="314"/>
        <v>0</v>
      </c>
      <c r="G949" s="1776">
        <f t="shared" si="314"/>
        <v>0</v>
      </c>
      <c r="H949" s="1776">
        <f t="shared" si="314"/>
        <v>0</v>
      </c>
      <c r="I949" s="1776">
        <f t="shared" si="314"/>
        <v>0</v>
      </c>
      <c r="J949" s="1776">
        <f t="shared" si="314"/>
        <v>0</v>
      </c>
      <c r="K949" s="1776">
        <f t="shared" si="314"/>
        <v>0</v>
      </c>
      <c r="M949" s="1629"/>
      <c r="N949" s="1629"/>
    </row>
    <row r="950" spans="1:14">
      <c r="A950" s="1271" t="str">
        <f>$A921</f>
        <v>DCR Mortgage C</v>
      </c>
      <c r="B950" s="1776" t="str">
        <f>IF(OR(B942=0,AND(B942=0,B941=0,B940=0)),"",-B939/(B940+B941+B942))</f>
        <v/>
      </c>
      <c r="C950" s="1776" t="str">
        <f t="shared" ref="C950:K950" si="315">IF(OR(C942=0,AND(C942=0,C941=0,C940=0)),"",-C939/(C940+C941+C942))</f>
        <v/>
      </c>
      <c r="D950" s="1776" t="str">
        <f t="shared" si="315"/>
        <v/>
      </c>
      <c r="E950" s="1776" t="str">
        <f t="shared" si="315"/>
        <v/>
      </c>
      <c r="F950" s="1776" t="str">
        <f t="shared" si="315"/>
        <v/>
      </c>
      <c r="G950" s="1776" t="str">
        <f t="shared" si="315"/>
        <v/>
      </c>
      <c r="H950" s="1776" t="str">
        <f t="shared" si="315"/>
        <v/>
      </c>
      <c r="I950" s="1776" t="str">
        <f t="shared" si="315"/>
        <v/>
      </c>
      <c r="J950" s="1776" t="str">
        <f t="shared" si="315"/>
        <v/>
      </c>
      <c r="K950" s="1776" t="str">
        <f t="shared" si="315"/>
        <v/>
      </c>
      <c r="M950" s="1629"/>
      <c r="N950" s="1629"/>
    </row>
    <row r="951" spans="1:14">
      <c r="A951" s="1271" t="str">
        <f>$A922</f>
        <v>DCR Other Source</v>
      </c>
      <c r="B951" s="1776" t="str">
        <f>IF(OR(B943=0,AND(B940=0,B941=0,B942=0,B943=0)),"",-B939/(B940+B941+B942+B943))</f>
        <v/>
      </c>
      <c r="C951" s="1776" t="str">
        <f t="shared" ref="C951:K951" si="316">IF(OR(C943=0,AND(C940=0,C941=0,C942=0,C943=0)),"",-C939/(C940+C941+C942+C943))</f>
        <v/>
      </c>
      <c r="D951" s="1776" t="str">
        <f t="shared" si="316"/>
        <v/>
      </c>
      <c r="E951" s="1776" t="str">
        <f t="shared" si="316"/>
        <v/>
      </c>
      <c r="F951" s="1776" t="str">
        <f t="shared" si="316"/>
        <v/>
      </c>
      <c r="G951" s="1776" t="str">
        <f t="shared" si="316"/>
        <v/>
      </c>
      <c r="H951" s="1776" t="str">
        <f t="shared" si="316"/>
        <v/>
      </c>
      <c r="I951" s="1776" t="str">
        <f t="shared" si="316"/>
        <v/>
      </c>
      <c r="J951" s="1776" t="str">
        <f t="shared" si="316"/>
        <v/>
      </c>
      <c r="K951" s="1776" t="str">
        <f t="shared" si="316"/>
        <v/>
      </c>
      <c r="M951" s="1629"/>
      <c r="N951" s="1629"/>
    </row>
    <row r="952" spans="1:14">
      <c r="A952" s="1271" t="s">
        <v>808</v>
      </c>
      <c r="B952" s="1777" t="e">
        <f>IF(OR(B937="Choose mgt fee",B937="Choose One!"),"",(B931+B932+B933+B934+B935) / -(B936+B937+B938))</f>
        <v>#DIV/0!</v>
      </c>
      <c r="C952" s="1777" t="e">
        <f t="shared" ref="C952:K952" si="317">IF(OR(C937="Choose mgt fee",C937="Choose One!"),"",(C931+C932+C933+C934+C935) / -(C936+C937+C938))</f>
        <v>#DIV/0!</v>
      </c>
      <c r="D952" s="1777" t="e">
        <f t="shared" si="317"/>
        <v>#DIV/0!</v>
      </c>
      <c r="E952" s="1777" t="e">
        <f t="shared" si="317"/>
        <v>#DIV/0!</v>
      </c>
      <c r="F952" s="1777" t="e">
        <f t="shared" si="317"/>
        <v>#DIV/0!</v>
      </c>
      <c r="G952" s="1777" t="e">
        <f t="shared" si="317"/>
        <v>#DIV/0!</v>
      </c>
      <c r="H952" s="1777" t="e">
        <f t="shared" si="317"/>
        <v>#DIV/0!</v>
      </c>
      <c r="I952" s="1777" t="e">
        <f t="shared" si="317"/>
        <v>#DIV/0!</v>
      </c>
      <c r="J952" s="1777" t="e">
        <f t="shared" si="317"/>
        <v>#DIV/0!</v>
      </c>
      <c r="K952" s="1777" t="e">
        <f t="shared" si="317"/>
        <v>#DIV/0!</v>
      </c>
      <c r="M952" s="1629"/>
      <c r="N952" s="1629"/>
    </row>
    <row r="953" spans="1:14">
      <c r="A953" s="1271" t="s">
        <v>2717</v>
      </c>
      <c r="B953" s="1775">
        <f>'Part VII-Pro Forma'!B94</f>
        <v>3838813.2032197476</v>
      </c>
      <c r="C953" s="1775">
        <f>'Part VII-Pro Forma'!C94</f>
        <v>3632236.7413834659</v>
      </c>
      <c r="D953" s="1775">
        <f>'Part VII-Pro Forma'!D94</f>
        <v>3416922.3977628518</v>
      </c>
      <c r="E953" s="1775">
        <f>'Part VII-Pro Forma'!E94</f>
        <v>3192500.5727559072</v>
      </c>
      <c r="F953" s="1775">
        <f>'Part VII-Pro Forma'!F94</f>
        <v>2958586.033238783</v>
      </c>
      <c r="G953" s="1775">
        <f>'Part VII-Pro Forma'!G94</f>
        <v>2714777.2512907037</v>
      </c>
      <c r="H953" s="1775">
        <f>'Part VII-Pro Forma'!H94</f>
        <v>2460655.7149479212</v>
      </c>
      <c r="I953" s="1775">
        <f>'Part VII-Pro Forma'!I94</f>
        <v>2195785.2098035729</v>
      </c>
      <c r="J953" s="1775">
        <f>'Part VII-Pro Forma'!J94</f>
        <v>1919711.0702202637</v>
      </c>
      <c r="K953" s="1775">
        <f>'Part VII-Pro Forma'!K94</f>
        <v>1631959.3988700388</v>
      </c>
      <c r="M953" s="1629"/>
      <c r="N953" s="1629"/>
    </row>
    <row r="954" spans="1:14">
      <c r="A954" s="1271" t="s">
        <v>2718</v>
      </c>
      <c r="B954" s="1775">
        <f>'Part VII-Pro Forma'!B95</f>
        <v>1327103.7814890619</v>
      </c>
      <c r="C954" s="1775">
        <f>'Part VII-Pro Forma'!C95</f>
        <v>1238345.894912109</v>
      </c>
      <c r="D954" s="1775">
        <f>'Part VII-Pro Forma'!D95</f>
        <v>1148696.3500781751</v>
      </c>
      <c r="E954" s="1775">
        <f>'Part VII-Pro Forma'!E95</f>
        <v>1058146.1894232859</v>
      </c>
      <c r="F954" s="1775">
        <f>'Part VII-Pro Forma'!F95</f>
        <v>966686.3653961299</v>
      </c>
      <c r="G954" s="1775">
        <f>'Part VII-Pro Forma'!G95</f>
        <v>874307.73955404875</v>
      </c>
      <c r="H954" s="1775">
        <f>'Part VII-Pro Forma'!H95</f>
        <v>781001.08164994651</v>
      </c>
      <c r="I954" s="1775">
        <f>'Part VII-Pro Forma'!I95</f>
        <v>686757.0687100261</v>
      </c>
      <c r="J954" s="1775">
        <f>'Part VII-Pro Forma'!J95</f>
        <v>591566.28410226037</v>
      </c>
      <c r="K954" s="1775">
        <f>'Part VII-Pro Forma'!K95</f>
        <v>495419.21659550496</v>
      </c>
      <c r="M954" s="1629"/>
      <c r="N954" s="1629"/>
    </row>
    <row r="955" spans="1:14">
      <c r="A955" s="1271" t="s">
        <v>2719</v>
      </c>
      <c r="B955" s="1775" t="str">
        <f>'Part VII-Pro Forma'!B96</f>
        <v/>
      </c>
      <c r="C955" s="1775" t="str">
        <f>'Part VII-Pro Forma'!C96</f>
        <v/>
      </c>
      <c r="D955" s="1775" t="str">
        <f>'Part VII-Pro Forma'!D96</f>
        <v/>
      </c>
      <c r="E955" s="1775" t="str">
        <f>'Part VII-Pro Forma'!E96</f>
        <v/>
      </c>
      <c r="F955" s="1775" t="str">
        <f>'Part VII-Pro Forma'!F96</f>
        <v/>
      </c>
      <c r="G955" s="1775" t="str">
        <f>'Part VII-Pro Forma'!G96</f>
        <v/>
      </c>
      <c r="H955" s="1775" t="str">
        <f>'Part VII-Pro Forma'!H96</f>
        <v/>
      </c>
      <c r="I955" s="1775" t="str">
        <f>'Part VII-Pro Forma'!I96</f>
        <v/>
      </c>
      <c r="J955" s="1775" t="str">
        <f>'Part VII-Pro Forma'!J96</f>
        <v/>
      </c>
      <c r="K955" s="1775" t="str">
        <f>'Part VII-Pro Forma'!K96</f>
        <v/>
      </c>
      <c r="M955" s="1629"/>
      <c r="N955" s="1629"/>
    </row>
    <row r="956" spans="1:14">
      <c r="A956" s="1271" t="s">
        <v>823</v>
      </c>
      <c r="B956" s="1775" t="str">
        <f>'Part VII-Pro Forma'!B97</f>
        <v/>
      </c>
      <c r="C956" s="1775" t="str">
        <f>'Part VII-Pro Forma'!C97</f>
        <v/>
      </c>
      <c r="D956" s="1775" t="str">
        <f>'Part VII-Pro Forma'!D97</f>
        <v/>
      </c>
      <c r="E956" s="1775" t="str">
        <f>'Part VII-Pro Forma'!E97</f>
        <v/>
      </c>
      <c r="F956" s="1775" t="str">
        <f>'Part VII-Pro Forma'!F97</f>
        <v/>
      </c>
      <c r="G956" s="1775" t="str">
        <f>'Part VII-Pro Forma'!G97</f>
        <v/>
      </c>
      <c r="H956" s="1775" t="str">
        <f>'Part VII-Pro Forma'!H97</f>
        <v/>
      </c>
      <c r="I956" s="1775" t="str">
        <f>'Part VII-Pro Forma'!I97</f>
        <v/>
      </c>
      <c r="J956" s="1775" t="str">
        <f>'Part VII-Pro Forma'!J97</f>
        <v/>
      </c>
      <c r="K956" s="1775" t="str">
        <f>'Part VII-Pro Forma'!K97</f>
        <v/>
      </c>
      <c r="M956" s="1629"/>
      <c r="N956" s="1629"/>
    </row>
    <row r="957" spans="1:14">
      <c r="A957" s="1271" t="s">
        <v>1291</v>
      </c>
      <c r="B957" s="1775">
        <f>'Part VII-Pro Forma'!B98</f>
        <v>0</v>
      </c>
      <c r="C957" s="1775">
        <f>'Part VII-Pro Forma'!C98</f>
        <v>0</v>
      </c>
      <c r="D957" s="1775">
        <f>'Part VII-Pro Forma'!D98</f>
        <v>0</v>
      </c>
      <c r="E957" s="1775">
        <f>'Part VII-Pro Forma'!E98</f>
        <v>0</v>
      </c>
      <c r="F957" s="1775">
        <f>'Part VII-Pro Forma'!F98</f>
        <v>0</v>
      </c>
      <c r="G957" s="1775">
        <f>'Part VII-Pro Forma'!G98</f>
        <v>0</v>
      </c>
      <c r="H957" s="1775">
        <f>'Part VII-Pro Forma'!H98</f>
        <v>0</v>
      </c>
      <c r="I957" s="1775">
        <f>'Part VII-Pro Forma'!I98</f>
        <v>0</v>
      </c>
      <c r="J957" s="1775">
        <f>'Part VII-Pro Forma'!J98</f>
        <v>0</v>
      </c>
      <c r="K957" s="1775">
        <f>'Part VII-Pro Forma'!K98</f>
        <v>0</v>
      </c>
      <c r="M957" s="1629"/>
      <c r="N957" s="1629"/>
    </row>
    <row r="958" spans="1:14">
      <c r="B958" s="1775"/>
      <c r="C958" s="1775"/>
      <c r="D958" s="1775"/>
      <c r="E958" s="1775"/>
      <c r="F958" s="1775"/>
      <c r="G958" s="1775"/>
      <c r="H958" s="1775"/>
      <c r="I958" s="1775"/>
      <c r="J958" s="1775"/>
      <c r="K958" s="1775"/>
    </row>
    <row r="959" spans="1:14">
      <c r="A959" s="1522" t="s">
        <v>2578</v>
      </c>
      <c r="B959" s="1778">
        <f>K930+1</f>
        <v>31</v>
      </c>
      <c r="C959" s="1778">
        <f>B959+1</f>
        <v>32</v>
      </c>
      <c r="D959" s="1778">
        <f>C959+1</f>
        <v>33</v>
      </c>
      <c r="E959" s="1778">
        <f>D959+1</f>
        <v>34</v>
      </c>
      <c r="F959" s="1778">
        <f>E959+1</f>
        <v>35</v>
      </c>
      <c r="G959" s="1775"/>
      <c r="H959" s="1775"/>
      <c r="I959" s="1775"/>
      <c r="J959" s="1775"/>
      <c r="K959" s="1775"/>
      <c r="M959" s="1684" t="s">
        <v>4537</v>
      </c>
      <c r="N959" s="1684"/>
    </row>
    <row r="960" spans="1:14">
      <c r="A960" s="1271" t="s">
        <v>2500</v>
      </c>
      <c r="B960" s="1775">
        <f>$B$14*(1+$B$5)^(B959-1)</f>
        <v>0</v>
      </c>
      <c r="C960" s="1775">
        <f>$B$14*(1+$B$5)^(C959-1)</f>
        <v>0</v>
      </c>
      <c r="D960" s="1775">
        <f>$B$14*(1+$B$5)^(D959-1)</f>
        <v>0</v>
      </c>
      <c r="E960" s="1775">
        <f>$B$14*(1+$B$5)^(E959-1)</f>
        <v>0</v>
      </c>
      <c r="F960" s="1775">
        <f>$B$14*(1+$B$5)^(F959-1)</f>
        <v>0</v>
      </c>
      <c r="G960" s="1775"/>
      <c r="H960" s="1775"/>
      <c r="I960" s="1775"/>
      <c r="J960" s="1775"/>
      <c r="K960" s="1775"/>
      <c r="M960" s="1629">
        <f>'Part VII-Pro Forma'!M101</f>
        <v>0</v>
      </c>
      <c r="N960" s="1629"/>
    </row>
    <row r="961" spans="1:14">
      <c r="A961" s="1271" t="s">
        <v>1060</v>
      </c>
      <c r="B961" s="1775">
        <f>$B$15*(1+$B$5)^(B959-1)</f>
        <v>0</v>
      </c>
      <c r="C961" s="1775">
        <f>$B$15*(1+$B$5)^(C959-1)</f>
        <v>0</v>
      </c>
      <c r="D961" s="1775">
        <f>$B$15*(1+$B$5)^(D959-1)</f>
        <v>0</v>
      </c>
      <c r="E961" s="1775">
        <f>$B$15*(1+$B$5)^(E959-1)</f>
        <v>0</v>
      </c>
      <c r="F961" s="1775">
        <f>$B$15*(1+$B$5)^(F959-1)</f>
        <v>0</v>
      </c>
      <c r="G961" s="1775"/>
      <c r="H961" s="1775"/>
      <c r="I961" s="1775"/>
      <c r="J961" s="1775"/>
      <c r="K961" s="1775"/>
      <c r="M961" s="1629"/>
      <c r="N961" s="1629"/>
    </row>
    <row r="962" spans="1:14">
      <c r="A962" s="1271" t="s">
        <v>2501</v>
      </c>
      <c r="B962" s="1775">
        <f>-(B960+B961)*$B$8</f>
        <v>0</v>
      </c>
      <c r="C962" s="1775">
        <f>-(C960+C961)*$B$8</f>
        <v>0</v>
      </c>
      <c r="D962" s="1775">
        <f>-(D960+D961)*$B$8</f>
        <v>0</v>
      </c>
      <c r="E962" s="1775">
        <f>-(E960+E961)*$B$8</f>
        <v>0</v>
      </c>
      <c r="F962" s="1775">
        <f>-(F960+F961)*$B$8</f>
        <v>0</v>
      </c>
      <c r="G962" s="1775"/>
      <c r="H962" s="1775"/>
      <c r="I962" s="1775"/>
      <c r="J962" s="1775"/>
      <c r="K962" s="1775"/>
      <c r="M962" s="1629"/>
      <c r="N962" s="1629"/>
    </row>
    <row r="963" spans="1:14">
      <c r="A963" s="1271" t="s">
        <v>54</v>
      </c>
      <c r="B963" s="1775">
        <f>'Part VI-Revenues &amp; Expenses'!G1014</f>
        <v>0</v>
      </c>
      <c r="C963" s="1775">
        <f>'Part VI-Revenues &amp; Expenses'!H1014</f>
        <v>0</v>
      </c>
      <c r="D963" s="1775">
        <f>'Part VI-Revenues &amp; Expenses'!I1014</f>
        <v>0</v>
      </c>
      <c r="E963" s="1775">
        <f>'Part VI-Revenues &amp; Expenses'!J1014</f>
        <v>0</v>
      </c>
      <c r="F963" s="1775">
        <f>'Part VI-Revenues &amp; Expenses'!K1014</f>
        <v>0</v>
      </c>
      <c r="G963" s="1775"/>
      <c r="H963" s="1775"/>
      <c r="I963" s="1775"/>
      <c r="J963" s="1775"/>
      <c r="K963" s="1775"/>
      <c r="M963" s="1629"/>
      <c r="N963" s="1629"/>
    </row>
    <row r="964" spans="1:14">
      <c r="A964" s="1271" t="s">
        <v>55</v>
      </c>
      <c r="B964" s="1775">
        <f>'Part VI-Revenues &amp; Expenses'!G1018</f>
        <v>0</v>
      </c>
      <c r="C964" s="1775">
        <f>'Part VI-Revenues &amp; Expenses'!H1018</f>
        <v>0</v>
      </c>
      <c r="D964" s="1775">
        <f>'Part VI-Revenues &amp; Expenses'!I1018</f>
        <v>0</v>
      </c>
      <c r="E964" s="1775">
        <f>'Part VI-Revenues &amp; Expenses'!J1018</f>
        <v>0</v>
      </c>
      <c r="F964" s="1775">
        <f>'Part VI-Revenues &amp; Expenses'!K1018</f>
        <v>0</v>
      </c>
      <c r="G964" s="1775"/>
      <c r="H964" s="1775"/>
      <c r="I964" s="1775"/>
      <c r="J964" s="1775"/>
      <c r="K964" s="1775"/>
      <c r="M964" s="1629"/>
      <c r="N964" s="1629"/>
    </row>
    <row r="965" spans="1:14">
      <c r="A965" s="1271" t="s">
        <v>644</v>
      </c>
      <c r="B965" s="1775">
        <f>$B$19*(1+$B$6)^(B959-1)</f>
        <v>0</v>
      </c>
      <c r="C965" s="1775">
        <f>$B$19*(1+$B$6)^(C959-1)</f>
        <v>0</v>
      </c>
      <c r="D965" s="1775">
        <f>$B$19*(1+$B$6)^(D959-1)</f>
        <v>0</v>
      </c>
      <c r="E965" s="1775">
        <f>$B$19*(1+$B$6)^(E959-1)</f>
        <v>0</v>
      </c>
      <c r="F965" s="1775">
        <f>$B$19*(1+$B$6)^(F959-1)</f>
        <v>0</v>
      </c>
      <c r="G965" s="1775"/>
      <c r="H965" s="1775"/>
      <c r="I965" s="1775"/>
      <c r="J965" s="1775"/>
      <c r="K965" s="1775"/>
      <c r="M965" s="1629"/>
      <c r="N965" s="1629"/>
    </row>
    <row r="966" spans="1:14">
      <c r="A966" s="1271" t="s">
        <v>1160</v>
      </c>
      <c r="B966" s="1775">
        <f>IF(AND('Part VII-Pro Forma'!$G$8="Yes",'Part VII-Pro Forma'!$G$9="Yes"),"Choose One!",IF('Part VII-Pro Forma'!$G$8="Yes",ROUND((-$K$8*(1+'Part VII-Pro Forma'!$B$6)^('Part VII-Pro Forma'!B959-1)),),IF('Part VII-Pro Forma'!$G$9="Yes",ROUND((-(SUM(B960:B963)*'Part VII-Pro Forma'!$K$9)),),"Choose mgt fee")))</f>
        <v>0</v>
      </c>
      <c r="C966" s="1775">
        <f>IF(AND('Part VII-Pro Forma'!$G$8="Yes",'Part VII-Pro Forma'!$G$9="Yes"),"Choose One!",IF('Part VII-Pro Forma'!$G$8="Yes",ROUND((-$K$8*(1+'Part VII-Pro Forma'!$B$6)^('Part VII-Pro Forma'!C959-1)),),IF('Part VII-Pro Forma'!$G$9="Yes",ROUND((-(SUM(C960:C963)*'Part VII-Pro Forma'!$K$9)),),"Choose mgt fee")))</f>
        <v>0</v>
      </c>
      <c r="D966" s="1775">
        <f>IF(AND('Part VII-Pro Forma'!$G$8="Yes",'Part VII-Pro Forma'!$G$9="Yes"),"Choose One!",IF('Part VII-Pro Forma'!$G$8="Yes",ROUND((-$K$8*(1+'Part VII-Pro Forma'!$B$6)^('Part VII-Pro Forma'!D959-1)),),IF('Part VII-Pro Forma'!$G$9="Yes",ROUND((-(SUM(D960:D963)*'Part VII-Pro Forma'!$K$9)),),"Choose mgt fee")))</f>
        <v>0</v>
      </c>
      <c r="E966" s="1775">
        <f>IF(AND('Part VII-Pro Forma'!$G$8="Yes",'Part VII-Pro Forma'!$G$9="Yes"),"Choose One!",IF('Part VII-Pro Forma'!$G$8="Yes",ROUND((-$K$8*(1+'Part VII-Pro Forma'!$B$6)^('Part VII-Pro Forma'!E959-1)),),IF('Part VII-Pro Forma'!$G$9="Yes",ROUND((-(SUM(E960:E963)*'Part VII-Pro Forma'!$K$9)),),"Choose mgt fee")))</f>
        <v>0</v>
      </c>
      <c r="F966" s="1775">
        <f>IF(AND('Part VII-Pro Forma'!$G$8="Yes",'Part VII-Pro Forma'!$G$9="Yes"),"Choose One!",IF('Part VII-Pro Forma'!$G$8="Yes",ROUND((-$K$8*(1+'Part VII-Pro Forma'!$B$6)^('Part VII-Pro Forma'!F959-1)),),IF('Part VII-Pro Forma'!$G$9="Yes",ROUND((-(SUM(F960:F963)*'Part VII-Pro Forma'!$K$9)),),"Choose mgt fee")))</f>
        <v>0</v>
      </c>
      <c r="G966" s="1775"/>
      <c r="H966" s="1775"/>
      <c r="I966" s="1775"/>
      <c r="J966" s="1775"/>
      <c r="K966" s="1775"/>
      <c r="M966" s="1629"/>
      <c r="N966" s="1629"/>
    </row>
    <row r="967" spans="1:14">
      <c r="A967" s="1271" t="s">
        <v>1254</v>
      </c>
      <c r="B967" s="1775">
        <f>$B$21*(1+$B$7)^(B959-1)</f>
        <v>0</v>
      </c>
      <c r="C967" s="1775">
        <f>$B$21*(1+$B$7)^(C959-1)</f>
        <v>0</v>
      </c>
      <c r="D967" s="1775">
        <f>$B$21*(1+$B$7)^(D959-1)</f>
        <v>0</v>
      </c>
      <c r="E967" s="1775">
        <f>$B$21*(1+$B$7)^(E959-1)</f>
        <v>0</v>
      </c>
      <c r="F967" s="1775">
        <f>$B$21*(1+$B$7)^(F959-1)</f>
        <v>0</v>
      </c>
      <c r="G967" s="1775"/>
      <c r="H967" s="1775"/>
      <c r="I967" s="1775"/>
      <c r="J967" s="1775"/>
      <c r="K967" s="1775"/>
      <c r="M967" s="1629"/>
      <c r="N967" s="1629"/>
    </row>
    <row r="968" spans="1:14">
      <c r="A968" s="1271" t="s">
        <v>1255</v>
      </c>
      <c r="B968" s="1775">
        <f>SUM(B960:B967)</f>
        <v>0</v>
      </c>
      <c r="C968" s="1775">
        <f>SUM(C960:C967)</f>
        <v>0</v>
      </c>
      <c r="D968" s="1775">
        <f>SUM(D960:D967)</f>
        <v>0</v>
      </c>
      <c r="E968" s="1775">
        <f>SUM(E960:E967)</f>
        <v>0</v>
      </c>
      <c r="F968" s="1775">
        <f>SUM(F960:F967)</f>
        <v>0</v>
      </c>
      <c r="G968" s="1775"/>
      <c r="H968" s="1775"/>
      <c r="I968" s="1775"/>
      <c r="J968" s="1775"/>
      <c r="K968" s="1775"/>
      <c r="M968" s="1629"/>
      <c r="N968" s="1629"/>
    </row>
    <row r="969" spans="1:14">
      <c r="A969" s="1271" t="str">
        <f>$A940</f>
        <v>Mortgage A</v>
      </c>
      <c r="B969" s="1775">
        <f>'Part VII-Pro Forma'!B110</f>
        <v>-361987.34381576651</v>
      </c>
      <c r="C969" s="1775">
        <f>'Part VII-Pro Forma'!C110</f>
        <v>-361987.34381576651</v>
      </c>
      <c r="D969" s="1775">
        <f>'Part VII-Pro Forma'!D110</f>
        <v>-361987.34381576651</v>
      </c>
      <c r="E969" s="1775">
        <f>'Part VII-Pro Forma'!E110</f>
        <v>-361987.34381576651</v>
      </c>
      <c r="F969" s="1775">
        <f>'Part VII-Pro Forma'!F110</f>
        <v>-361987.34381576651</v>
      </c>
      <c r="G969" s="1775"/>
      <c r="H969" s="1775"/>
      <c r="I969" s="1775"/>
      <c r="J969" s="1775"/>
      <c r="K969" s="1775"/>
      <c r="M969" s="1629"/>
      <c r="N969" s="1629"/>
    </row>
    <row r="970" spans="1:14">
      <c r="A970" s="1271" t="str">
        <f>$A941</f>
        <v>Mortgage B</v>
      </c>
      <c r="B970" s="1775">
        <f>'Part VII-Pro Forma'!B111</f>
        <v>-101622.85161720682</v>
      </c>
      <c r="C970" s="1775">
        <f>'Part VII-Pro Forma'!C111</f>
        <v>-101622.85161720682</v>
      </c>
      <c r="D970" s="1775">
        <f>'Part VII-Pro Forma'!D111</f>
        <v>-101622.85161720682</v>
      </c>
      <c r="E970" s="1775">
        <f>'Part VII-Pro Forma'!E111</f>
        <v>-101622.85161720682</v>
      </c>
      <c r="F970" s="1775">
        <f>'Part VII-Pro Forma'!F111</f>
        <v>-101622.85161720682</v>
      </c>
      <c r="G970" s="1775"/>
      <c r="H970" s="1775"/>
      <c r="I970" s="1775"/>
      <c r="J970" s="1775"/>
      <c r="K970" s="1775"/>
      <c r="M970" s="1629"/>
      <c r="N970" s="1629"/>
    </row>
    <row r="971" spans="1:14">
      <c r="A971" s="1271" t="str">
        <f>$A942</f>
        <v>Mortgage C</v>
      </c>
      <c r="B971" s="1775">
        <f>'Part VII-Pro Forma'!B112</f>
        <v>0</v>
      </c>
      <c r="C971" s="1775">
        <f>'Part VII-Pro Forma'!C112</f>
        <v>0</v>
      </c>
      <c r="D971" s="1775">
        <f>'Part VII-Pro Forma'!D112</f>
        <v>0</v>
      </c>
      <c r="E971" s="1775">
        <f>'Part VII-Pro Forma'!E112</f>
        <v>0</v>
      </c>
      <c r="F971" s="1775">
        <f>'Part VII-Pro Forma'!F112</f>
        <v>0</v>
      </c>
      <c r="G971" s="1775"/>
      <c r="H971" s="1775"/>
      <c r="I971" s="1775"/>
      <c r="J971" s="1775"/>
      <c r="K971" s="1775"/>
      <c r="M971" s="1629"/>
      <c r="N971" s="1629"/>
    </row>
    <row r="972" spans="1:14">
      <c r="A972" s="1271" t="str">
        <f>$A943</f>
        <v>D/S Other Source</v>
      </c>
      <c r="B972" s="1775">
        <f>'Part VII-Pro Forma'!B113</f>
        <v>0</v>
      </c>
      <c r="C972" s="1775">
        <f>'Part VII-Pro Forma'!C113</f>
        <v>0</v>
      </c>
      <c r="D972" s="1775">
        <f>'Part VII-Pro Forma'!D113</f>
        <v>0</v>
      </c>
      <c r="E972" s="1775">
        <f>'Part VII-Pro Forma'!E113</f>
        <v>0</v>
      </c>
      <c r="F972" s="1775">
        <f>'Part VII-Pro Forma'!F113</f>
        <v>0</v>
      </c>
      <c r="G972" s="1775"/>
      <c r="H972" s="1775"/>
      <c r="I972" s="1775"/>
      <c r="J972" s="1775"/>
      <c r="K972" s="1775"/>
      <c r="M972" s="1629"/>
      <c r="N972" s="1629"/>
    </row>
    <row r="973" spans="1:14">
      <c r="A973" s="1271" t="s">
        <v>801</v>
      </c>
      <c r="B973" s="1775">
        <f>'Part VII-Pro Forma'!B114</f>
        <v>0</v>
      </c>
      <c r="C973" s="1775">
        <f>'Part VII-Pro Forma'!C114</f>
        <v>0</v>
      </c>
      <c r="D973" s="1775">
        <f>'Part VII-Pro Forma'!D114</f>
        <v>0</v>
      </c>
      <c r="E973" s="1775">
        <f>'Part VII-Pro Forma'!E114</f>
        <v>0</v>
      </c>
      <c r="F973" s="1775">
        <f>'Part VII-Pro Forma'!F114</f>
        <v>0</v>
      </c>
      <c r="G973" s="1775"/>
      <c r="H973" s="1775"/>
      <c r="I973" s="1775"/>
      <c r="J973" s="1775"/>
      <c r="K973" s="1775"/>
      <c r="M973" s="1629"/>
      <c r="N973" s="1629"/>
    </row>
    <row r="974" spans="1:14">
      <c r="A974" s="1271" t="s">
        <v>1213</v>
      </c>
      <c r="B974" s="1775">
        <f>'Part VII-Pro Forma'!B115</f>
        <v>-7500</v>
      </c>
      <c r="C974" s="1775">
        <f>'Part VII-Pro Forma'!C115</f>
        <v>-7500</v>
      </c>
      <c r="D974" s="1775">
        <f>'Part VII-Pro Forma'!D115</f>
        <v>-7500</v>
      </c>
      <c r="E974" s="1775">
        <f>'Part VII-Pro Forma'!E115</f>
        <v>-7500</v>
      </c>
      <c r="F974" s="1775">
        <f>'Part VII-Pro Forma'!F115</f>
        <v>-7500</v>
      </c>
      <c r="G974" s="1775"/>
      <c r="H974" s="1775"/>
      <c r="I974" s="1775"/>
      <c r="J974" s="1775"/>
      <c r="K974" s="1775"/>
      <c r="M974" s="1629"/>
      <c r="N974" s="1629"/>
    </row>
    <row r="975" spans="1:14">
      <c r="A975" s="1271" t="s">
        <v>1256</v>
      </c>
      <c r="B975" s="1775">
        <f>'Part VII-Pro Forma'!B116</f>
        <v>0</v>
      </c>
      <c r="C975" s="1775">
        <f>'Part VII-Pro Forma'!C116</f>
        <v>0</v>
      </c>
      <c r="D975" s="1775">
        <f>'Part VII-Pro Forma'!D116</f>
        <v>0</v>
      </c>
      <c r="E975" s="1775">
        <f>'Part VII-Pro Forma'!E116</f>
        <v>0</v>
      </c>
      <c r="F975" s="1775">
        <f>'Part VII-Pro Forma'!F116</f>
        <v>0</v>
      </c>
      <c r="G975" s="1775"/>
      <c r="H975" s="1775"/>
      <c r="I975" s="1775"/>
      <c r="J975" s="1775"/>
      <c r="K975" s="1775"/>
      <c r="M975" s="1629"/>
      <c r="N975" s="1629"/>
    </row>
    <row r="976" spans="1:14">
      <c r="A976" s="1271" t="s">
        <v>1214</v>
      </c>
      <c r="B976" s="1775">
        <f>SUM(B968:B975)</f>
        <v>-471110.19543297333</v>
      </c>
      <c r="C976" s="1775">
        <f>SUM(C968:C975)</f>
        <v>-471110.19543297333</v>
      </c>
      <c r="D976" s="1775">
        <f>SUM(D968:D975)</f>
        <v>-471110.19543297333</v>
      </c>
      <c r="E976" s="1775">
        <f>SUM(E968:E975)</f>
        <v>-471110.19543297333</v>
      </c>
      <c r="F976" s="1775">
        <f>SUM(F968:F975)</f>
        <v>-471110.19543297333</v>
      </c>
      <c r="G976" s="1775"/>
      <c r="H976" s="1775"/>
      <c r="I976" s="1775"/>
      <c r="J976" s="1775"/>
      <c r="K976" s="1775"/>
      <c r="M976" s="1629"/>
      <c r="N976" s="1629"/>
    </row>
    <row r="977" spans="1:14">
      <c r="A977" s="1271" t="str">
        <f>$A948</f>
        <v>DCR Mortgage A</v>
      </c>
      <c r="B977" s="1776">
        <f>IF(B969=0,"",-B968/B969)</f>
        <v>0</v>
      </c>
      <c r="C977" s="1776">
        <f>IF(C969=0,"",-C968/C969)</f>
        <v>0</v>
      </c>
      <c r="D977" s="1776">
        <f>IF(D969=0,"",-D968/D969)</f>
        <v>0</v>
      </c>
      <c r="E977" s="1776">
        <f>IF(E969=0,"",-E968/E969)</f>
        <v>0</v>
      </c>
      <c r="F977" s="1776">
        <f>IF(F969=0,"",-F968/F969)</f>
        <v>0</v>
      </c>
      <c r="G977" s="1775"/>
      <c r="H977" s="1775"/>
      <c r="I977" s="1775"/>
      <c r="J977" s="1775"/>
      <c r="K977" s="1775"/>
      <c r="M977" s="1629"/>
      <c r="N977" s="1629"/>
    </row>
    <row r="978" spans="1:14">
      <c r="A978" s="1271" t="str">
        <f>$A949</f>
        <v>DCR Mortgage B</v>
      </c>
      <c r="B978" s="1776">
        <f>IF(OR(B970=0,AND(B970=0,B969=0)),"",-B968/(B969+B970))</f>
        <v>0</v>
      </c>
      <c r="C978" s="1776">
        <f>IF(OR(C970=0,AND(C970=0,C969=0)),"",-C968/(C969+C970))</f>
        <v>0</v>
      </c>
      <c r="D978" s="1776">
        <f>IF(OR(D970=0,AND(D970=0,D969=0)),"",-D968/(D969+D970))</f>
        <v>0</v>
      </c>
      <c r="E978" s="1776">
        <f>IF(OR(E970=0,AND(E970=0,E969=0)),"",-E968/(E969+E970))</f>
        <v>0</v>
      </c>
      <c r="F978" s="1776">
        <f>IF(OR(F970=0,AND(F970=0,F969=0)),"",-F968/(F969+F970))</f>
        <v>0</v>
      </c>
      <c r="G978" s="1775"/>
      <c r="H978" s="1775"/>
      <c r="I978" s="1775"/>
      <c r="J978" s="1775"/>
      <c r="K978" s="1775"/>
      <c r="M978" s="1629"/>
      <c r="N978" s="1629"/>
    </row>
    <row r="979" spans="1:14">
      <c r="A979" s="1271" t="str">
        <f>$A950</f>
        <v>DCR Mortgage C</v>
      </c>
      <c r="B979" s="1776" t="str">
        <f>IF(OR(B971=0,AND(B971=0,B970=0,B969=0)),"",-B968/(B969+B970+B971))</f>
        <v/>
      </c>
      <c r="C979" s="1776" t="str">
        <f>IF(OR(C971=0,AND(C971=0,C970=0,C969=0)),"",-C968/(C969+C970+C971))</f>
        <v/>
      </c>
      <c r="D979" s="1776" t="str">
        <f>IF(OR(D971=0,AND(D971=0,D970=0,D969=0)),"",-D968/(D969+D970+D971))</f>
        <v/>
      </c>
      <c r="E979" s="1776" t="str">
        <f>IF(OR(E971=0,AND(E971=0,E970=0,E969=0)),"",-E968/(E969+E970+E971))</f>
        <v/>
      </c>
      <c r="F979" s="1776" t="str">
        <f>IF(OR(F971=0,AND(F971=0,F970=0,F969=0)),"",-F968/(F969+F970+F971))</f>
        <v/>
      </c>
      <c r="G979" s="1775"/>
      <c r="H979" s="1775"/>
      <c r="I979" s="1775"/>
      <c r="J979" s="1775"/>
      <c r="K979" s="1775"/>
      <c r="M979" s="1629"/>
      <c r="N979" s="1629"/>
    </row>
    <row r="980" spans="1:14">
      <c r="A980" s="1271" t="str">
        <f>$A951</f>
        <v>DCR Other Source</v>
      </c>
      <c r="B980" s="1776" t="str">
        <f>IF(OR(B972=0,AND(B969=0,B970=0,B971=0,B972=0)),"",-B968/(B969+B970+B971+B972))</f>
        <v/>
      </c>
      <c r="C980" s="1776" t="str">
        <f>IF(OR(C972=0,AND(C969=0,C970=0,C971=0,C972=0)),"",-C968/(C969+C970+C971+C972))</f>
        <v/>
      </c>
      <c r="D980" s="1776" t="str">
        <f>IF(OR(D972=0,AND(D969=0,D970=0,D971=0,D972=0)),"",-D968/(D969+D970+D971+D972))</f>
        <v/>
      </c>
      <c r="E980" s="1776" t="str">
        <f>IF(OR(E972=0,AND(E969=0,E970=0,E971=0,E972=0)),"",-E968/(E969+E970+E971+E972))</f>
        <v/>
      </c>
      <c r="F980" s="1776" t="str">
        <f>IF(OR(F972=0,AND(F969=0,F970=0,F971=0,F972=0)),"",-F968/(F969+F970+F971+F972))</f>
        <v/>
      </c>
      <c r="G980" s="1775"/>
      <c r="H980" s="1775"/>
      <c r="I980" s="1775"/>
      <c r="J980" s="1775"/>
      <c r="K980" s="1775"/>
      <c r="M980" s="1629"/>
      <c r="N980" s="1629"/>
    </row>
    <row r="981" spans="1:14">
      <c r="A981" s="1271" t="s">
        <v>808</v>
      </c>
      <c r="B981" s="1777" t="e">
        <f>IF(OR(B966="Choose mgt fee",B966="Choose One!"),"",(B960+B961+B962+B963+B964) / -(B965+B966+B967))</f>
        <v>#DIV/0!</v>
      </c>
      <c r="C981" s="1777" t="e">
        <f>IF(OR(C966="Choose mgt fee",C966="Choose One!"),"",(C960+C961+C962+C963+C964) / -(C965+C966+C967))</f>
        <v>#DIV/0!</v>
      </c>
      <c r="D981" s="1777" t="e">
        <f>IF(OR(D966="Choose mgt fee",D966="Choose One!"),"",(D960+D961+D962+D963+D964) / -(D965+D966+D967))</f>
        <v>#DIV/0!</v>
      </c>
      <c r="E981" s="1777" t="e">
        <f>IF(OR(E966="Choose mgt fee",E966="Choose One!"),"",(E960+E961+E962+E963+E964) / -(E965+E966+E967))</f>
        <v>#DIV/0!</v>
      </c>
      <c r="F981" s="1777" t="e">
        <f>IF(OR(F966="Choose mgt fee",F966="Choose One!"),"",(F960+F961+F962+F963+F964) / -(F965+F966+F967))</f>
        <v>#DIV/0!</v>
      </c>
      <c r="G981" s="1775"/>
      <c r="H981" s="1775"/>
      <c r="I981" s="1775"/>
      <c r="J981" s="1775"/>
      <c r="K981" s="1775"/>
      <c r="M981" s="1629"/>
      <c r="N981" s="1629"/>
    </row>
    <row r="982" spans="1:14">
      <c r="A982" s="1271" t="s">
        <v>2717</v>
      </c>
      <c r="B982" s="1775">
        <f>'Part VII-Pro Forma'!B123</f>
        <v>1332036.2532620402</v>
      </c>
      <c r="C982" s="1775">
        <f>'Part VII-Pro Forma'!C123</f>
        <v>1019426.7978614733</v>
      </c>
      <c r="D982" s="1775">
        <f>'Part VII-Pro Forma'!D123</f>
        <v>693594.4203444483</v>
      </c>
      <c r="E982" s="1775">
        <f>'Part VII-Pro Forma'!E123</f>
        <v>353979.81047169608</v>
      </c>
      <c r="F982" s="1775">
        <f>'Part VII-Pro Forma'!F123</f>
        <v>-9.3714334070682526E-9</v>
      </c>
      <c r="G982" s="1775"/>
      <c r="H982" s="1775"/>
      <c r="I982" s="1775"/>
      <c r="J982" s="1775"/>
      <c r="K982" s="1775"/>
      <c r="M982" s="1629"/>
      <c r="N982" s="1629"/>
    </row>
    <row r="983" spans="1:14">
      <c r="A983" s="1271" t="s">
        <v>2718</v>
      </c>
      <c r="B983" s="1775">
        <f>'Part VII-Pro Forma'!B124</f>
        <v>398306.2594091596</v>
      </c>
      <c r="C983" s="1775">
        <f>'Part VII-Pro Forma'!C124</f>
        <v>300217.70925328176</v>
      </c>
      <c r="D983" s="1775">
        <f>'Part VII-Pro Forma'!D124</f>
        <v>201143.7653590577</v>
      </c>
      <c r="E983" s="1775">
        <f>'Part VII-Pro Forma'!E124</f>
        <v>101074.52849953354</v>
      </c>
      <c r="F983" s="1775">
        <f>'Part VII-Pro Forma'!F124</f>
        <v>5.0860398914664984E-7</v>
      </c>
      <c r="G983" s="1775"/>
      <c r="H983" s="1775"/>
      <c r="I983" s="1775"/>
      <c r="J983" s="1775"/>
      <c r="K983" s="1775"/>
      <c r="M983" s="1629"/>
      <c r="N983" s="1629"/>
    </row>
    <row r="984" spans="1:14">
      <c r="A984" s="1271" t="s">
        <v>2719</v>
      </c>
      <c r="B984" s="1775" t="str">
        <f>'Part VII-Pro Forma'!B125</f>
        <v/>
      </c>
      <c r="C984" s="1775" t="str">
        <f>'Part VII-Pro Forma'!C125</f>
        <v/>
      </c>
      <c r="D984" s="1775" t="str">
        <f>'Part VII-Pro Forma'!D125</f>
        <v/>
      </c>
      <c r="E984" s="1775" t="str">
        <f>'Part VII-Pro Forma'!E125</f>
        <v/>
      </c>
      <c r="F984" s="1775" t="str">
        <f>'Part VII-Pro Forma'!F125</f>
        <v/>
      </c>
      <c r="G984" s="1775"/>
      <c r="H984" s="1775"/>
      <c r="I984" s="1775"/>
      <c r="J984" s="1775"/>
      <c r="K984" s="1775"/>
      <c r="M984" s="1629"/>
      <c r="N984" s="1629"/>
    </row>
    <row r="985" spans="1:14">
      <c r="A985" s="1271" t="s">
        <v>823</v>
      </c>
      <c r="B985" s="1775" t="str">
        <f>'Part VII-Pro Forma'!B126</f>
        <v/>
      </c>
      <c r="C985" s="1775" t="str">
        <f>'Part VII-Pro Forma'!C126</f>
        <v/>
      </c>
      <c r="D985" s="1775" t="str">
        <f>'Part VII-Pro Forma'!D126</f>
        <v/>
      </c>
      <c r="E985" s="1775" t="str">
        <f>'Part VII-Pro Forma'!E126</f>
        <v/>
      </c>
      <c r="F985" s="1775" t="str">
        <f>'Part VII-Pro Forma'!F126</f>
        <v/>
      </c>
      <c r="G985" s="1775"/>
      <c r="H985" s="1775"/>
      <c r="I985" s="1775"/>
      <c r="J985" s="1775"/>
      <c r="K985" s="1775"/>
      <c r="M985" s="1629"/>
      <c r="N985" s="1629"/>
    </row>
    <row r="986" spans="1:14">
      <c r="A986" s="1271" t="s">
        <v>1291</v>
      </c>
      <c r="B986" s="1775">
        <f>'Part VII-Pro Forma'!B127</f>
        <v>0</v>
      </c>
      <c r="C986" s="1775">
        <f>'Part VII-Pro Forma'!C127</f>
        <v>0</v>
      </c>
      <c r="D986" s="1775">
        <f>'Part VII-Pro Forma'!D127</f>
        <v>0</v>
      </c>
      <c r="E986" s="1775">
        <f>'Part VII-Pro Forma'!E127</f>
        <v>0</v>
      </c>
      <c r="F986" s="1775">
        <f>'Part VII-Pro Forma'!F127</f>
        <v>0</v>
      </c>
      <c r="G986" s="1775"/>
      <c r="H986" s="1775"/>
      <c r="I986" s="1775"/>
      <c r="J986" s="1775"/>
      <c r="K986" s="1775"/>
      <c r="M986" s="1629"/>
      <c r="N986" s="1629"/>
    </row>
    <row r="988" spans="1:14">
      <c r="A988" s="1522" t="s">
        <v>598</v>
      </c>
      <c r="B988" s="1522"/>
      <c r="G988" s="1522" t="s">
        <v>1075</v>
      </c>
    </row>
    <row r="989" spans="1:14">
      <c r="B989" s="1684"/>
    </row>
    <row r="990" spans="1:14" ht="15.75" customHeight="1">
      <c r="A990" s="1596" t="str">
        <f>'Part VII-Pro Forma'!A131</f>
        <v>APPLICANTS: Explain any any debt service payment amounts that deviate from the amount shown in Permanent Sources (Part III)</v>
      </c>
      <c r="B990" s="1596"/>
      <c r="C990" s="1596"/>
      <c r="D990" s="1596"/>
      <c r="E990" s="1596"/>
      <c r="F990" s="1596"/>
      <c r="G990" s="1596">
        <f>'Part VII-Pro Forma'!G131</f>
        <v>0</v>
      </c>
      <c r="H990" s="1596"/>
      <c r="I990" s="1596"/>
      <c r="J990" s="1596"/>
      <c r="K990" s="1596"/>
      <c r="M990" s="1680" t="s">
        <v>2811</v>
      </c>
      <c r="N990" s="1680"/>
    </row>
    <row r="1000" spans="1:17">
      <c r="A1000" s="521" t="str">
        <f>CONCATENATE("DRAFT PART EIGHT - THRESHOLD CRITERIA","  -  ",'Part I-Project Information'!$O$4," ",'Part I-Project Information'!$F$24,", ",'Part I-Project Information'!F1027,", ",'Part I-Project Information'!J1028," County")</f>
        <v>DRAFT PART EIGHT - THRESHOLD CRITERIA  -  2016-508 Gateway Capitol View, ,  County</v>
      </c>
      <c r="B1000" s="521"/>
      <c r="C1000" s="521"/>
      <c r="D1000" s="521"/>
      <c r="E1000" s="521"/>
      <c r="F1000" s="521"/>
      <c r="G1000" s="521"/>
      <c r="H1000" s="521"/>
      <c r="I1000" s="521"/>
      <c r="J1000" s="521"/>
      <c r="K1000" s="521"/>
      <c r="L1000" s="521"/>
      <c r="M1000" s="521"/>
      <c r="N1000" s="521"/>
      <c r="O1000" s="521"/>
      <c r="P1000" s="521"/>
      <c r="Q1000" s="521"/>
    </row>
    <row r="1002" spans="1:17" ht="20.25" customHeight="1">
      <c r="A1002" s="1523" t="str">
        <f>IF(OR(P1028="Fail",P1037="Fail",P1074="Fail",P1078="Fail",P1091="Fail",P1106="Fail",P1125="Fail",P1167="Fail",P1177="Fail",P1186="Fail",P1202="Fail",P1210="Fail",P1221="Fail",P1237="Fail",P1269="Fail",P1281="Fail",P1289="Fail",P1297="Fail",P1315="Fail",P1332="Fail",P1341="Fail",P1350="Fail",P1365="Fail",P1375="Fail",P1386="Fail",P1405="Fail",P1419="Fail"),"Preliminary Rating: FAIL",IF(OR(P1028="",P1037="",P1074="",P1078="",P1091="",P1106="",P1125="",P1167="",P1177="",P1186="",P1202="",P1210="",P1221="",P1237="",P1269="",P1281="",P1289="",P1297="",P1315="",P1332="",P1341="",P1350="",P1365="",P1375="",P1386="",P1405="",P1419=""),"Preliminary Rating: Incomplete",IF(OR(P1028="TBD",P1037="TBD",P1074="TBD",P1078="TBD",P1091="TBD",P1106="TBD",P1125="TBD",P1167="TBD",P1177="TBD",P1186="TBD",P1202="TBD",P1210="TBD",P1221="TBD",P1237="TBD",P1269="TBD",P1281="TBD",P1289="TBD",P1297="TBD",P1315="TBD",P1332="TBD",P1341="TBD",P1350="TBD",P1365="TBD",P1375="TBD",P1386="TBD",P1405="TBD",P1419="TBD"),"Preliminary Rating: TBD","")))</f>
        <v/>
      </c>
      <c r="B1002" s="1523"/>
      <c r="C1002" s="1523"/>
      <c r="D1002" s="1523"/>
      <c r="E1002" s="1523"/>
      <c r="F1002" s="1523"/>
      <c r="G1002" s="1523"/>
      <c r="H1002" s="1523" t="str">
        <f>IF(AND(NOT(A1002="Preliminary Rating: Fail"),NOT(A1002="Preliminary Rating: Incomplete"),NOT(A1002="Preliminary Rating: TBD"),OR(P1028="Conditional Pass",P1037="Conditional Pass",P1074="Conditional Pass",P1078="Conditional Pass",P1091="Conditional Pass",P1106="Conditional Pass",P1125="Conditional Pass",P1167="Conditional Pass",P1177="Conditional Pass",P1186="Conditional Pass",P1202="Conditional Pass",P1210="Conditional Pass",P1221="Conditional Pass",P1237="Conditional Pass",P1269="Conditional Pass",P1281="Conditional Pass",P1289="Conditional Pass",P1297="Conditional Pass",P1315="Conditional Pass",P1332="Conditional Pass",P1341="Conditional Pass",P1350="Conditional Pass",P1365="Conditional Pass",P1375="Conditional Pass",P1386="Conditional Pass",P1405="Conditional Pass",P1419="Conditional Pass")),"Preliminary Rating: Conditional Pass","")</f>
        <v/>
      </c>
      <c r="I1002" s="1523"/>
      <c r="J1002" s="1523"/>
      <c r="K1002" s="1523"/>
      <c r="L1002" s="1523"/>
      <c r="M1002" s="1523"/>
      <c r="N1002" s="1523"/>
      <c r="O1002" s="1697" t="s">
        <v>975</v>
      </c>
      <c r="P1002" s="1697"/>
      <c r="Q1002" s="1698" t="s">
        <v>1921</v>
      </c>
    </row>
    <row r="1003" spans="1:17">
      <c r="A1003" s="1692"/>
      <c r="B1003" s="1779"/>
      <c r="C1003" s="1779"/>
      <c r="D1003" s="1779"/>
      <c r="E1003" s="1692"/>
      <c r="F1003" s="1692"/>
      <c r="G1003" s="1692"/>
      <c r="H1003" s="1692"/>
      <c r="I1003" s="1692"/>
      <c r="J1003" s="1692"/>
      <c r="K1003" s="1692"/>
      <c r="L1003" s="1692"/>
      <c r="M1003" s="1692"/>
      <c r="N1003" s="1692"/>
      <c r="P1003" s="1692"/>
      <c r="Q1003" s="1692"/>
    </row>
    <row r="1004" spans="1:17">
      <c r="A1004" s="1692"/>
      <c r="B1004" s="1692"/>
      <c r="C1004" s="1692"/>
      <c r="D1004" s="1692"/>
      <c r="E1004" s="1692"/>
      <c r="F1004" s="1692"/>
      <c r="G1004" s="1692"/>
      <c r="H1004" s="1692"/>
      <c r="I1004" s="1692"/>
      <c r="J1004" s="1692"/>
      <c r="K1004" s="1692"/>
      <c r="L1004" s="1692"/>
      <c r="M1004" s="1692"/>
      <c r="N1004" s="1692"/>
      <c r="P1004" s="1692"/>
      <c r="Q1004" s="1692"/>
    </row>
    <row r="1005" spans="1:17" ht="18">
      <c r="A1005" s="1780" t="s">
        <v>592</v>
      </c>
      <c r="J1005" s="1692"/>
      <c r="K1005" s="1692"/>
      <c r="L1005" s="1692"/>
      <c r="M1005" s="1692"/>
      <c r="N1005" s="1692"/>
      <c r="P1005" s="1781">
        <f>'Part VIII-Threshold Criteria'!P6</f>
        <v>0</v>
      </c>
      <c r="Q1005" s="1781"/>
    </row>
    <row r="1006" spans="1:17">
      <c r="A1006" s="1782" t="s">
        <v>3843</v>
      </c>
      <c r="J1006" s="1692"/>
      <c r="K1006" s="1692"/>
      <c r="L1006" s="1692"/>
      <c r="M1006" s="1692"/>
      <c r="N1006" s="1692"/>
    </row>
    <row r="1007" spans="1:17">
      <c r="A1007" s="1604" t="str">
        <f>'Part VIII-Threshold Criteria'!A8</f>
        <v xml:space="preserve">1.) </v>
      </c>
      <c r="B1007" s="1604"/>
      <c r="C1007" s="1604"/>
      <c r="D1007" s="1604"/>
      <c r="E1007" s="1604"/>
      <c r="F1007" s="1604"/>
      <c r="G1007" s="1604"/>
      <c r="H1007" s="1604"/>
      <c r="I1007" s="1604"/>
      <c r="J1007" s="1604"/>
      <c r="K1007" s="1604"/>
      <c r="L1007" s="1604"/>
      <c r="M1007" s="1604"/>
      <c r="N1007" s="1604"/>
      <c r="O1007" s="1604"/>
      <c r="P1007" s="1604"/>
      <c r="Q1007" s="1604"/>
    </row>
    <row r="1008" spans="1:17">
      <c r="A1008" s="1604" t="str">
        <f>'Part VIII-Threshold Criteria'!A9</f>
        <v>2.)</v>
      </c>
      <c r="B1008" s="1604"/>
      <c r="C1008" s="1604"/>
      <c r="D1008" s="1604"/>
      <c r="E1008" s="1604"/>
      <c r="F1008" s="1604"/>
      <c r="G1008" s="1604"/>
      <c r="H1008" s="1604"/>
      <c r="I1008" s="1604"/>
      <c r="J1008" s="1604"/>
      <c r="K1008" s="1604"/>
      <c r="L1008" s="1604"/>
      <c r="M1008" s="1604"/>
      <c r="N1008" s="1604"/>
      <c r="O1008" s="1604"/>
      <c r="P1008" s="1604"/>
      <c r="Q1008" s="1604"/>
    </row>
    <row r="1009" spans="1:17">
      <c r="A1009" s="1604" t="str">
        <f>'Part VIII-Threshold Criteria'!A10</f>
        <v>3.)</v>
      </c>
      <c r="B1009" s="1604"/>
      <c r="C1009" s="1604"/>
      <c r="D1009" s="1604"/>
      <c r="E1009" s="1604"/>
      <c r="F1009" s="1604"/>
      <c r="G1009" s="1604"/>
      <c r="H1009" s="1604"/>
      <c r="I1009" s="1604"/>
      <c r="J1009" s="1604"/>
      <c r="K1009" s="1604"/>
      <c r="L1009" s="1604"/>
      <c r="M1009" s="1604"/>
      <c r="N1009" s="1604"/>
      <c r="O1009" s="1604"/>
      <c r="P1009" s="1604"/>
      <c r="Q1009" s="1604"/>
    </row>
    <row r="1010" spans="1:17">
      <c r="A1010" s="1604" t="str">
        <f>'Part VIII-Threshold Criteria'!A11</f>
        <v>4.)</v>
      </c>
      <c r="B1010" s="1604"/>
      <c r="C1010" s="1604"/>
      <c r="D1010" s="1604"/>
      <c r="E1010" s="1604"/>
      <c r="F1010" s="1604"/>
      <c r="G1010" s="1604"/>
      <c r="H1010" s="1604"/>
      <c r="I1010" s="1604"/>
      <c r="J1010" s="1604"/>
      <c r="K1010" s="1604"/>
      <c r="L1010" s="1604"/>
      <c r="M1010" s="1604"/>
      <c r="N1010" s="1604"/>
      <c r="O1010" s="1604"/>
      <c r="P1010" s="1604"/>
      <c r="Q1010" s="1604"/>
    </row>
    <row r="1011" spans="1:17">
      <c r="A1011" s="1604" t="str">
        <f>'Part VIII-Threshold Criteria'!A12</f>
        <v>5.)</v>
      </c>
      <c r="B1011" s="1604"/>
      <c r="C1011" s="1604"/>
      <c r="D1011" s="1604"/>
      <c r="E1011" s="1604"/>
      <c r="F1011" s="1604"/>
      <c r="G1011" s="1604"/>
      <c r="H1011" s="1604"/>
      <c r="I1011" s="1604"/>
      <c r="J1011" s="1604"/>
      <c r="K1011" s="1604"/>
      <c r="L1011" s="1604"/>
      <c r="M1011" s="1604"/>
      <c r="N1011" s="1604"/>
      <c r="O1011" s="1604"/>
      <c r="P1011" s="1604"/>
      <c r="Q1011" s="1604"/>
    </row>
    <row r="1012" spans="1:17">
      <c r="A1012" s="1604" t="str">
        <f>'Part VIII-Threshold Criteria'!A13</f>
        <v>6.)</v>
      </c>
      <c r="B1012" s="1604"/>
      <c r="C1012" s="1604"/>
      <c r="D1012" s="1604"/>
      <c r="E1012" s="1604"/>
      <c r="F1012" s="1604"/>
      <c r="G1012" s="1604"/>
      <c r="H1012" s="1604"/>
      <c r="I1012" s="1604"/>
      <c r="J1012" s="1604"/>
      <c r="K1012" s="1604"/>
      <c r="L1012" s="1604"/>
      <c r="M1012" s="1604"/>
      <c r="N1012" s="1604"/>
      <c r="O1012" s="1604"/>
      <c r="P1012" s="1604"/>
      <c r="Q1012" s="1604"/>
    </row>
    <row r="1013" spans="1:17">
      <c r="A1013" s="1604" t="str">
        <f>'Part VIII-Threshold Criteria'!A14</f>
        <v>7.)</v>
      </c>
      <c r="B1013" s="1604"/>
      <c r="C1013" s="1604"/>
      <c r="D1013" s="1604"/>
      <c r="E1013" s="1604"/>
      <c r="F1013" s="1604"/>
      <c r="G1013" s="1604"/>
      <c r="H1013" s="1604"/>
      <c r="I1013" s="1604"/>
      <c r="J1013" s="1604"/>
      <c r="K1013" s="1604"/>
      <c r="L1013" s="1604"/>
      <c r="M1013" s="1604"/>
      <c r="N1013" s="1604"/>
      <c r="O1013" s="1604"/>
      <c r="P1013" s="1604"/>
      <c r="Q1013" s="1604"/>
    </row>
    <row r="1014" spans="1:17">
      <c r="A1014" s="1604" t="str">
        <f>'Part VIII-Threshold Criteria'!A15</f>
        <v xml:space="preserve">8.) </v>
      </c>
      <c r="B1014" s="1604"/>
      <c r="C1014" s="1604"/>
      <c r="D1014" s="1604"/>
      <c r="E1014" s="1604"/>
      <c r="F1014" s="1604"/>
      <c r="G1014" s="1604"/>
      <c r="H1014" s="1604"/>
      <c r="I1014" s="1604"/>
      <c r="J1014" s="1604"/>
      <c r="K1014" s="1604"/>
      <c r="L1014" s="1604"/>
      <c r="M1014" s="1604"/>
      <c r="N1014" s="1604"/>
      <c r="O1014" s="1604"/>
      <c r="P1014" s="1604"/>
      <c r="Q1014" s="1604"/>
    </row>
    <row r="1015" spans="1:17">
      <c r="A1015" s="1604" t="str">
        <f>'Part VIII-Threshold Criteria'!A16</f>
        <v>9.)</v>
      </c>
      <c r="B1015" s="1604"/>
      <c r="C1015" s="1604"/>
      <c r="D1015" s="1604"/>
      <c r="E1015" s="1604"/>
      <c r="F1015" s="1604"/>
      <c r="G1015" s="1604"/>
      <c r="H1015" s="1604"/>
      <c r="I1015" s="1604"/>
      <c r="J1015" s="1604"/>
      <c r="K1015" s="1604"/>
      <c r="L1015" s="1604"/>
      <c r="M1015" s="1604"/>
      <c r="N1015" s="1604"/>
      <c r="O1015" s="1604"/>
      <c r="P1015" s="1604"/>
      <c r="Q1015" s="1604"/>
    </row>
    <row r="1016" spans="1:17">
      <c r="A1016" s="1604" t="str">
        <f>'Part VIII-Threshold Criteria'!A17</f>
        <v>10.)</v>
      </c>
      <c r="B1016" s="1604"/>
      <c r="C1016" s="1604"/>
      <c r="D1016" s="1604"/>
      <c r="E1016" s="1604"/>
      <c r="F1016" s="1604"/>
      <c r="G1016" s="1604"/>
      <c r="H1016" s="1604"/>
      <c r="I1016" s="1604"/>
      <c r="J1016" s="1604"/>
      <c r="K1016" s="1604"/>
      <c r="L1016" s="1604"/>
      <c r="M1016" s="1604"/>
      <c r="N1016" s="1604"/>
      <c r="O1016" s="1604"/>
      <c r="P1016" s="1604"/>
      <c r="Q1016" s="1604"/>
    </row>
    <row r="1017" spans="1:17">
      <c r="A1017" s="1604" t="str">
        <f>'Part VIII-Threshold Criteria'!A18</f>
        <v>11.)</v>
      </c>
      <c r="B1017" s="1604"/>
      <c r="C1017" s="1604"/>
      <c r="D1017" s="1604"/>
      <c r="E1017" s="1604"/>
      <c r="F1017" s="1604"/>
      <c r="G1017" s="1604"/>
      <c r="H1017" s="1604"/>
      <c r="I1017" s="1604"/>
      <c r="J1017" s="1604"/>
      <c r="K1017" s="1604"/>
      <c r="L1017" s="1604"/>
      <c r="M1017" s="1604"/>
      <c r="N1017" s="1604"/>
      <c r="O1017" s="1604"/>
      <c r="P1017" s="1604"/>
      <c r="Q1017" s="1604"/>
    </row>
    <row r="1018" spans="1:17">
      <c r="A1018" s="1604" t="str">
        <f>'Part VIII-Threshold Criteria'!A19</f>
        <v>12.)</v>
      </c>
      <c r="B1018" s="1604"/>
      <c r="C1018" s="1604"/>
      <c r="D1018" s="1604"/>
      <c r="E1018" s="1604"/>
      <c r="F1018" s="1604"/>
      <c r="G1018" s="1604"/>
      <c r="H1018" s="1604"/>
      <c r="I1018" s="1604"/>
      <c r="J1018" s="1604"/>
      <c r="K1018" s="1604"/>
      <c r="L1018" s="1604"/>
      <c r="M1018" s="1604"/>
      <c r="N1018" s="1604"/>
      <c r="O1018" s="1604"/>
      <c r="P1018" s="1604"/>
      <c r="Q1018" s="1604"/>
    </row>
    <row r="1019" spans="1:17">
      <c r="A1019" s="1604" t="str">
        <f>'Part VIII-Threshold Criteria'!A20</f>
        <v>13.)</v>
      </c>
      <c r="B1019" s="1604"/>
      <c r="C1019" s="1604"/>
      <c r="D1019" s="1604"/>
      <c r="E1019" s="1604"/>
      <c r="F1019" s="1604"/>
      <c r="G1019" s="1604"/>
      <c r="H1019" s="1604"/>
      <c r="I1019" s="1604"/>
      <c r="J1019" s="1604"/>
      <c r="K1019" s="1604"/>
      <c r="L1019" s="1604"/>
      <c r="M1019" s="1604"/>
      <c r="N1019" s="1604"/>
      <c r="O1019" s="1604"/>
      <c r="P1019" s="1604"/>
      <c r="Q1019" s="1604"/>
    </row>
    <row r="1020" spans="1:17">
      <c r="A1020" s="1604" t="str">
        <f>'Part VIII-Threshold Criteria'!A21</f>
        <v>14.)</v>
      </c>
      <c r="B1020" s="1604"/>
      <c r="C1020" s="1604"/>
      <c r="D1020" s="1604"/>
      <c r="E1020" s="1604"/>
      <c r="F1020" s="1604"/>
      <c r="G1020" s="1604"/>
      <c r="H1020" s="1604"/>
      <c r="I1020" s="1604"/>
      <c r="J1020" s="1604"/>
      <c r="K1020" s="1604"/>
      <c r="L1020" s="1604"/>
      <c r="M1020" s="1604"/>
      <c r="N1020" s="1604"/>
      <c r="O1020" s="1604"/>
      <c r="P1020" s="1604"/>
      <c r="Q1020" s="1604"/>
    </row>
    <row r="1021" spans="1:17">
      <c r="A1021" s="1604" t="str">
        <f>'Part VIII-Threshold Criteria'!A22</f>
        <v xml:space="preserve">15.) </v>
      </c>
      <c r="B1021" s="1604"/>
      <c r="C1021" s="1604"/>
      <c r="D1021" s="1604"/>
      <c r="E1021" s="1604"/>
      <c r="F1021" s="1604"/>
      <c r="G1021" s="1604"/>
      <c r="H1021" s="1604"/>
      <c r="I1021" s="1604"/>
      <c r="J1021" s="1604"/>
      <c r="K1021" s="1604"/>
      <c r="L1021" s="1604"/>
      <c r="M1021" s="1604"/>
      <c r="N1021" s="1604"/>
      <c r="O1021" s="1604"/>
      <c r="P1021" s="1604"/>
      <c r="Q1021" s="1604"/>
    </row>
    <row r="1022" spans="1:17">
      <c r="A1022" s="1604" t="str">
        <f>'Part VIII-Threshold Criteria'!A23</f>
        <v>16.)</v>
      </c>
      <c r="B1022" s="1604"/>
      <c r="C1022" s="1604"/>
      <c r="D1022" s="1604"/>
      <c r="E1022" s="1604"/>
      <c r="F1022" s="1604"/>
      <c r="G1022" s="1604"/>
      <c r="H1022" s="1604"/>
      <c r="I1022" s="1604"/>
      <c r="J1022" s="1604"/>
      <c r="K1022" s="1604"/>
      <c r="L1022" s="1604"/>
      <c r="M1022" s="1604"/>
      <c r="N1022" s="1604"/>
      <c r="O1022" s="1604"/>
      <c r="P1022" s="1604"/>
      <c r="Q1022" s="1604"/>
    </row>
    <row r="1023" spans="1:17">
      <c r="A1023" s="1604" t="str">
        <f>'Part VIII-Threshold Criteria'!A24</f>
        <v>17.)</v>
      </c>
      <c r="B1023" s="1604"/>
      <c r="C1023" s="1604"/>
      <c r="D1023" s="1604"/>
      <c r="E1023" s="1604"/>
      <c r="F1023" s="1604"/>
      <c r="G1023" s="1604"/>
      <c r="H1023" s="1604"/>
      <c r="I1023" s="1604"/>
      <c r="J1023" s="1604"/>
      <c r="K1023" s="1604"/>
      <c r="L1023" s="1604"/>
      <c r="M1023" s="1604"/>
      <c r="N1023" s="1604"/>
      <c r="O1023" s="1604"/>
      <c r="P1023" s="1604"/>
      <c r="Q1023" s="1604"/>
    </row>
    <row r="1024" spans="1:17">
      <c r="A1024" s="1604" t="str">
        <f>'Part VIII-Threshold Criteria'!A25</f>
        <v>18.)</v>
      </c>
      <c r="B1024" s="1604"/>
      <c r="C1024" s="1604"/>
      <c r="D1024" s="1604"/>
      <c r="E1024" s="1604"/>
      <c r="F1024" s="1604"/>
      <c r="G1024" s="1604"/>
      <c r="H1024" s="1604"/>
      <c r="I1024" s="1604"/>
      <c r="J1024" s="1604"/>
      <c r="K1024" s="1604"/>
      <c r="L1024" s="1604"/>
      <c r="M1024" s="1604"/>
      <c r="N1024" s="1604"/>
      <c r="O1024" s="1604"/>
      <c r="P1024" s="1604"/>
      <c r="Q1024" s="1604"/>
    </row>
    <row r="1025" spans="1:17">
      <c r="A1025" s="1604" t="str">
        <f>'Part VIII-Threshold Criteria'!A26</f>
        <v>19.)</v>
      </c>
      <c r="B1025" s="1604"/>
      <c r="C1025" s="1604"/>
      <c r="D1025" s="1604"/>
      <c r="E1025" s="1604"/>
      <c r="F1025" s="1604"/>
      <c r="G1025" s="1604"/>
      <c r="H1025" s="1604"/>
      <c r="I1025" s="1604"/>
      <c r="J1025" s="1604"/>
      <c r="K1025" s="1604"/>
      <c r="L1025" s="1604"/>
      <c r="M1025" s="1604"/>
      <c r="N1025" s="1604"/>
      <c r="O1025" s="1604"/>
      <c r="P1025" s="1604"/>
      <c r="Q1025" s="1604"/>
    </row>
    <row r="1026" spans="1:17">
      <c r="A1026" s="1604" t="str">
        <f>'Part VIII-Threshold Criteria'!A27</f>
        <v>20.)</v>
      </c>
      <c r="B1026" s="1604"/>
      <c r="C1026" s="1604"/>
      <c r="D1026" s="1604"/>
      <c r="E1026" s="1604"/>
      <c r="F1026" s="1604"/>
      <c r="G1026" s="1604"/>
      <c r="H1026" s="1604"/>
      <c r="I1026" s="1604"/>
      <c r="J1026" s="1604"/>
      <c r="K1026" s="1604"/>
      <c r="L1026" s="1604"/>
      <c r="M1026" s="1604"/>
      <c r="N1026" s="1604"/>
      <c r="O1026" s="1604"/>
      <c r="P1026" s="1604"/>
      <c r="Q1026" s="1604"/>
    </row>
    <row r="1028" spans="1:17">
      <c r="A1028" s="1783">
        <v>1</v>
      </c>
      <c r="B1028" s="1784" t="s">
        <v>2757</v>
      </c>
      <c r="C1028" s="1785"/>
      <c r="D1028" s="1786"/>
      <c r="E1028" s="1786"/>
      <c r="F1028" s="1786"/>
      <c r="G1028" s="1786"/>
      <c r="I1028" s="1787"/>
      <c r="J1028" s="1787"/>
      <c r="K1028" s="1787"/>
      <c r="L1028" s="1692"/>
      <c r="M1028" s="1692"/>
      <c r="O1028" s="1788" t="s">
        <v>1948</v>
      </c>
      <c r="P1028" s="1700">
        <f>'Part VIII-Threshold Criteria'!P29</f>
        <v>0</v>
      </c>
      <c r="Q1028" s="1700"/>
    </row>
    <row r="1030" spans="1:17">
      <c r="B1030" s="1789" t="s">
        <v>2068</v>
      </c>
      <c r="C1030" s="519" t="s">
        <v>4587</v>
      </c>
      <c r="E1030" s="1728"/>
      <c r="F1030" s="1728"/>
      <c r="G1030" s="1728"/>
      <c r="H1030" s="1728"/>
      <c r="I1030" s="518"/>
      <c r="J1030" s="518"/>
      <c r="K1030" s="518"/>
      <c r="L1030" s="518"/>
      <c r="M1030" s="518"/>
      <c r="O1030" s="1765" t="s">
        <v>624</v>
      </c>
      <c r="P1030" s="1790" t="str">
        <f>'Part VIII-Threshold Criteria'!P31</f>
        <v>Yes</v>
      </c>
      <c r="Q1030" s="1790">
        <f>'Part VIII-Threshold Criteria'!Q31</f>
        <v>0</v>
      </c>
    </row>
    <row r="1031" spans="1:17">
      <c r="B1031" s="1791" t="s">
        <v>2071</v>
      </c>
      <c r="C1031" s="519" t="s">
        <v>753</v>
      </c>
      <c r="E1031" s="1728"/>
      <c r="F1031" s="1728"/>
      <c r="G1031" s="1728"/>
      <c r="H1031" s="1728"/>
      <c r="J1031" s="1700" t="str">
        <f>'Part VIII-Threshold Criteria'!J32</f>
        <v>Other(see comments)</v>
      </c>
      <c r="K1031" s="1700"/>
      <c r="L1031" s="1700"/>
      <c r="M1031" s="1700"/>
      <c r="N1031" s="1700"/>
      <c r="O1031" s="1765"/>
      <c r="P1031" s="1765"/>
      <c r="Q1031" s="1765"/>
    </row>
    <row r="1032" spans="1:17">
      <c r="B1032" s="1756" t="s">
        <v>1946</v>
      </c>
      <c r="C1032" s="1756"/>
      <c r="D1032" s="1756"/>
      <c r="E1032" s="1756"/>
      <c r="F1032" s="1756"/>
      <c r="G1032" s="1787"/>
      <c r="H1032" s="1787"/>
      <c r="I1032" s="1787"/>
      <c r="J1032" s="1787"/>
      <c r="K1032" s="1692"/>
      <c r="L1032" s="1692"/>
      <c r="M1032" s="1692"/>
      <c r="N1032" s="1692"/>
      <c r="O1032" s="1692"/>
      <c r="P1032" s="1692"/>
    </row>
    <row r="1033" spans="1:17" ht="247.5">
      <c r="A1033" s="1792" t="str">
        <f>'Part VIII-Threshold Criteria'!A34</f>
        <v>The Project Based Rental Assistance approval will be on the Atlanta Housing Authority Board agenda in May.  The Tax Exempt Bond Resolution will be on the Invest Atlanta Board agenda on April 21 for approval.</v>
      </c>
      <c r="B1033" s="1792"/>
      <c r="C1033" s="1792"/>
      <c r="D1033" s="1792"/>
      <c r="E1033" s="1792"/>
      <c r="F1033" s="1792"/>
      <c r="G1033" s="1792"/>
      <c r="H1033" s="1792"/>
      <c r="I1033" s="1792"/>
      <c r="J1033" s="1792"/>
      <c r="K1033" s="1792"/>
      <c r="L1033" s="1792"/>
      <c r="M1033" s="1792"/>
      <c r="N1033" s="1792"/>
      <c r="O1033" s="1792"/>
      <c r="P1033" s="1792"/>
      <c r="Q1033" s="1792"/>
    </row>
    <row r="1034" spans="1:17">
      <c r="B1034" s="1793" t="s">
        <v>1947</v>
      </c>
      <c r="C1034" s="1794"/>
      <c r="D1034" s="1795"/>
      <c r="E1034" s="1795"/>
      <c r="F1034" s="1795"/>
      <c r="G1034" s="1795"/>
      <c r="H1034" s="1795"/>
      <c r="I1034" s="1795"/>
      <c r="J1034" s="1795"/>
      <c r="K1034" s="1795"/>
      <c r="L1034" s="1795"/>
      <c r="M1034" s="1795"/>
      <c r="N1034" s="1795"/>
      <c r="O1034" s="1795"/>
      <c r="P1034" s="1795"/>
    </row>
    <row r="1035" spans="1:17">
      <c r="A1035" s="1792">
        <f>'Part VIII-Threshold Criteria'!A36</f>
        <v>0</v>
      </c>
      <c r="B1035" s="1792"/>
      <c r="C1035" s="1792"/>
      <c r="D1035" s="1792"/>
      <c r="E1035" s="1792"/>
      <c r="F1035" s="1792"/>
      <c r="G1035" s="1792"/>
      <c r="H1035" s="1792"/>
      <c r="I1035" s="1792"/>
      <c r="J1035" s="1792"/>
      <c r="K1035" s="1792"/>
      <c r="L1035" s="1792"/>
      <c r="M1035" s="1792"/>
      <c r="N1035" s="1792"/>
      <c r="O1035" s="1792"/>
      <c r="P1035" s="1792"/>
      <c r="Q1035" s="1792"/>
    </row>
    <row r="1036" spans="1:17">
      <c r="B1036" s="1787"/>
      <c r="C1036" s="1795"/>
      <c r="D1036" s="1795"/>
      <c r="E1036" s="1795"/>
      <c r="F1036" s="1795"/>
      <c r="G1036" s="1795"/>
      <c r="H1036" s="1795"/>
      <c r="I1036" s="1795"/>
      <c r="J1036" s="1795"/>
      <c r="K1036" s="1795"/>
      <c r="L1036" s="1795"/>
      <c r="M1036" s="1795"/>
      <c r="N1036" s="1795"/>
      <c r="O1036" s="1795"/>
      <c r="P1036" s="1795"/>
      <c r="Q1036" s="1692"/>
    </row>
    <row r="1037" spans="1:17">
      <c r="A1037" s="1681">
        <v>2</v>
      </c>
      <c r="B1037" s="521" t="s">
        <v>2841</v>
      </c>
      <c r="C1037" s="521"/>
      <c r="D1037" s="521"/>
      <c r="E1037" s="1795"/>
      <c r="G1037" s="1700"/>
      <c r="H1037" s="1700"/>
      <c r="I1037" s="1700"/>
      <c r="J1037" s="518"/>
      <c r="L1037" s="1796"/>
      <c r="M1037" s="1796"/>
      <c r="N1037" s="1796"/>
      <c r="O1037" s="1788" t="s">
        <v>1948</v>
      </c>
      <c r="P1037" s="1700">
        <f>'Part VIII-Threshold Criteria'!P38</f>
        <v>0</v>
      </c>
      <c r="Q1037" s="1700"/>
    </row>
    <row r="1038" spans="1:17" ht="12.75" customHeight="1">
      <c r="A1038" s="1797" t="s">
        <v>4588</v>
      </c>
      <c r="B1038" s="1797"/>
      <c r="C1038" s="1797"/>
      <c r="D1038" s="1797"/>
      <c r="E1038" s="1797"/>
      <c r="F1038" s="1797"/>
      <c r="G1038" s="1672" t="s">
        <v>2845</v>
      </c>
      <c r="H1038" s="1672"/>
      <c r="I1038" s="1786"/>
      <c r="J1038" s="518"/>
      <c r="K1038" s="1786" t="s">
        <v>4299</v>
      </c>
      <c r="L1038" s="1786"/>
      <c r="M1038" s="1786"/>
      <c r="N1038" s="1786"/>
    </row>
    <row r="1039" spans="1:17" ht="13.5">
      <c r="A1039" s="1797"/>
      <c r="B1039" s="1797"/>
      <c r="C1039" s="1797"/>
      <c r="D1039" s="1797"/>
      <c r="E1039" s="1797"/>
      <c r="F1039" s="1797"/>
      <c r="G1039" s="1672" t="s">
        <v>360</v>
      </c>
      <c r="H1039" s="1672"/>
      <c r="I1039" s="1786"/>
      <c r="J1039" s="518"/>
      <c r="K1039" s="519" t="s">
        <v>4300</v>
      </c>
      <c r="L1039" s="519"/>
      <c r="M1039" s="519"/>
      <c r="N1039" s="519"/>
      <c r="P1039" s="1798" t="s">
        <v>2874</v>
      </c>
      <c r="Q1039" s="1790">
        <f>'Part VIII-Threshold Criteria'!Q40</f>
        <v>0</v>
      </c>
    </row>
    <row r="1040" spans="1:17">
      <c r="A1040" s="1797"/>
      <c r="B1040" s="1797"/>
      <c r="C1040" s="1797"/>
      <c r="D1040" s="1797"/>
      <c r="E1040" s="1797"/>
      <c r="F1040" s="1797"/>
      <c r="G1040" s="1786"/>
      <c r="H1040" s="1786"/>
      <c r="I1040" s="1786"/>
      <c r="J1040" s="518"/>
      <c r="K1040" s="519"/>
      <c r="L1040" s="519"/>
      <c r="M1040" s="519"/>
      <c r="N1040" s="519"/>
    </row>
    <row r="1041" spans="1:17" ht="13.5" customHeight="1">
      <c r="D1041" s="1799" t="s">
        <v>2844</v>
      </c>
      <c r="F1041" s="1800" t="s">
        <v>3846</v>
      </c>
      <c r="G1041" s="1800" t="s">
        <v>3845</v>
      </c>
      <c r="H1041" s="1800"/>
      <c r="I1041" s="1800"/>
      <c r="K1041" s="1800" t="s">
        <v>3846</v>
      </c>
      <c r="L1041" s="1800" t="s">
        <v>3845</v>
      </c>
      <c r="M1041" s="1800"/>
      <c r="N1041" s="1800"/>
    </row>
    <row r="1042" spans="1:17" ht="12.75" customHeight="1">
      <c r="A1042" s="1801" t="s">
        <v>3689</v>
      </c>
      <c r="B1042" s="1801"/>
      <c r="C1042" s="1801"/>
      <c r="D1042" s="1802" t="s">
        <v>593</v>
      </c>
      <c r="E1042" s="1787">
        <v>0</v>
      </c>
      <c r="F1042" s="1803">
        <f>'Part VI-Revenues &amp; Expenses'!$J$104</f>
        <v>0</v>
      </c>
      <c r="G1042" s="1804" t="e">
        <f>IF('Part IX A-Scoring Criteria'!$O$56='Part IX A-Scoring Criteria'!$M$56,$L1042,
IF($P$46="Albany",VLOOKUP($A$43,'DCA Underwriting Assumptions'!$E$15:$J$18,$E1042+2),
IF($P$46="Atlanta",VLOOKUP($A$43,'DCA Underwriting Assumptions'!$E$19:$J$22,$E1042+2),
IF($P$46="Augusta",VLOOKUP($A$43,'DCA Underwriting Assumptions'!$E$23:$J$26,$E1042+2),
IF($P$46="Brunswick",VLOOKUP($A$43,'DCA Underwriting Assumptions'!$E$27:$J$30,$E1042+2),
IF($P$46="Columbus",VLOOKUP($A$43,'DCA Underwriting Assumptions'!$E$31:$J$34,$E1042+2),
IF($P$46="Macon",VLOOKUP($A$43,'DCA Underwriting Assumptions'!$E$35:$J$38,$E1042+2),
IF($P$46="Rome",VLOOKUP($A$43,'DCA Underwriting Assumptions'!$E$39:$J$42,$E1042+2),
IF($P$46="Savannah",VLOOKUP($A$43,'DCA Underwriting Assumptions'!$E$43:$J$46,$E1042+2),
VLOOKUP($A$43,'DCA Underwriting Assumptions'!$E$47:$J$50,$E1042+2))))))))))</f>
        <v>#N/A</v>
      </c>
      <c r="H1042" s="1728" t="str">
        <f>CONCATENATE("x ", F1042," units = ")</f>
        <v xml:space="preserve">x 0 units = </v>
      </c>
      <c r="I1042" s="1805" t="e">
        <f>F1042*G1042</f>
        <v>#N/A</v>
      </c>
      <c r="J1042" s="518"/>
      <c r="K1042" s="1803">
        <f>'Part VI-Revenues &amp; Expenses'!$J$105</f>
        <v>0</v>
      </c>
      <c r="L1042" s="1804" t="e">
        <f>IF($P$46="Albany",VLOOKUP($A$43,'DCA Underwriting Assumptions'!$M$15:$R$18,$E1042+2),
IF($P$46="Atlanta",VLOOKUP($A$43,'DCA Underwriting Assumptions'!$M$19:$R$22,$E1042+2),
IF($P$46="Augusta",VLOOKUP($A$43,'DCA Underwriting Assumptions'!$M$23:$R$26,$E1042+2),
IF($P$46="Brunswick",VLOOKUP($A$43,'DCA Underwriting Assumptions'!$M$27:$R$30,$E1042+2),
IF($P$46="Columbus",VLOOKUP($A$43,'DCA Underwriting Assumptions'!$M$31:$R$34,$E1042+2),
IF($P$46="Macon",VLOOKUP($A$43,'DCA Underwriting Assumptions'!$M$35:$R$38,$E1042+2),
IF($P$46="Rome",VLOOKUP($A$43,'DCA Underwriting Assumptions'!$M$39:$R$42,$E1042+2),
IF($P$46="Savannah",VLOOKUP($A$43,'DCA Underwriting Assumptions'!$M$43:$R$46,$E1042+2),
VLOOKUP($A$43,'DCA Underwriting Assumptions'!$M$47:$R$50,$E1042+2)))))))))</f>
        <v>#N/A</v>
      </c>
      <c r="M1042" s="1728" t="str">
        <f>CONCATENATE("x ", K1042," units = ")</f>
        <v xml:space="preserve">x 0 units = </v>
      </c>
      <c r="N1042" s="1805" t="e">
        <f>K1042*L1042</f>
        <v>#N/A</v>
      </c>
      <c r="O1042" s="1795"/>
      <c r="P1042" s="1806" t="s">
        <v>3691</v>
      </c>
      <c r="Q1042" s="1806"/>
    </row>
    <row r="1043" spans="1:17">
      <c r="A1043" s="1801"/>
      <c r="B1043" s="1801"/>
      <c r="C1043" s="1801"/>
      <c r="D1043" s="1802" t="s">
        <v>2537</v>
      </c>
      <c r="E1043" s="1787">
        <v>1</v>
      </c>
      <c r="F1043" s="1803">
        <f>'Part VI-Revenues &amp; Expenses'!$K$104</f>
        <v>0</v>
      </c>
      <c r="G1043" s="1804" t="e">
        <f>IF('Part IX A-Scoring Criteria'!$O$56='Part IX A-Scoring Criteria'!$M$56,$L1043,
IF($P$46="Albany",VLOOKUP($A$43,'DCA Underwriting Assumptions'!$E$15:$J$18,$E1043+2),
IF($P$46="Atlanta",VLOOKUP($A$43,'DCA Underwriting Assumptions'!$E$19:$J$22,$E1043+2),
IF($P$46="Augusta",VLOOKUP($A$43,'DCA Underwriting Assumptions'!$E$23:$J$26,$E1043+2),
IF($P$46="Brunswick",VLOOKUP($A$43,'DCA Underwriting Assumptions'!$E$27:$J$30,$E1043+2),
IF($P$46="Columbus",VLOOKUP($A$43,'DCA Underwriting Assumptions'!$E$31:$J$34,$E1043+2),
IF($P$46="Macon",VLOOKUP($A$43,'DCA Underwriting Assumptions'!$E$35:$J$38,$E1043+2),
IF($P$46="Rome",VLOOKUP($A$43,'DCA Underwriting Assumptions'!$E$39:$J$42,$E1043+2),
IF($P$46="Savannah",VLOOKUP($A$43,'DCA Underwriting Assumptions'!$E$43:$J$46,$E1043+2),
VLOOKUP($A$43,'DCA Underwriting Assumptions'!$E$47:$J$50,$E1043+2))))))))))</f>
        <v>#N/A</v>
      </c>
      <c r="H1043" s="1728" t="str">
        <f>CONCATENATE("x ", F1043," units = ")</f>
        <v xml:space="preserve">x 0 units = </v>
      </c>
      <c r="I1043" s="1805" t="e">
        <f>F1043*G1043</f>
        <v>#N/A</v>
      </c>
      <c r="J1043" s="518"/>
      <c r="K1043" s="1803">
        <f>'Part VI-Revenues &amp; Expenses'!$K$105</f>
        <v>0</v>
      </c>
      <c r="L1043" s="1804" t="e">
        <f>IF($P$46="Albany",VLOOKUP($A$43,'DCA Underwriting Assumptions'!$M$15:$R$18,$E1043+2),
IF($P$46="Atlanta",VLOOKUP($A$43,'DCA Underwriting Assumptions'!$M$19:$R$22,$E1043+2),
IF($P$46="Augusta",VLOOKUP($A$43,'DCA Underwriting Assumptions'!$M$23:$R$26,$E1043+2),
IF($P$46="Brunswick",VLOOKUP($A$43,'DCA Underwriting Assumptions'!$M$27:$R$30,$E1043+2),
IF($P$46="Columbus",VLOOKUP($A$43,'DCA Underwriting Assumptions'!$M$31:$R$34,$E1043+2),
IF($P$46="Macon",VLOOKUP($A$43,'DCA Underwriting Assumptions'!$M$35:$R$38,$E1043+2),
IF($P$46="Rome",VLOOKUP($A$43,'DCA Underwriting Assumptions'!$M$39:$R$42,$E1043+2),
IF($P$46="Savannah",VLOOKUP($A$43,'DCA Underwriting Assumptions'!$M$43:$R$46,$E1043+2),
VLOOKUP($A$43,'DCA Underwriting Assumptions'!$M$47:$R$50,$E1043+2)))))))))</f>
        <v>#N/A</v>
      </c>
      <c r="M1043" s="1728" t="str">
        <f>CONCATENATE("x ", K1043," units = ")</f>
        <v xml:space="preserve">x 0 units = </v>
      </c>
      <c r="N1043" s="1805" t="e">
        <f>K1043*L1043</f>
        <v>#N/A</v>
      </c>
      <c r="O1043" s="1795"/>
      <c r="P1043" s="1806"/>
      <c r="Q1043" s="1806"/>
    </row>
    <row r="1044" spans="1:17">
      <c r="A1044" s="1801"/>
      <c r="B1044" s="1801"/>
      <c r="C1044" s="1801"/>
      <c r="D1044" s="1802" t="s">
        <v>2538</v>
      </c>
      <c r="E1044" s="1787">
        <v>2</v>
      </c>
      <c r="F1044" s="1803">
        <f>'Part VI-Revenues &amp; Expenses'!$L$104</f>
        <v>0</v>
      </c>
      <c r="G1044" s="1804" t="e">
        <f>IF('Part IX A-Scoring Criteria'!$O$56='Part IX A-Scoring Criteria'!$M$56,$L1044,
IF($P$46="Albany",VLOOKUP($A$43,'DCA Underwriting Assumptions'!$E$15:$J$18,$E1044+2),
IF($P$46="Atlanta",VLOOKUP($A$43,'DCA Underwriting Assumptions'!$E$19:$J$22,$E1044+2),
IF($P$46="Augusta",VLOOKUP($A$43,'DCA Underwriting Assumptions'!$E$23:$J$26,$E1044+2),
IF($P$46="Brunswick",VLOOKUP($A$43,'DCA Underwriting Assumptions'!$E$27:$J$30,$E1044+2),
IF($P$46="Columbus",VLOOKUP($A$43,'DCA Underwriting Assumptions'!$E$31:$J$34,$E1044+2),
IF($P$46="Macon",VLOOKUP($A$43,'DCA Underwriting Assumptions'!$E$35:$J$38,$E1044+2),
IF($P$46="Rome",VLOOKUP($A$43,'DCA Underwriting Assumptions'!$E$39:$J$42,$E1044+2),
IF($P$46="Savannah",VLOOKUP($A$43,'DCA Underwriting Assumptions'!$E$43:$J$46,$E1044+2),
VLOOKUP($A$43,'DCA Underwriting Assumptions'!$E$47:$J$50,$E1044+2))))))))))</f>
        <v>#N/A</v>
      </c>
      <c r="H1044" s="1728" t="str">
        <f>CONCATENATE("x ", F1044," units = ")</f>
        <v xml:space="preserve">x 0 units = </v>
      </c>
      <c r="I1044" s="1805" t="e">
        <f>F1044*G1044</f>
        <v>#N/A</v>
      </c>
      <c r="J1044" s="518"/>
      <c r="K1044" s="1803">
        <f>'Part VI-Revenues &amp; Expenses'!$L$105</f>
        <v>0</v>
      </c>
      <c r="L1044" s="1804" t="e">
        <f>IF($P$46="Albany",VLOOKUP($A$43,'DCA Underwriting Assumptions'!$M$15:$R$18,$E1044+2),
IF($P$46="Atlanta",VLOOKUP($A$43,'DCA Underwriting Assumptions'!$M$19:$R$22,$E1044+2),
IF($P$46="Augusta",VLOOKUP($A$43,'DCA Underwriting Assumptions'!$M$23:$R$26,$E1044+2),
IF($P$46="Brunswick",VLOOKUP($A$43,'DCA Underwriting Assumptions'!$M$27:$R$30,$E1044+2),
IF($P$46="Columbus",VLOOKUP($A$43,'DCA Underwriting Assumptions'!$M$31:$R$34,$E1044+2),
IF($P$46="Macon",VLOOKUP($A$43,'DCA Underwriting Assumptions'!$M$35:$R$38,$E1044+2),
IF($P$46="Rome",VLOOKUP($A$43,'DCA Underwriting Assumptions'!$M$39:$R$42,$E1044+2),
IF($P$46="Savannah",VLOOKUP($A$43,'DCA Underwriting Assumptions'!$M$43:$R$46,$E1044+2),
VLOOKUP($A$43,'DCA Underwriting Assumptions'!$M$47:$R$50,$E1044+2)))))))))</f>
        <v>#N/A</v>
      </c>
      <c r="M1044" s="1728" t="str">
        <f>CONCATENATE("x ", K1044," units = ")</f>
        <v xml:space="preserve">x 0 units = </v>
      </c>
      <c r="N1044" s="1805" t="e">
        <f>K1044*L1044</f>
        <v>#N/A</v>
      </c>
      <c r="O1044" s="1795"/>
      <c r="P1044" s="1806"/>
      <c r="Q1044" s="1806"/>
    </row>
    <row r="1045" spans="1:17">
      <c r="A1045" s="1801"/>
      <c r="B1045" s="1801"/>
      <c r="C1045" s="1801"/>
      <c r="D1045" s="1802" t="s">
        <v>2539</v>
      </c>
      <c r="E1045" s="1787">
        <v>3</v>
      </c>
      <c r="F1045" s="1803">
        <f>'Part VI-Revenues &amp; Expenses'!$M$104</f>
        <v>0</v>
      </c>
      <c r="G1045" s="1804" t="e">
        <f>IF('Part IX A-Scoring Criteria'!$O$56='Part IX A-Scoring Criteria'!$M$56,$L1045,
IF($P$46="Albany",VLOOKUP($A$43,'DCA Underwriting Assumptions'!$E$15:$J$18,$E1045+2),
IF($P$46="Atlanta",VLOOKUP($A$43,'DCA Underwriting Assumptions'!$E$19:$J$22,$E1045+2),
IF($P$46="Augusta",VLOOKUP($A$43,'DCA Underwriting Assumptions'!$E$23:$J$26,$E1045+2),
IF($P$46="Brunswick",VLOOKUP($A$43,'DCA Underwriting Assumptions'!$E$27:$J$30,$E1045+2),
IF($P$46="Columbus",VLOOKUP($A$43,'DCA Underwriting Assumptions'!$E$31:$J$34,$E1045+2),
IF($P$46="Macon",VLOOKUP($A$43,'DCA Underwriting Assumptions'!$E$35:$J$38,$E1045+2),
IF($P$46="Rome",VLOOKUP($A$43,'DCA Underwriting Assumptions'!$E$39:$J$42,$E1045+2),
IF($P$46="Savannah",VLOOKUP($A$43,'DCA Underwriting Assumptions'!$E$43:$J$46,$E1045+2),
VLOOKUP($A$43,'DCA Underwriting Assumptions'!$E$47:$J$50,$E1045+2))))))))))</f>
        <v>#N/A</v>
      </c>
      <c r="H1045" s="1728" t="str">
        <f>CONCATENATE("x ", F1045," units = ")</f>
        <v xml:space="preserve">x 0 units = </v>
      </c>
      <c r="I1045" s="1805" t="e">
        <f>F1045*G1045</f>
        <v>#N/A</v>
      </c>
      <c r="J1045" s="518"/>
      <c r="K1045" s="1803">
        <f>'Part VI-Revenues &amp; Expenses'!$M$105</f>
        <v>0</v>
      </c>
      <c r="L1045" s="1804" t="e">
        <f>IF($P$46="Albany",VLOOKUP($A$43,'DCA Underwriting Assumptions'!$M$15:$R$18,$E1045+2),
IF($P$46="Atlanta",VLOOKUP($A$43,'DCA Underwriting Assumptions'!$M$19:$R$22,$E1045+2),
IF($P$46="Augusta",VLOOKUP($A$43,'DCA Underwriting Assumptions'!$M$23:$R$26,$E1045+2),
IF($P$46="Brunswick",VLOOKUP($A$43,'DCA Underwriting Assumptions'!$M$27:$R$30,$E1045+2),
IF($P$46="Columbus",VLOOKUP($A$43,'DCA Underwriting Assumptions'!$M$31:$R$34,$E1045+2),
IF($P$46="Macon",VLOOKUP($A$43,'DCA Underwriting Assumptions'!$M$35:$R$38,$E1045+2),
IF($P$46="Rome",VLOOKUP($A$43,'DCA Underwriting Assumptions'!$M$39:$R$42,$E1045+2),
IF($P$46="Savannah",VLOOKUP($A$43,'DCA Underwriting Assumptions'!$M$43:$R$46,$E1045+2),
VLOOKUP($A$43,'DCA Underwriting Assumptions'!$M$47:$R$50,$E1045+2)))))))))</f>
        <v>#N/A</v>
      </c>
      <c r="M1045" s="1728" t="str">
        <f>CONCATENATE("x ", K1045," units = ")</f>
        <v xml:space="preserve">x 0 units = </v>
      </c>
      <c r="N1045" s="1805" t="e">
        <f>K1045*L1045</f>
        <v>#N/A</v>
      </c>
      <c r="O1045" s="1795"/>
      <c r="P1045" s="1796"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045" s="1796"/>
    </row>
    <row r="1046" spans="1:17">
      <c r="C1046" s="518"/>
      <c r="D1046" s="1802" t="s">
        <v>2540</v>
      </c>
      <c r="E1046" s="1787">
        <v>4</v>
      </c>
      <c r="F1046" s="1803">
        <f>'Part VI-Revenues &amp; Expenses'!$N$104</f>
        <v>0</v>
      </c>
      <c r="G1046" s="1804" t="e">
        <f>IF('Part IX A-Scoring Criteria'!$O$56='Part IX A-Scoring Criteria'!$M$56,$L1046,
IF($P$46="Albany",VLOOKUP($A$43,'DCA Underwriting Assumptions'!$E$15:$J$18,$E1046+2),
IF($P$46="Atlanta",VLOOKUP($A$43,'DCA Underwriting Assumptions'!$E$19:$J$22,$E1046+2),
IF($P$46="Augusta",VLOOKUP($A$43,'DCA Underwriting Assumptions'!$E$23:$J$26,$E1046+2),
IF($P$46="Brunswick",VLOOKUP($A$43,'DCA Underwriting Assumptions'!$E$27:$J$30,$E1046+2),
IF($P$46="Columbus",VLOOKUP($A$43,'DCA Underwriting Assumptions'!$E$31:$J$34,$E1046+2),
IF($P$46="Macon",VLOOKUP($A$43,'DCA Underwriting Assumptions'!$E$35:$J$38,$E1046+2),
IF($P$46="Rome",VLOOKUP($A$43,'DCA Underwriting Assumptions'!$E$39:$J$42,$E1046+2),
IF($P$46="Savannah",VLOOKUP($A$43,'DCA Underwriting Assumptions'!$E$43:$J$46,$E1046+2),
VLOOKUP($A$43,'DCA Underwriting Assumptions'!$E$47:$J$50,$E1046+2))))))))))</f>
        <v>#N/A</v>
      </c>
      <c r="H1046" s="1728" t="str">
        <f>CONCATENATE("x ", F1046," units = ")</f>
        <v xml:space="preserve">x 0 units = </v>
      </c>
      <c r="I1046" s="1805" t="e">
        <f>F1046*G1046</f>
        <v>#N/A</v>
      </c>
      <c r="J1046" s="518"/>
      <c r="K1046" s="1803">
        <f>'Part VI-Revenues &amp; Expenses'!$N$105</f>
        <v>0</v>
      </c>
      <c r="L1046" s="1804" t="e">
        <f>IF($P$46="Albany",VLOOKUP($A$43,'DCA Underwriting Assumptions'!$M$15:$R$18,$E1046+2),
IF($P$46="Atlanta",VLOOKUP($A$43,'DCA Underwriting Assumptions'!$M$19:$R$22,$E1046+2),
IF($P$46="Augusta",VLOOKUP($A$43,'DCA Underwriting Assumptions'!$M$23:$R$26,$E1046+2),
IF($P$46="Brunswick",VLOOKUP($A$43,'DCA Underwriting Assumptions'!$M$27:$R$30,$E1046+2),
IF($P$46="Columbus",VLOOKUP($A$43,'DCA Underwriting Assumptions'!$M$31:$R$34,$E1046+2),
IF($P$46="Macon",VLOOKUP($A$43,'DCA Underwriting Assumptions'!$M$35:$R$38,$E1046+2),
IF($P$46="Rome",VLOOKUP($A$43,'DCA Underwriting Assumptions'!$M$39:$R$42,$E1046+2),
IF($P$46="Savannah",VLOOKUP($A$43,'DCA Underwriting Assumptions'!$M$43:$R$46,$E1046+2),
VLOOKUP($A$43,'DCA Underwriting Assumptions'!$M$47:$R$50,$E1046+2)))))))))</f>
        <v>#N/A</v>
      </c>
      <c r="M1046" s="1728" t="str">
        <f>CONCATENATE("x ", K1046," units = ")</f>
        <v xml:space="preserve">x 0 units = </v>
      </c>
      <c r="N1046" s="1805" t="e">
        <f>K1046*L1046</f>
        <v>#N/A</v>
      </c>
      <c r="O1046" s="1795"/>
      <c r="P1046" s="1796"/>
      <c r="Q1046" s="1796"/>
    </row>
    <row r="1047" spans="1:17" ht="13.5" customHeight="1">
      <c r="C1047" s="518"/>
      <c r="D1047" s="1807" t="s">
        <v>3700</v>
      </c>
      <c r="F1047" s="1808">
        <f>SUM(F1042:F1046)</f>
        <v>0</v>
      </c>
      <c r="G1047" s="1809"/>
      <c r="H1047" s="1810"/>
      <c r="I1047" s="1811" t="e">
        <f>SUM(I1042:I1046)</f>
        <v>#N/A</v>
      </c>
      <c r="J1047" s="1812"/>
      <c r="K1047" s="1808">
        <f>SUM(K1042:K1046)</f>
        <v>0</v>
      </c>
      <c r="L1047" s="1812"/>
      <c r="M1047" s="1810"/>
      <c r="N1047" s="1811" t="e">
        <f>SUM(N1042:N1046)</f>
        <v>#N/A</v>
      </c>
      <c r="O1047" s="1795"/>
      <c r="P1047" s="1792" t="s">
        <v>4294</v>
      </c>
      <c r="Q1047" s="1792"/>
    </row>
    <row r="1048" spans="1:17">
      <c r="C1048" s="518"/>
      <c r="D1048" s="1813"/>
      <c r="E1048" s="1813"/>
      <c r="F1048" s="1814"/>
      <c r="G1048" s="1815"/>
      <c r="I1048" s="1814"/>
      <c r="K1048" s="1814"/>
      <c r="M1048" s="1795"/>
      <c r="N1048" s="1814"/>
      <c r="O1048" s="1795"/>
      <c r="P1048" s="1684" t="e">
        <f>IF('Part IV-Uses of Funds'!$G$131&gt;P1064,"CHECK TDC !!!","")</f>
        <v>#N/A</v>
      </c>
      <c r="Q1048" s="1684"/>
    </row>
    <row r="1049" spans="1:17" ht="12.75" customHeight="1">
      <c r="A1049" s="1801" t="s">
        <v>3684</v>
      </c>
      <c r="B1049" s="1801"/>
      <c r="C1049" s="1801"/>
      <c r="D1049" s="1802" t="s">
        <v>593</v>
      </c>
      <c r="E1049" s="1803">
        <v>0</v>
      </c>
      <c r="F1049" s="1803">
        <f>'Part VI-Revenues &amp; Expenses'!$J$106</f>
        <v>0</v>
      </c>
      <c r="G1049" s="1804" t="e">
        <f>IF('Part IX A-Scoring Criteria'!$O$56='Part IX A-Scoring Criteria'!$M$56,$L1049,
IF($P$46="Albany",VLOOKUP($A$50,'DCA Underwriting Assumptions'!$E$15:$J$18,$E1049+2),
IF($P$46="Atlanta",VLOOKUP($A$50,'DCA Underwriting Assumptions'!$E$19:$J$22,$E1049+2),
IF($P$46="Augusta",VLOOKUP($A$50,'DCA Underwriting Assumptions'!$E$23:$J$26,$E1049+2),
IF($P$46="Brunswick",VLOOKUP($A$50,'DCA Underwriting Assumptions'!$E$27:$J$30,$E1049+2),
IF($P$46="Columbus",VLOOKUP($A$50,'DCA Underwriting Assumptions'!$E$31:$J$34,$E1049+2),
IF($P$46="Macon",VLOOKUP($A$50,'DCA Underwriting Assumptions'!$E$35:$J$38,$E1049+2),
IF($P$46="Rome",VLOOKUP($A$50,'DCA Underwriting Assumptions'!$E$39:$J$42,$E1049+2),
IF($P$46="Savannah",VLOOKUP($A$50,'DCA Underwriting Assumptions'!$E$43:$J$46,$E1049+2),
VLOOKUP($A$50,'DCA Underwriting Assumptions'!$E$47:$J$50,$E1049+2))))))))))</f>
        <v>#N/A</v>
      </c>
      <c r="H1049" s="1728" t="str">
        <f>CONCATENATE("x ", F1049," units = ")</f>
        <v xml:space="preserve">x 0 units = </v>
      </c>
      <c r="I1049" s="1805" t="e">
        <f>F1049*G1049</f>
        <v>#N/A</v>
      </c>
      <c r="J1049" s="518"/>
      <c r="K1049" s="1803">
        <f>'Part VI-Revenues &amp; Expenses'!$J$107</f>
        <v>0</v>
      </c>
      <c r="L1049" s="1804" t="e">
        <f>IF($P$46="Albany",VLOOKUP($A$50,'DCA Underwriting Assumptions'!$M$15:$R$18,$E1049+2),
IF($P$46="Atlanta",VLOOKUP($A$50,'DCA Underwriting Assumptions'!$M$19:$R$22,$E1049+2),
IF($P$46="Augusta",VLOOKUP($A$50,'DCA Underwriting Assumptions'!$M$23:$R$26,$E1049+2),
IF($P$46="Brunswick",VLOOKUP($A$50,'DCA Underwriting Assumptions'!$M$27:$R$30,$E1049+2),
IF($P$46="Columbus",VLOOKUP($A$50,'DCA Underwriting Assumptions'!$M$31:$R$34,$E1049+2),
IF($P$46="Macon",VLOOKUP($A$50,'DCA Underwriting Assumptions'!$M$35:$R$38,$E1049+2),
IF($P$46="Rome",VLOOKUP($A$50,'DCA Underwriting Assumptions'!$M$39:$R$42,$E1049+2),
IF($P$46="Savannah",VLOOKUP($A$50,'DCA Underwriting Assumptions'!$M$43:$R$46,$E1049+2),
VLOOKUP($A$50,'DCA Underwriting Assumptions'!$M$47:$R$50,$E1049+2)))))))))</f>
        <v>#N/A</v>
      </c>
      <c r="M1049" s="1728" t="str">
        <f>CONCATENATE("x ", K1049," units = ")</f>
        <v xml:space="preserve">x 0 units = </v>
      </c>
      <c r="N1049" s="1805" t="e">
        <f>K1049*L1049</f>
        <v>#N/A</v>
      </c>
      <c r="P1049" s="1816">
        <f>'Part IV-Uses of Funds'!$G$131</f>
        <v>23748176.5</v>
      </c>
      <c r="Q1049" s="1816"/>
    </row>
    <row r="1050" spans="1:17" ht="12.75" customHeight="1">
      <c r="A1050" s="1801"/>
      <c r="B1050" s="1801"/>
      <c r="C1050" s="1801"/>
      <c r="D1050" s="1802" t="s">
        <v>2537</v>
      </c>
      <c r="E1050" s="1787">
        <v>1</v>
      </c>
      <c r="F1050" s="1803">
        <f>'Part VI-Revenues &amp; Expenses'!$K$106</f>
        <v>0</v>
      </c>
      <c r="G1050" s="1804" t="e">
        <f>IF('Part IX A-Scoring Criteria'!$O$56='Part IX A-Scoring Criteria'!$M$56,$L1050,
IF($P$46="Albany",VLOOKUP($A$50,'DCA Underwriting Assumptions'!$E$15:$J$18,$E1050+2),
IF($P$46="Atlanta",VLOOKUP($A$50,'DCA Underwriting Assumptions'!$E$19:$J$22,$E1050+2),
IF($P$46="Augusta",VLOOKUP($A$50,'DCA Underwriting Assumptions'!$E$23:$J$26,$E1050+2),
IF($P$46="Brunswick",VLOOKUP($A$50,'DCA Underwriting Assumptions'!$E$27:$J$30,$E1050+2),
IF($P$46="Columbus",VLOOKUP($A$50,'DCA Underwriting Assumptions'!$E$31:$J$34,$E1050+2),
IF($P$46="Macon",VLOOKUP($A$50,'DCA Underwriting Assumptions'!$E$35:$J$38,$E1050+2),
IF($P$46="Rome",VLOOKUP($A$50,'DCA Underwriting Assumptions'!$E$39:$J$42,$E1050+2),
IF($P$46="Savannah",VLOOKUP($A$50,'DCA Underwriting Assumptions'!$E$43:$J$46,$E1050+2),
VLOOKUP($A$50,'DCA Underwriting Assumptions'!$E$47:$J$50,$E1050+2))))))))))</f>
        <v>#N/A</v>
      </c>
      <c r="H1050" s="1728" t="str">
        <f>CONCATENATE("x ", F1050," units = ")</f>
        <v xml:space="preserve">x 0 units = </v>
      </c>
      <c r="I1050" s="1805" t="e">
        <f>F1050*G1050</f>
        <v>#N/A</v>
      </c>
      <c r="J1050" s="518"/>
      <c r="K1050" s="1803">
        <f>'Part VI-Revenues &amp; Expenses'!$K$107</f>
        <v>0</v>
      </c>
      <c r="L1050" s="1804" t="e">
        <f>IF($P$46="Albany",VLOOKUP($A$50,'DCA Underwriting Assumptions'!$M$15:$R$18,$E1050+2),
IF($P$46="Atlanta",VLOOKUP($A$50,'DCA Underwriting Assumptions'!$M$19:$R$22,$E1050+2),
IF($P$46="Augusta",VLOOKUP($A$50,'DCA Underwriting Assumptions'!$M$23:$R$26,$E1050+2),
IF($P$46="Brunswick",VLOOKUP($A$50,'DCA Underwriting Assumptions'!$M$27:$R$30,$E1050+2),
IF($P$46="Columbus",VLOOKUP($A$50,'DCA Underwriting Assumptions'!$M$31:$R$34,$E1050+2),
IF($P$46="Macon",VLOOKUP($A$50,'DCA Underwriting Assumptions'!$M$35:$R$38,$E1050+2),
IF($P$46="Rome",VLOOKUP($A$50,'DCA Underwriting Assumptions'!$M$39:$R$42,$E1050+2),
IF($P$46="Savannah",VLOOKUP($A$50,'DCA Underwriting Assumptions'!$M$43:$R$46,$E1050+2),
VLOOKUP($A$50,'DCA Underwriting Assumptions'!$M$47:$R$50,$E1050+2)))))))))</f>
        <v>#N/A</v>
      </c>
      <c r="M1050" s="1728" t="str">
        <f>CONCATENATE("x ", K1050," units = ")</f>
        <v xml:space="preserve">x 0 units = </v>
      </c>
      <c r="N1050" s="1805" t="e">
        <f>K1050*L1050</f>
        <v>#N/A</v>
      </c>
      <c r="P1050" s="1816"/>
      <c r="Q1050" s="1816"/>
    </row>
    <row r="1051" spans="1:17" ht="12.75" customHeight="1">
      <c r="A1051" s="1801"/>
      <c r="B1051" s="1801"/>
      <c r="C1051" s="1801"/>
      <c r="D1051" s="1802" t="s">
        <v>2538</v>
      </c>
      <c r="E1051" s="1787">
        <v>2</v>
      </c>
      <c r="F1051" s="1803">
        <f>'Part VI-Revenues &amp; Expenses'!$L$106</f>
        <v>0</v>
      </c>
      <c r="G1051" s="1804" t="e">
        <f>IF('Part IX A-Scoring Criteria'!$O$56='Part IX A-Scoring Criteria'!$M$56,$L1051,
IF($P$46="Albany",VLOOKUP($A$50,'DCA Underwriting Assumptions'!$E$15:$J$18,$E1051+2),
IF($P$46="Atlanta",VLOOKUP($A$50,'DCA Underwriting Assumptions'!$E$19:$J$22,$E1051+2),
IF($P$46="Augusta",VLOOKUP($A$50,'DCA Underwriting Assumptions'!$E$23:$J$26,$E1051+2),
IF($P$46="Brunswick",VLOOKUP($A$50,'DCA Underwriting Assumptions'!$E$27:$J$30,$E1051+2),
IF($P$46="Columbus",VLOOKUP($A$50,'DCA Underwriting Assumptions'!$E$31:$J$34,$E1051+2),
IF($P$46="Macon",VLOOKUP($A$50,'DCA Underwriting Assumptions'!$E$35:$J$38,$E1051+2),
IF($P$46="Rome",VLOOKUP($A$50,'DCA Underwriting Assumptions'!$E$39:$J$42,$E1051+2),
IF($P$46="Savannah",VLOOKUP($A$50,'DCA Underwriting Assumptions'!$E$43:$J$46,$E1051+2),
VLOOKUP($A$50,'DCA Underwriting Assumptions'!$E$47:$J$50,$E1051+2))))))))))</f>
        <v>#N/A</v>
      </c>
      <c r="H1051" s="1728" t="str">
        <f>CONCATENATE("x ", F1051," units = ")</f>
        <v xml:space="preserve">x 0 units = </v>
      </c>
      <c r="I1051" s="1805" t="e">
        <f>F1051*G1051</f>
        <v>#N/A</v>
      </c>
      <c r="J1051" s="518"/>
      <c r="K1051" s="1803">
        <f>'Part VI-Revenues &amp; Expenses'!$L$107</f>
        <v>0</v>
      </c>
      <c r="L1051" s="1804" t="e">
        <f>IF($P$46="Albany",VLOOKUP($A$50,'DCA Underwriting Assumptions'!$M$15:$R$18,$E1051+2),
IF($P$46="Atlanta",VLOOKUP($A$50,'DCA Underwriting Assumptions'!$M$19:$R$22,$E1051+2),
IF($P$46="Augusta",VLOOKUP($A$50,'DCA Underwriting Assumptions'!$M$23:$R$26,$E1051+2),
IF($P$46="Brunswick",VLOOKUP($A$50,'DCA Underwriting Assumptions'!$M$27:$R$30,$E1051+2),
IF($P$46="Columbus",VLOOKUP($A$50,'DCA Underwriting Assumptions'!$M$31:$R$34,$E1051+2),
IF($P$46="Macon",VLOOKUP($A$50,'DCA Underwriting Assumptions'!$M$35:$R$38,$E1051+2),
IF($P$46="Rome",VLOOKUP($A$50,'DCA Underwriting Assumptions'!$M$39:$R$42,$E1051+2),
IF($P$46="Savannah",VLOOKUP($A$50,'DCA Underwriting Assumptions'!$M$43:$R$46,$E1051+2),
VLOOKUP($A$50,'DCA Underwriting Assumptions'!$M$47:$R$50,$E1051+2)))))))))</f>
        <v>#N/A</v>
      </c>
      <c r="M1051" s="1728" t="str">
        <f>CONCATENATE("x ", K1051," units = ")</f>
        <v xml:space="preserve">x 0 units = </v>
      </c>
      <c r="N1051" s="1805" t="e">
        <f>K1051*L1051</f>
        <v>#N/A</v>
      </c>
      <c r="O1051" s="1817"/>
      <c r="P1051" s="1792" t="s">
        <v>4301</v>
      </c>
      <c r="Q1051" s="1792"/>
    </row>
    <row r="1052" spans="1:17" ht="12.75" customHeight="1">
      <c r="C1052" s="518"/>
      <c r="D1052" s="1802" t="s">
        <v>2539</v>
      </c>
      <c r="E1052" s="1787">
        <v>3</v>
      </c>
      <c r="F1052" s="1803">
        <f>'Part VI-Revenues &amp; Expenses'!$M$106</f>
        <v>0</v>
      </c>
      <c r="G1052" s="1804" t="e">
        <f>IF('Part IX A-Scoring Criteria'!$O$56='Part IX A-Scoring Criteria'!$M$56,$L1052,
IF($P$46="Albany",VLOOKUP($A$50,'DCA Underwriting Assumptions'!$E$15:$J$18,$E1052+2),
IF($P$46="Atlanta",VLOOKUP($A$50,'DCA Underwriting Assumptions'!$E$19:$J$22,$E1052+2),
IF($P$46="Augusta",VLOOKUP($A$50,'DCA Underwriting Assumptions'!$E$23:$J$26,$E1052+2),
IF($P$46="Brunswick",VLOOKUP($A$50,'DCA Underwriting Assumptions'!$E$27:$J$30,$E1052+2),
IF($P$46="Columbus",VLOOKUP($A$50,'DCA Underwriting Assumptions'!$E$31:$J$34,$E1052+2),
IF($P$46="Macon",VLOOKUP($A$50,'DCA Underwriting Assumptions'!$E$35:$J$38,$E1052+2),
IF($P$46="Rome",VLOOKUP($A$50,'DCA Underwriting Assumptions'!$E$39:$J$42,$E1052+2),
IF($P$46="Savannah",VLOOKUP($A$50,'DCA Underwriting Assumptions'!$E$43:$J$46,$E1052+2),
VLOOKUP($A$50,'DCA Underwriting Assumptions'!$E$47:$J$50,$E1052+2))))))))))</f>
        <v>#N/A</v>
      </c>
      <c r="H1052" s="1728" t="str">
        <f>CONCATENATE("x ", F1052," units = ")</f>
        <v xml:space="preserve">x 0 units = </v>
      </c>
      <c r="I1052" s="1805" t="e">
        <f>F1052*G1052</f>
        <v>#N/A</v>
      </c>
      <c r="J1052" s="518"/>
      <c r="K1052" s="1803">
        <f>'Part VI-Revenues &amp; Expenses'!$M$107</f>
        <v>0</v>
      </c>
      <c r="L1052" s="1804" t="e">
        <f>IF($P$46="Albany",VLOOKUP($A$50,'DCA Underwriting Assumptions'!$M$15:$R$18,$E1052+2),
IF($P$46="Atlanta",VLOOKUP($A$50,'DCA Underwriting Assumptions'!$M$19:$R$22,$E1052+2),
IF($P$46="Augusta",VLOOKUP($A$50,'DCA Underwriting Assumptions'!$M$23:$R$26,$E1052+2),
IF($P$46="Brunswick",VLOOKUP($A$50,'DCA Underwriting Assumptions'!$M$27:$R$30,$E1052+2),
IF($P$46="Columbus",VLOOKUP($A$50,'DCA Underwriting Assumptions'!$M$31:$R$34,$E1052+2),
IF($P$46="Macon",VLOOKUP($A$50,'DCA Underwriting Assumptions'!$M$35:$R$38,$E1052+2),
IF($P$46="Rome",VLOOKUP($A$50,'DCA Underwriting Assumptions'!$M$39:$R$42,$E1052+2),
IF($P$46="Savannah",VLOOKUP($A$50,'DCA Underwriting Assumptions'!$M$43:$R$46,$E1052+2),
VLOOKUP($A$50,'DCA Underwriting Assumptions'!$M$47:$R$50,$E1052+2)))))))))</f>
        <v>#N/A</v>
      </c>
      <c r="M1052" s="1728" t="str">
        <f>CONCATENATE("x ", K1052," units = ")</f>
        <v xml:space="preserve">x 0 units = </v>
      </c>
      <c r="N1052" s="1805" t="e">
        <f>K1052*L1052</f>
        <v>#N/A</v>
      </c>
      <c r="O1052" s="1817"/>
      <c r="P1052" s="1818">
        <f>'Part VIII-Threshold Criteria'!P53</f>
        <v>0</v>
      </c>
      <c r="Q1052" s="1818"/>
    </row>
    <row r="1053" spans="1:17" ht="12.75" customHeight="1">
      <c r="C1053" s="518"/>
      <c r="D1053" s="1802" t="s">
        <v>2540</v>
      </c>
      <c r="E1053" s="1787">
        <v>4</v>
      </c>
      <c r="F1053" s="1803">
        <f>'Part VI-Revenues &amp; Expenses'!$N$106</f>
        <v>0</v>
      </c>
      <c r="G1053" s="1804" t="e">
        <f>IF('Part IX A-Scoring Criteria'!$O$56='Part IX A-Scoring Criteria'!$M$56,$L1053,
IF($P$46="Albany",VLOOKUP($A$50,'DCA Underwriting Assumptions'!$E$15:$J$18,$E1053+2),
IF($P$46="Atlanta",VLOOKUP($A$50,'DCA Underwriting Assumptions'!$E$19:$J$22,$E1053+2),
IF($P$46="Augusta",VLOOKUP($A$50,'DCA Underwriting Assumptions'!$E$23:$J$26,$E1053+2),
IF($P$46="Brunswick",VLOOKUP($A$50,'DCA Underwriting Assumptions'!$E$27:$J$30,$E1053+2),
IF($P$46="Columbus",VLOOKUP($A$50,'DCA Underwriting Assumptions'!$E$31:$J$34,$E1053+2),
IF($P$46="Macon",VLOOKUP($A$50,'DCA Underwriting Assumptions'!$E$35:$J$38,$E1053+2),
IF($P$46="Rome",VLOOKUP($A$50,'DCA Underwriting Assumptions'!$E$39:$J$42,$E1053+2),
IF($P$46="Savannah",VLOOKUP($A$50,'DCA Underwriting Assumptions'!$E$43:$J$46,$E1053+2),
VLOOKUP($A$50,'DCA Underwriting Assumptions'!$E$47:$J$50,$E1053+2))))))))))</f>
        <v>#N/A</v>
      </c>
      <c r="H1053" s="1728" t="str">
        <f>CONCATENATE("x ", F1053," units = ")</f>
        <v xml:space="preserve">x 0 units = </v>
      </c>
      <c r="I1053" s="1805" t="e">
        <f>F1053*G1053</f>
        <v>#N/A</v>
      </c>
      <c r="J1053" s="518"/>
      <c r="K1053" s="1803">
        <f>'Part VI-Revenues &amp; Expenses'!$N$107</f>
        <v>0</v>
      </c>
      <c r="L1053" s="1804" t="e">
        <f>IF($P$46="Albany",VLOOKUP($A$50,'DCA Underwriting Assumptions'!$M$15:$R$18,$E1053+2),
IF($P$46="Atlanta",VLOOKUP($A$50,'DCA Underwriting Assumptions'!$M$19:$R$22,$E1053+2),
IF($P$46="Augusta",VLOOKUP($A$50,'DCA Underwriting Assumptions'!$M$23:$R$26,$E1053+2),
IF($P$46="Brunswick",VLOOKUP($A$50,'DCA Underwriting Assumptions'!$M$27:$R$30,$E1053+2),
IF($P$46="Columbus",VLOOKUP($A$50,'DCA Underwriting Assumptions'!$M$31:$R$34,$E1053+2),
IF($P$46="Macon",VLOOKUP($A$50,'DCA Underwriting Assumptions'!$M$35:$R$38,$E1053+2),
IF($P$46="Rome",VLOOKUP($A$50,'DCA Underwriting Assumptions'!$M$39:$R$42,$E1053+2),
IF($P$46="Savannah",VLOOKUP($A$50,'DCA Underwriting Assumptions'!$M$43:$R$46,$E1053+2),
VLOOKUP($A$50,'DCA Underwriting Assumptions'!$M$47:$R$50,$E1053+2)))))))))</f>
        <v>#N/A</v>
      </c>
      <c r="M1053" s="1728" t="str">
        <f>CONCATENATE("x ", K1053," units = ")</f>
        <v xml:space="preserve">x 0 units = </v>
      </c>
      <c r="N1053" s="1805" t="e">
        <f>K1053*L1053</f>
        <v>#N/A</v>
      </c>
      <c r="O1053" s="1817"/>
      <c r="P1053" s="1818"/>
      <c r="Q1053" s="1818"/>
    </row>
    <row r="1054" spans="1:17" ht="13.5">
      <c r="C1054" s="518"/>
      <c r="D1054" s="1807" t="s">
        <v>3700</v>
      </c>
      <c r="F1054" s="1808">
        <f>SUM(F1049:F1053)</f>
        <v>0</v>
      </c>
      <c r="G1054" s="1809"/>
      <c r="H1054" s="1810"/>
      <c r="I1054" s="1811" t="e">
        <f>SUM(I1049:I1053)</f>
        <v>#N/A</v>
      </c>
      <c r="J1054" s="1812"/>
      <c r="K1054" s="1808">
        <f>SUM(K1049:K1053)</f>
        <v>0</v>
      </c>
      <c r="L1054" s="1812"/>
      <c r="M1054" s="1810"/>
      <c r="N1054" s="1811" t="e">
        <f>SUM(N1049:N1053)</f>
        <v>#N/A</v>
      </c>
      <c r="O1054" s="1817"/>
      <c r="P1054" s="519" t="s">
        <v>4292</v>
      </c>
      <c r="Q1054" s="519"/>
    </row>
    <row r="1055" spans="1:17">
      <c r="C1055" s="518"/>
      <c r="D1055" s="1813"/>
      <c r="E1055" s="1813"/>
      <c r="F1055" s="1814"/>
      <c r="G1055" s="1815"/>
      <c r="I1055" s="1814"/>
      <c r="K1055" s="1814"/>
      <c r="M1055" s="1795"/>
      <c r="N1055" s="1814"/>
      <c r="O1055" s="1817"/>
    </row>
    <row r="1056" spans="1:17">
      <c r="A1056" s="1672" t="s">
        <v>3685</v>
      </c>
      <c r="C1056" s="518"/>
      <c r="D1056" s="1802" t="s">
        <v>593</v>
      </c>
      <c r="E1056" s="1787">
        <v>0</v>
      </c>
      <c r="F1056" s="1803">
        <f>'Part VI-Revenues &amp; Expenses'!$J$108</f>
        <v>0</v>
      </c>
      <c r="G1056" s="1804" t="e">
        <f>IF('Part IX A-Scoring Criteria'!$O$56='Part IX A-Scoring Criteria'!$M$56,$L1056,
IF($P$46="Albany",VLOOKUP($A$57,'DCA Underwriting Assumptions'!$E$15:$J$18,$E1056+2),
IF($P$46="Atlanta",VLOOKUP($A$57,'DCA Underwriting Assumptions'!$E$19:$J$22,$E1056+2),
IF($P$46="Augusta",VLOOKUP($A$57,'DCA Underwriting Assumptions'!$E$23:$J$26,$E1056+2),
IF($P$46="Brunswick",VLOOKUP($A$57,'DCA Underwriting Assumptions'!$E$27:$J$30,$E1056+2),
IF($P$46="Columbus",VLOOKUP($A$57,'DCA Underwriting Assumptions'!$E$31:$J$34,$E1056+2),
IF($P$46="Macon",VLOOKUP($A$57,'DCA Underwriting Assumptions'!$E$35:$J$38,$E1056+2),
IF($P$46="Rome",VLOOKUP($A$57,'DCA Underwriting Assumptions'!$E$39:$J$42,$E1056+2),
IF($P$46="Savannah",VLOOKUP($A$57,'DCA Underwriting Assumptions'!$E$43:$J$46,$E1056+2),
VLOOKUP($A$57,'DCA Underwriting Assumptions'!$E$47:$J$50,$E1056+2))))))))))</f>
        <v>#N/A</v>
      </c>
      <c r="H1056" s="1728" t="str">
        <f>CONCATENATE("x ", F1056," units = ")</f>
        <v xml:space="preserve">x 0 units = </v>
      </c>
      <c r="I1056" s="1805" t="e">
        <f>F1056*G1056</f>
        <v>#N/A</v>
      </c>
      <c r="J1056" s="518"/>
      <c r="K1056" s="1803">
        <f>'Part VI-Revenues &amp; Expenses'!$J$109</f>
        <v>0</v>
      </c>
      <c r="L1056" s="1804" t="e">
        <f>IF($P$46="Albany",VLOOKUP($A$57,'DCA Underwriting Assumptions'!$M$15:$R$18,$E1056+2),
IF($P$46="Atlanta",VLOOKUP($A$57,'DCA Underwriting Assumptions'!$M$19:$R$22,$E1056+2),
IF($P$46="Augusta",VLOOKUP($A$57,'DCA Underwriting Assumptions'!$M$23:$R$26,$E1056+2),
IF($P$46="Brunswick",VLOOKUP($A$57,'DCA Underwriting Assumptions'!$M$27:$R$30,$E1056+2),
IF($P$46="Columbus",VLOOKUP($A$57,'DCA Underwriting Assumptions'!$M$31:$R$34,$E1056+2),
IF($P$46="Macon",VLOOKUP($A$57,'DCA Underwriting Assumptions'!$M$35:$R$38,$E1056+2),
IF($P$46="Rome",VLOOKUP($A$57,'DCA Underwriting Assumptions'!$M$39:$R$42,$E1056+2),
IF($P$46="Savannah",VLOOKUP($A$57,'DCA Underwriting Assumptions'!$M$43:$R$46,$E1056+2),
VLOOKUP($A$57,'DCA Underwriting Assumptions'!$M$47:$R$50,$E1056+2)))))))))</f>
        <v>#N/A</v>
      </c>
      <c r="M1056" s="1728" t="str">
        <f>CONCATENATE("x ", K1056," units = ")</f>
        <v xml:space="preserve">x 0 units = </v>
      </c>
      <c r="N1056" s="1805" t="e">
        <f>K1056*L1056</f>
        <v>#N/A</v>
      </c>
      <c r="O1056" s="1817"/>
      <c r="P1056" s="1746">
        <f>'Part IX A-Scoring Criteria'!O1309</f>
        <v>0</v>
      </c>
      <c r="Q1056" s="1746"/>
    </row>
    <row r="1057" spans="1:17">
      <c r="C1057" s="518"/>
      <c r="D1057" s="1802" t="s">
        <v>2537</v>
      </c>
      <c r="E1057" s="1787">
        <v>1</v>
      </c>
      <c r="F1057" s="1803">
        <f>'Part VI-Revenues &amp; Expenses'!$K$108</f>
        <v>0</v>
      </c>
      <c r="G1057" s="1804" t="e">
        <f>IF('Part IX A-Scoring Criteria'!$O$56='Part IX A-Scoring Criteria'!$M$56,$L1057,
IF($P$46="Albany",VLOOKUP($A$57,'DCA Underwriting Assumptions'!$E$15:$J$18,$E1057+2),
IF($P$46="Atlanta",VLOOKUP($A$57,'DCA Underwriting Assumptions'!$E$19:$J$22,$E1057+2),
IF($P$46="Augusta",VLOOKUP($A$57,'DCA Underwriting Assumptions'!$E$23:$J$26,$E1057+2),
IF($P$46="Brunswick",VLOOKUP($A$57,'DCA Underwriting Assumptions'!$E$27:$J$30,$E1057+2),
IF($P$46="Columbus",VLOOKUP($A$57,'DCA Underwriting Assumptions'!$E$31:$J$34,$E1057+2),
IF($P$46="Macon",VLOOKUP($A$57,'DCA Underwriting Assumptions'!$E$35:$J$38,$E1057+2),
IF($P$46="Rome",VLOOKUP($A$57,'DCA Underwriting Assumptions'!$E$39:$J$42,$E1057+2),
IF($P$46="Savannah",VLOOKUP($A$57,'DCA Underwriting Assumptions'!$E$43:$J$46,$E1057+2),
VLOOKUP($A$57,'DCA Underwriting Assumptions'!$E$47:$J$50,$E1057+2))))))))))</f>
        <v>#N/A</v>
      </c>
      <c r="H1057" s="1728" t="str">
        <f>CONCATENATE("x ", F1057," units = ")</f>
        <v xml:space="preserve">x 0 units = </v>
      </c>
      <c r="I1057" s="1805" t="e">
        <f>F1057*G1057</f>
        <v>#N/A</v>
      </c>
      <c r="J1057" s="518"/>
      <c r="K1057" s="1803">
        <f>'Part VI-Revenues &amp; Expenses'!$K$109</f>
        <v>0</v>
      </c>
      <c r="L1057" s="1804" t="e">
        <f>IF($P$46="Albany",VLOOKUP($A$57,'DCA Underwriting Assumptions'!$M$15:$R$18,$E1057+2),
IF($P$46="Atlanta",VLOOKUP($A$57,'DCA Underwriting Assumptions'!$M$19:$R$22,$E1057+2),
IF($P$46="Augusta",VLOOKUP($A$57,'DCA Underwriting Assumptions'!$M$23:$R$26,$E1057+2),
IF($P$46="Brunswick",VLOOKUP($A$57,'DCA Underwriting Assumptions'!$M$27:$R$30,$E1057+2),
IF($P$46="Columbus",VLOOKUP($A$57,'DCA Underwriting Assumptions'!$M$31:$R$34,$E1057+2),
IF($P$46="Macon",VLOOKUP($A$57,'DCA Underwriting Assumptions'!$M$35:$R$38,$E1057+2),
IF($P$46="Rome",VLOOKUP($A$57,'DCA Underwriting Assumptions'!$M$39:$R$42,$E1057+2),
IF($P$46="Savannah",VLOOKUP($A$57,'DCA Underwriting Assumptions'!$M$43:$R$46,$E1057+2),
VLOOKUP($A$57,'DCA Underwriting Assumptions'!$M$47:$R$50,$E1057+2)))))))))</f>
        <v>#N/A</v>
      </c>
      <c r="M1057" s="1728" t="str">
        <f>CONCATENATE("x ", K1057," units = ")</f>
        <v xml:space="preserve">x 0 units = </v>
      </c>
      <c r="N1057" s="1805" t="e">
        <f>K1057*L1057</f>
        <v>#N/A</v>
      </c>
      <c r="P1057" s="519" t="s">
        <v>4293</v>
      </c>
      <c r="Q1057" s="519"/>
    </row>
    <row r="1058" spans="1:17">
      <c r="C1058" s="518"/>
      <c r="D1058" s="1802" t="s">
        <v>2538</v>
      </c>
      <c r="E1058" s="1787">
        <v>2</v>
      </c>
      <c r="F1058" s="1803">
        <f>'Part VI-Revenues &amp; Expenses'!$L$108</f>
        <v>0</v>
      </c>
      <c r="G1058" s="1804" t="e">
        <f>IF('Part IX A-Scoring Criteria'!$O$56='Part IX A-Scoring Criteria'!$M$56,$L1058,
IF($P$46="Albany",VLOOKUP($A$57,'DCA Underwriting Assumptions'!$E$15:$J$18,$E1058+2),
IF($P$46="Atlanta",VLOOKUP($A$57,'DCA Underwriting Assumptions'!$E$19:$J$22,$E1058+2),
IF($P$46="Augusta",VLOOKUP($A$57,'DCA Underwriting Assumptions'!$E$23:$J$26,$E1058+2),
IF($P$46="Brunswick",VLOOKUP($A$57,'DCA Underwriting Assumptions'!$E$27:$J$30,$E1058+2),
IF($P$46="Columbus",VLOOKUP($A$57,'DCA Underwriting Assumptions'!$E$31:$J$34,$E1058+2),
IF($P$46="Macon",VLOOKUP($A$57,'DCA Underwriting Assumptions'!$E$35:$J$38,$E1058+2),
IF($P$46="Rome",VLOOKUP($A$57,'DCA Underwriting Assumptions'!$E$39:$J$42,$E1058+2),
IF($P$46="Savannah",VLOOKUP($A$57,'DCA Underwriting Assumptions'!$E$43:$J$46,$E1058+2),
VLOOKUP($A$57,'DCA Underwriting Assumptions'!$E$47:$J$50,$E1058+2))))))))))</f>
        <v>#N/A</v>
      </c>
      <c r="H1058" s="1728" t="str">
        <f>CONCATENATE("x ", F1058," units = ")</f>
        <v xml:space="preserve">x 0 units = </v>
      </c>
      <c r="I1058" s="1805" t="e">
        <f>F1058*G1058</f>
        <v>#N/A</v>
      </c>
      <c r="J1058" s="518"/>
      <c r="K1058" s="1803">
        <f>'Part VI-Revenues &amp; Expenses'!$L$109</f>
        <v>0</v>
      </c>
      <c r="L1058" s="1804" t="e">
        <f>IF($P$46="Albany",VLOOKUP($A$57,'DCA Underwriting Assumptions'!$M$15:$R$18,$E1058+2),
IF($P$46="Atlanta",VLOOKUP($A$57,'DCA Underwriting Assumptions'!$M$19:$R$22,$E1058+2),
IF($P$46="Augusta",VLOOKUP($A$57,'DCA Underwriting Assumptions'!$M$23:$R$26,$E1058+2),
IF($P$46="Brunswick",VLOOKUP($A$57,'DCA Underwriting Assumptions'!$M$27:$R$30,$E1058+2),
IF($P$46="Columbus",VLOOKUP($A$57,'DCA Underwriting Assumptions'!$M$31:$R$34,$E1058+2),
IF($P$46="Macon",VLOOKUP($A$57,'DCA Underwriting Assumptions'!$M$35:$R$38,$E1058+2),
IF($P$46="Rome",VLOOKUP($A$57,'DCA Underwriting Assumptions'!$M$39:$R$42,$E1058+2),
IF($P$46="Savannah",VLOOKUP($A$57,'DCA Underwriting Assumptions'!$M$43:$R$46,$E1058+2),
VLOOKUP($A$57,'DCA Underwriting Assumptions'!$M$47:$R$50,$E1058+2)))))))))</f>
        <v>#N/A</v>
      </c>
      <c r="M1058" s="1728" t="str">
        <f>CONCATENATE("x ", K1058," units = ")</f>
        <v xml:space="preserve">x 0 units = </v>
      </c>
      <c r="N1058" s="1805" t="e">
        <f>K1058*L1058</f>
        <v>#N/A</v>
      </c>
      <c r="P1058" s="1746">
        <f>'Part IX A-Scoring Criteria'!O1055</f>
        <v>0</v>
      </c>
      <c r="Q1058" s="1746"/>
    </row>
    <row r="1059" spans="1:17">
      <c r="C1059" s="518"/>
      <c r="D1059" s="1802" t="s">
        <v>2539</v>
      </c>
      <c r="E1059" s="1787">
        <v>3</v>
      </c>
      <c r="F1059" s="1803">
        <f>'Part VI-Revenues &amp; Expenses'!$M$108</f>
        <v>0</v>
      </c>
      <c r="G1059" s="1804" t="e">
        <f>IF('Part IX A-Scoring Criteria'!$O$56='Part IX A-Scoring Criteria'!$M$56,$L1059,
IF($P$46="Albany",VLOOKUP($A$57,'DCA Underwriting Assumptions'!$E$15:$J$18,$E1059+2),
IF($P$46="Atlanta",VLOOKUP($A$57,'DCA Underwriting Assumptions'!$E$19:$J$22,$E1059+2),
IF($P$46="Augusta",VLOOKUP($A$57,'DCA Underwriting Assumptions'!$E$23:$J$26,$E1059+2),
IF($P$46="Brunswick",VLOOKUP($A$57,'DCA Underwriting Assumptions'!$E$27:$J$30,$E1059+2),
IF($P$46="Columbus",VLOOKUP($A$57,'DCA Underwriting Assumptions'!$E$31:$J$34,$E1059+2),
IF($P$46="Macon",VLOOKUP($A$57,'DCA Underwriting Assumptions'!$E$35:$J$38,$E1059+2),
IF($P$46="Rome",VLOOKUP($A$57,'DCA Underwriting Assumptions'!$E$39:$J$42,$E1059+2),
IF($P$46="Savannah",VLOOKUP($A$57,'DCA Underwriting Assumptions'!$E$43:$J$46,$E1059+2),
VLOOKUP($A$57,'DCA Underwriting Assumptions'!$E$47:$J$50,$E1059+2))))))))))</f>
        <v>#N/A</v>
      </c>
      <c r="H1059" s="1728" t="str">
        <f>CONCATENATE("x ", F1059," units = ")</f>
        <v xml:space="preserve">x 0 units = </v>
      </c>
      <c r="I1059" s="1805" t="e">
        <f>F1059*G1059</f>
        <v>#N/A</v>
      </c>
      <c r="J1059" s="518"/>
      <c r="K1059" s="1803">
        <f>'Part VI-Revenues &amp; Expenses'!$M$109</f>
        <v>0</v>
      </c>
      <c r="L1059" s="1804" t="e">
        <f>IF($P$46="Albany",VLOOKUP($A$57,'DCA Underwriting Assumptions'!$M$15:$R$18,$E1059+2),
IF($P$46="Atlanta",VLOOKUP($A$57,'DCA Underwriting Assumptions'!$M$19:$R$22,$E1059+2),
IF($P$46="Augusta",VLOOKUP($A$57,'DCA Underwriting Assumptions'!$M$23:$R$26,$E1059+2),
IF($P$46="Brunswick",VLOOKUP($A$57,'DCA Underwriting Assumptions'!$M$27:$R$30,$E1059+2),
IF($P$46="Columbus",VLOOKUP($A$57,'DCA Underwriting Assumptions'!$M$31:$R$34,$E1059+2),
IF($P$46="Macon",VLOOKUP($A$57,'DCA Underwriting Assumptions'!$M$35:$R$38,$E1059+2),
IF($P$46="Rome",VLOOKUP($A$57,'DCA Underwriting Assumptions'!$M$39:$R$42,$E1059+2),
IF($P$46="Savannah",VLOOKUP($A$57,'DCA Underwriting Assumptions'!$M$43:$R$46,$E1059+2),
VLOOKUP($A$57,'DCA Underwriting Assumptions'!$M$47:$R$50,$E1059+2)))))))))</f>
        <v>#N/A</v>
      </c>
      <c r="M1059" s="1728" t="str">
        <f>CONCATENATE("x ", K1059," units = ")</f>
        <v xml:space="preserve">x 0 units = </v>
      </c>
      <c r="N1059" s="1805" t="e">
        <f>K1059*L1059</f>
        <v>#N/A</v>
      </c>
      <c r="O1059" s="1817"/>
    </row>
    <row r="1060" spans="1:17" ht="12.75" customHeight="1">
      <c r="C1060" s="518"/>
      <c r="D1060" s="1802" t="s">
        <v>2540</v>
      </c>
      <c r="E1060" s="1787">
        <v>4</v>
      </c>
      <c r="F1060" s="1803">
        <f>'Part VI-Revenues &amp; Expenses'!$N$108</f>
        <v>0</v>
      </c>
      <c r="G1060" s="1804" t="e">
        <f>IF('Part IX A-Scoring Criteria'!$O$56='Part IX A-Scoring Criteria'!$M$56,$L1060,
IF($P$46="Albany",VLOOKUP($A$57,'DCA Underwriting Assumptions'!$E$15:$J$18,$E1060+2),
IF($P$46="Atlanta",VLOOKUP($A$57,'DCA Underwriting Assumptions'!$E$19:$J$22,$E1060+2),
IF($P$46="Augusta",VLOOKUP($A$57,'DCA Underwriting Assumptions'!$E$23:$J$26,$E1060+2),
IF($P$46="Brunswick",VLOOKUP($A$57,'DCA Underwriting Assumptions'!$E$27:$J$30,$E1060+2),
IF($P$46="Columbus",VLOOKUP($A$57,'DCA Underwriting Assumptions'!$E$31:$J$34,$E1060+2),
IF($P$46="Macon",VLOOKUP($A$57,'DCA Underwriting Assumptions'!$E$35:$J$38,$E1060+2),
IF($P$46="Rome",VLOOKUP($A$57,'DCA Underwriting Assumptions'!$E$39:$J$42,$E1060+2),
IF($P$46="Savannah",VLOOKUP($A$57,'DCA Underwriting Assumptions'!$E$43:$J$46,$E1060+2),
VLOOKUP($A$57,'DCA Underwriting Assumptions'!$E$47:$J$50,$E1060+2))))))))))</f>
        <v>#N/A</v>
      </c>
      <c r="H1060" s="1728" t="str">
        <f>CONCATENATE("x ", F1060," units = ")</f>
        <v xml:space="preserve">x 0 units = </v>
      </c>
      <c r="I1060" s="1805" t="e">
        <f>F1060*G1060</f>
        <v>#N/A</v>
      </c>
      <c r="J1060" s="518"/>
      <c r="K1060" s="1803">
        <f>'Part VI-Revenues &amp; Expenses'!$N$109</f>
        <v>0</v>
      </c>
      <c r="L1060" s="1804" t="e">
        <f>IF($P$46="Albany",VLOOKUP($A$57,'DCA Underwriting Assumptions'!$M$15:$R$18,$E1060+2),
IF($P$46="Atlanta",VLOOKUP($A$57,'DCA Underwriting Assumptions'!$M$19:$R$22,$E1060+2),
IF($P$46="Augusta",VLOOKUP($A$57,'DCA Underwriting Assumptions'!$M$23:$R$26,$E1060+2),
IF($P$46="Brunswick",VLOOKUP($A$57,'DCA Underwriting Assumptions'!$M$27:$R$30,$E1060+2),
IF($P$46="Columbus",VLOOKUP($A$57,'DCA Underwriting Assumptions'!$M$31:$R$34,$E1060+2),
IF($P$46="Macon",VLOOKUP($A$57,'DCA Underwriting Assumptions'!$M$35:$R$38,$E1060+2),
IF($P$46="Rome",VLOOKUP($A$57,'DCA Underwriting Assumptions'!$M$39:$R$42,$E1060+2),
IF($P$46="Savannah",VLOOKUP($A$57,'DCA Underwriting Assumptions'!$M$43:$R$46,$E1060+2),
VLOOKUP($A$57,'DCA Underwriting Assumptions'!$M$47:$R$50,$E1060+2)))))))))</f>
        <v>#N/A</v>
      </c>
      <c r="M1060" s="1728" t="str">
        <f>CONCATENATE("x ", K1060," units = ")</f>
        <v xml:space="preserve">x 0 units = </v>
      </c>
      <c r="N1060" s="1805" t="e">
        <f>K1060*L1060</f>
        <v>#N/A</v>
      </c>
      <c r="O1060" s="1817"/>
      <c r="P1060" s="1819" t="s">
        <v>2994</v>
      </c>
      <c r="Q1060" s="1819"/>
    </row>
    <row r="1061" spans="1:17" ht="13.5" customHeight="1">
      <c r="C1061" s="518"/>
      <c r="D1061" s="1807" t="s">
        <v>3700</v>
      </c>
      <c r="F1061" s="1808">
        <f>SUM(F1056:F1060)</f>
        <v>0</v>
      </c>
      <c r="G1061" s="1809"/>
      <c r="H1061" s="1810"/>
      <c r="I1061" s="1811" t="e">
        <f>SUM(I1056:I1060)</f>
        <v>#N/A</v>
      </c>
      <c r="J1061" s="1812"/>
      <c r="K1061" s="1808">
        <f>SUM(K1056:K1060)</f>
        <v>0</v>
      </c>
      <c r="L1061" s="1812"/>
      <c r="M1061" s="1810"/>
      <c r="N1061" s="1811" t="e">
        <f>SUM(N1056:N1060)</f>
        <v>#N/A</v>
      </c>
      <c r="O1061" s="1817"/>
      <c r="P1061" s="1819"/>
      <c r="Q1061" s="1819"/>
    </row>
    <row r="1062" spans="1:17" ht="12.75" customHeight="1">
      <c r="C1062" s="518"/>
      <c r="D1062" s="1813"/>
      <c r="E1062" s="1813"/>
      <c r="F1062" s="1814"/>
      <c r="G1062" s="1815"/>
      <c r="I1062" s="1814"/>
      <c r="K1062" s="1814"/>
      <c r="M1062" s="1795"/>
      <c r="N1062" s="1814"/>
      <c r="O1062" s="1817"/>
      <c r="P1062" s="1819"/>
      <c r="Q1062" s="1819"/>
    </row>
    <row r="1063" spans="1:17" ht="12.75" customHeight="1">
      <c r="A1063" s="1672" t="s">
        <v>3686</v>
      </c>
      <c r="C1063" s="518"/>
      <c r="D1063" s="1802" t="s">
        <v>593</v>
      </c>
      <c r="E1063" s="1787">
        <v>0</v>
      </c>
      <c r="F1063" s="1803">
        <f>'Part VI-Revenues &amp; Expenses'!$J$110</f>
        <v>0</v>
      </c>
      <c r="G1063" s="1804" t="e">
        <f>IF('Part IX A-Scoring Criteria'!$O$56='Part IX A-Scoring Criteria'!$M$56,$L1063,
IF($P$46="Albany",VLOOKUP($A$64,'DCA Underwriting Assumptions'!$E$15:$J$18,$E1063+2),
IF($P$46="Atlanta",VLOOKUP($A$64,'DCA Underwriting Assumptions'!$E$19:$J$22,$E1063+2),
IF($P$46="Augusta",VLOOKUP($A$64,'DCA Underwriting Assumptions'!$E$23:$J$26,$E1063+2),
IF($P$46="Brunswick",VLOOKUP($A$64,'DCA Underwriting Assumptions'!$E$27:$J$30,$E1063+2),
IF($P$46="Columbus",VLOOKUP($A$64,'DCA Underwriting Assumptions'!$E$31:$J$34,$E1063+2),
IF($P$46="Macon",VLOOKUP($A$64,'DCA Underwriting Assumptions'!$E$35:$J$38,$E1063+2),
IF($P$46="Rome",VLOOKUP($A$64,'DCA Underwriting Assumptions'!$E$39:$J$42,$E1063+2),
IF($P$46="Savannah",VLOOKUP($A$64,'DCA Underwriting Assumptions'!$E$43:$J$46,$E1063+2),
VLOOKUP($A$64,'DCA Underwriting Assumptions'!$E$47:$J$50,$E1063+2))))))))))</f>
        <v>#N/A</v>
      </c>
      <c r="H1063" s="1728" t="str">
        <f>CONCATENATE("x ", F1063," units = ")</f>
        <v xml:space="preserve">x 0 units = </v>
      </c>
      <c r="I1063" s="1805" t="e">
        <f>F1063*G1063</f>
        <v>#N/A</v>
      </c>
      <c r="J1063" s="518"/>
      <c r="K1063" s="1803">
        <f>'Part VI-Revenues &amp; Expenses'!$J$111</f>
        <v>0</v>
      </c>
      <c r="L1063" s="1804" t="e">
        <f>IF($P$46="Albany",VLOOKUP($A$64,'DCA Underwriting Assumptions'!$M$15:$R$18,$E1063+2),
IF($P$46="Atlanta",VLOOKUP($A$64,'DCA Underwriting Assumptions'!$M$19:$R$22,$E1063+2),
IF($P$46="Augusta",VLOOKUP($A$64,'DCA Underwriting Assumptions'!$M$23:$R$26,$E1063+2),
IF($P$46="Brunswick",VLOOKUP($A$64,'DCA Underwriting Assumptions'!$M$27:$R$30,$E1063+2),
IF($P$46="Columbus",VLOOKUP($A$64,'DCA Underwriting Assumptions'!$M$31:$R$34,$E1063+2),
IF($P$46="Macon",VLOOKUP($A$64,'DCA Underwriting Assumptions'!$M$35:$R$38,$E1063+2),
IF($P$46="Rome",VLOOKUP($A$64,'DCA Underwriting Assumptions'!$M$39:$R$42,$E1063+2),
IF($P$46="Savannah",VLOOKUP($A$64,'DCA Underwriting Assumptions'!$M$43:$R$46,$E1063+2),
VLOOKUP($A$64,'DCA Underwriting Assumptions'!$M$47:$R$50,$E1063+2)))))))))</f>
        <v>#N/A</v>
      </c>
      <c r="M1063" s="1728" t="str">
        <f>CONCATENATE("x ", K1063," units = ")</f>
        <v xml:space="preserve">x 0 units = </v>
      </c>
      <c r="N1063" s="1805" t="e">
        <f>K1063*L1063</f>
        <v>#N/A</v>
      </c>
      <c r="O1063" s="1817"/>
      <c r="P1063" s="1819"/>
      <c r="Q1063" s="1819"/>
    </row>
    <row r="1064" spans="1:17" ht="12.75" customHeight="1">
      <c r="C1064" s="518"/>
      <c r="D1064" s="1802" t="s">
        <v>2537</v>
      </c>
      <c r="E1064" s="1787">
        <v>1</v>
      </c>
      <c r="F1064" s="1803">
        <f>'Part VI-Revenues &amp; Expenses'!$K$110</f>
        <v>139</v>
      </c>
      <c r="G1064" s="1804" t="e">
        <f>IF('Part IX A-Scoring Criteria'!$O$56='Part IX A-Scoring Criteria'!$M$56,$L1064,
IF($P$46="Albany",VLOOKUP($A$64,'DCA Underwriting Assumptions'!$E$15:$J$18,$E1064+2),
IF($P$46="Atlanta",VLOOKUP($A$64,'DCA Underwriting Assumptions'!$E$19:$J$22,$E1064+2),
IF($P$46="Augusta",VLOOKUP($A$64,'DCA Underwriting Assumptions'!$E$23:$J$26,$E1064+2),
IF($P$46="Brunswick",VLOOKUP($A$64,'DCA Underwriting Assumptions'!$E$27:$J$30,$E1064+2),
IF($P$46="Columbus",VLOOKUP($A$64,'DCA Underwriting Assumptions'!$E$31:$J$34,$E1064+2),
IF($P$46="Macon",VLOOKUP($A$64,'DCA Underwriting Assumptions'!$E$35:$J$38,$E1064+2),
IF($P$46="Rome",VLOOKUP($A$64,'DCA Underwriting Assumptions'!$E$39:$J$42,$E1064+2),
IF($P$46="Savannah",VLOOKUP($A$64,'DCA Underwriting Assumptions'!$E$43:$J$46,$E1064+2),
VLOOKUP($A$64,'DCA Underwriting Assumptions'!$E$47:$J$50,$E1064+2))))))))))</f>
        <v>#N/A</v>
      </c>
      <c r="H1064" s="1728" t="str">
        <f>CONCATENATE("x ", F1064," units = ")</f>
        <v xml:space="preserve">x 139 units = </v>
      </c>
      <c r="I1064" s="1805" t="e">
        <f>F1064*G1064</f>
        <v>#N/A</v>
      </c>
      <c r="J1064" s="518"/>
      <c r="K1064" s="1803">
        <f>'Part VI-Revenues &amp; Expenses'!$K$111</f>
        <v>0</v>
      </c>
      <c r="L1064" s="1804" t="e">
        <f>IF($P$46="Albany",VLOOKUP($A$64,'DCA Underwriting Assumptions'!$M$15:$R$18,$E1064+2),
IF($P$46="Atlanta",VLOOKUP($A$64,'DCA Underwriting Assumptions'!$M$19:$R$22,$E1064+2),
IF($P$46="Augusta",VLOOKUP($A$64,'DCA Underwriting Assumptions'!$M$23:$R$26,$E1064+2),
IF($P$46="Brunswick",VLOOKUP($A$64,'DCA Underwriting Assumptions'!$M$27:$R$30,$E1064+2),
IF($P$46="Columbus",VLOOKUP($A$64,'DCA Underwriting Assumptions'!$M$31:$R$34,$E1064+2),
IF($P$46="Macon",VLOOKUP($A$64,'DCA Underwriting Assumptions'!$M$35:$R$38,$E1064+2),
IF($P$46="Rome",VLOOKUP($A$64,'DCA Underwriting Assumptions'!$M$39:$R$42,$E1064+2),
IF($P$46="Savannah",VLOOKUP($A$64,'DCA Underwriting Assumptions'!$M$43:$R$46,$E1064+2),
VLOOKUP($A$64,'DCA Underwriting Assumptions'!$M$47:$R$50,$E1064+2)))))))))</f>
        <v>#N/A</v>
      </c>
      <c r="M1064" s="1728" t="str">
        <f>CONCATENATE("x ", K1064," units = ")</f>
        <v xml:space="preserve">x 0 units = </v>
      </c>
      <c r="N1064" s="1805" t="e">
        <f>K1064*L1064</f>
        <v>#N/A</v>
      </c>
      <c r="O1064" s="1817"/>
      <c r="P1064" s="1820" t="e">
        <f>IF(P1052&gt;1,P1052, IF(AND('Part IV-Uses of Funds'!$T$164="Yes",'Part IX A-Scoring Criteria'!$O$310&gt;0),I1070+N1070,I1070))</f>
        <v>#N/A</v>
      </c>
      <c r="Q1064" s="1820"/>
    </row>
    <row r="1065" spans="1:17" ht="12.75" customHeight="1">
      <c r="C1065" s="518"/>
      <c r="D1065" s="1802" t="s">
        <v>2538</v>
      </c>
      <c r="E1065" s="1787">
        <v>2</v>
      </c>
      <c r="F1065" s="1803">
        <f>'Part VI-Revenues &amp; Expenses'!$L$110</f>
        <v>23</v>
      </c>
      <c r="G1065" s="1804" t="e">
        <f>IF('Part IX A-Scoring Criteria'!$O$56='Part IX A-Scoring Criteria'!$M$56,$L1065,
IF($P$46="Albany",VLOOKUP($A$64,'DCA Underwriting Assumptions'!$E$15:$J$18,$E1065+2),
IF($P$46="Atlanta",VLOOKUP($A$64,'DCA Underwriting Assumptions'!$E$19:$J$22,$E1065+2),
IF($P$46="Augusta",VLOOKUP($A$64,'DCA Underwriting Assumptions'!$E$23:$J$26,$E1065+2),
IF($P$46="Brunswick",VLOOKUP($A$64,'DCA Underwriting Assumptions'!$E$27:$J$30,$E1065+2),
IF($P$46="Columbus",VLOOKUP($A$64,'DCA Underwriting Assumptions'!$E$31:$J$34,$E1065+2),
IF($P$46="Macon",VLOOKUP($A$64,'DCA Underwriting Assumptions'!$E$35:$J$38,$E1065+2),
IF($P$46="Rome",VLOOKUP($A$64,'DCA Underwriting Assumptions'!$E$39:$J$42,$E1065+2),
IF($P$46="Savannah",VLOOKUP($A$64,'DCA Underwriting Assumptions'!$E$43:$J$46,$E1065+2),
VLOOKUP($A$64,'DCA Underwriting Assumptions'!$E$47:$J$50,$E1065+2))))))))))</f>
        <v>#N/A</v>
      </c>
      <c r="H1065" s="1728" t="str">
        <f>CONCATENATE("x ", F1065," units = ")</f>
        <v xml:space="preserve">x 23 units = </v>
      </c>
      <c r="I1065" s="1805" t="e">
        <f>F1065*G1065</f>
        <v>#N/A</v>
      </c>
      <c r="J1065" s="518"/>
      <c r="K1065" s="1803">
        <f>'Part VI-Revenues &amp; Expenses'!$L$111</f>
        <v>0</v>
      </c>
      <c r="L1065" s="1804" t="e">
        <f>IF($P$46="Albany",VLOOKUP($A$64,'DCA Underwriting Assumptions'!$M$15:$R$18,$E1065+2),
IF($P$46="Atlanta",VLOOKUP($A$64,'DCA Underwriting Assumptions'!$M$19:$R$22,$E1065+2),
IF($P$46="Augusta",VLOOKUP($A$64,'DCA Underwriting Assumptions'!$M$23:$R$26,$E1065+2),
IF($P$46="Brunswick",VLOOKUP($A$64,'DCA Underwriting Assumptions'!$M$27:$R$30,$E1065+2),
IF($P$46="Columbus",VLOOKUP($A$64,'DCA Underwriting Assumptions'!$M$31:$R$34,$E1065+2),
IF($P$46="Macon",VLOOKUP($A$64,'DCA Underwriting Assumptions'!$M$35:$R$38,$E1065+2),
IF($P$46="Rome",VLOOKUP($A$64,'DCA Underwriting Assumptions'!$M$39:$R$42,$E1065+2),
IF($P$46="Savannah",VLOOKUP($A$64,'DCA Underwriting Assumptions'!$M$43:$R$46,$E1065+2),
VLOOKUP($A$64,'DCA Underwriting Assumptions'!$M$47:$R$50,$E1065+2)))))))))</f>
        <v>#N/A</v>
      </c>
      <c r="M1065" s="1728" t="str">
        <f>CONCATENATE("x ", K1065," units = ")</f>
        <v xml:space="preserve">x 0 units = </v>
      </c>
      <c r="N1065" s="1805" t="e">
        <f>K1065*L1065</f>
        <v>#N/A</v>
      </c>
      <c r="P1065" s="1820"/>
      <c r="Q1065" s="1820"/>
    </row>
    <row r="1066" spans="1:17" ht="12.75" customHeight="1">
      <c r="C1066" s="518"/>
      <c r="D1066" s="1802" t="s">
        <v>2539</v>
      </c>
      <c r="E1066" s="1787">
        <v>3</v>
      </c>
      <c r="F1066" s="1803">
        <f>'Part VI-Revenues &amp; Expenses'!$M$110</f>
        <v>0</v>
      </c>
      <c r="G1066" s="1804" t="e">
        <f>IF('Part IX A-Scoring Criteria'!$O$56='Part IX A-Scoring Criteria'!$M$56,$L1066,
IF($P$46="Albany",VLOOKUP($A$64,'DCA Underwriting Assumptions'!$E$15:$J$18,$E1066+2),
IF($P$46="Atlanta",VLOOKUP($A$64,'DCA Underwriting Assumptions'!$E$19:$J$22,$E1066+2),
IF($P$46="Augusta",VLOOKUP($A$64,'DCA Underwriting Assumptions'!$E$23:$J$26,$E1066+2),
IF($P$46="Brunswick",VLOOKUP($A$64,'DCA Underwriting Assumptions'!$E$27:$J$30,$E1066+2),
IF($P$46="Columbus",VLOOKUP($A$64,'DCA Underwriting Assumptions'!$E$31:$J$34,$E1066+2),
IF($P$46="Macon",VLOOKUP($A$64,'DCA Underwriting Assumptions'!$E$35:$J$38,$E1066+2),
IF($P$46="Rome",VLOOKUP($A$64,'DCA Underwriting Assumptions'!$E$39:$J$42,$E1066+2),
IF($P$46="Savannah",VLOOKUP($A$64,'DCA Underwriting Assumptions'!$E$43:$J$46,$E1066+2),
VLOOKUP($A$64,'DCA Underwriting Assumptions'!$E$47:$J$50,$E1066+2))))))))))</f>
        <v>#N/A</v>
      </c>
      <c r="H1066" s="1728" t="str">
        <f>CONCATENATE("x ", F1066," units = ")</f>
        <v xml:space="preserve">x 0 units = </v>
      </c>
      <c r="I1066" s="1805" t="e">
        <f>F1066*G1066</f>
        <v>#N/A</v>
      </c>
      <c r="J1066" s="518"/>
      <c r="K1066" s="1803">
        <f>'Part VI-Revenues &amp; Expenses'!$M$111</f>
        <v>0</v>
      </c>
      <c r="L1066" s="1804" t="e">
        <f>IF($P$46="Albany",VLOOKUP($A$64,'DCA Underwriting Assumptions'!$M$15:$R$18,$E1066+2),
IF($P$46="Atlanta",VLOOKUP($A$64,'DCA Underwriting Assumptions'!$M$19:$R$22,$E1066+2),
IF($P$46="Augusta",VLOOKUP($A$64,'DCA Underwriting Assumptions'!$M$23:$R$26,$E1066+2),
IF($P$46="Brunswick",VLOOKUP($A$64,'DCA Underwriting Assumptions'!$M$27:$R$30,$E1066+2),
IF($P$46="Columbus",VLOOKUP($A$64,'DCA Underwriting Assumptions'!$M$31:$R$34,$E1066+2),
IF($P$46="Macon",VLOOKUP($A$64,'DCA Underwriting Assumptions'!$M$35:$R$38,$E1066+2),
IF($P$46="Rome",VLOOKUP($A$64,'DCA Underwriting Assumptions'!$M$39:$R$42,$E1066+2),
IF($P$46="Savannah",VLOOKUP($A$64,'DCA Underwriting Assumptions'!$M$43:$R$46,$E1066+2),
VLOOKUP($A$64,'DCA Underwriting Assumptions'!$M$47:$R$50,$E1066+2)))))))))</f>
        <v>#N/A</v>
      </c>
      <c r="M1066" s="1728" t="str">
        <f>CONCATENATE("x ", K1066," units = ")</f>
        <v xml:space="preserve">x 0 units = </v>
      </c>
      <c r="N1066" s="1805" t="e">
        <f>K1066*L1066</f>
        <v>#N/A</v>
      </c>
      <c r="P1066" s="1673" t="s">
        <v>2871</v>
      </c>
      <c r="Q1066" s="1673"/>
    </row>
    <row r="1067" spans="1:17">
      <c r="C1067" s="518"/>
      <c r="D1067" s="1802" t="s">
        <v>2540</v>
      </c>
      <c r="E1067" s="1787">
        <v>4</v>
      </c>
      <c r="F1067" s="1803">
        <f>'Part VI-Revenues &amp; Expenses'!$N$110</f>
        <v>0</v>
      </c>
      <c r="G1067" s="1804" t="e">
        <f>IF('Part IX A-Scoring Criteria'!$O$56='Part IX A-Scoring Criteria'!$M$56,$L1067,
IF($P$46="Albany",VLOOKUP($A$64,'DCA Underwriting Assumptions'!$E$15:$J$18,$E1067+2),
IF($P$46="Atlanta",VLOOKUP($A$64,'DCA Underwriting Assumptions'!$E$19:$J$22,$E1067+2),
IF($P$46="Augusta",VLOOKUP($A$64,'DCA Underwriting Assumptions'!$E$23:$J$26,$E1067+2),
IF($P$46="Brunswick",VLOOKUP($A$64,'DCA Underwriting Assumptions'!$E$27:$J$30,$E1067+2),
IF($P$46="Columbus",VLOOKUP($A$64,'DCA Underwriting Assumptions'!$E$31:$J$34,$E1067+2),
IF($P$46="Macon",VLOOKUP($A$64,'DCA Underwriting Assumptions'!$E$35:$J$38,$E1067+2),
IF($P$46="Rome",VLOOKUP($A$64,'DCA Underwriting Assumptions'!$E$39:$J$42,$E1067+2),
IF($P$46="Savannah",VLOOKUP($A$64,'DCA Underwriting Assumptions'!$E$43:$J$46,$E1067+2),
VLOOKUP($A$64,'DCA Underwriting Assumptions'!$E$47:$J$50,$E1067+2))))))))))</f>
        <v>#N/A</v>
      </c>
      <c r="H1067" s="1728" t="str">
        <f>CONCATENATE("x ", F1067," units = ")</f>
        <v xml:space="preserve">x 0 units = </v>
      </c>
      <c r="I1067" s="1805" t="e">
        <f>F1067*G1067</f>
        <v>#N/A</v>
      </c>
      <c r="J1067" s="518"/>
      <c r="K1067" s="1803">
        <f>'Part VI-Revenues &amp; Expenses'!$N$111</f>
        <v>0</v>
      </c>
      <c r="L1067" s="1804" t="e">
        <f>IF($P$46="Albany",VLOOKUP($A$64,'DCA Underwriting Assumptions'!$M$15:$R$18,$E1067+2),
IF($P$46="Atlanta",VLOOKUP($A$64,'DCA Underwriting Assumptions'!$M$19:$R$22,$E1067+2),
IF($P$46="Augusta",VLOOKUP($A$64,'DCA Underwriting Assumptions'!$M$23:$R$26,$E1067+2),
IF($P$46="Brunswick",VLOOKUP($A$64,'DCA Underwriting Assumptions'!$M$27:$R$30,$E1067+2),
IF($P$46="Columbus",VLOOKUP($A$64,'DCA Underwriting Assumptions'!$M$31:$R$34,$E1067+2),
IF($P$46="Macon",VLOOKUP($A$64,'DCA Underwriting Assumptions'!$M$35:$R$38,$E1067+2),
IF($P$46="Rome",VLOOKUP($A$64,'DCA Underwriting Assumptions'!$M$39:$R$42,$E1067+2),
IF($P$46="Savannah",VLOOKUP($A$64,'DCA Underwriting Assumptions'!$M$43:$R$46,$E1067+2),
VLOOKUP($A$64,'DCA Underwriting Assumptions'!$M$47:$R$50,$E1067+2)))))))))</f>
        <v>#N/A</v>
      </c>
      <c r="M1067" s="1728" t="str">
        <f>CONCATENATE("x ", K1067," units = ")</f>
        <v xml:space="preserve">x 0 units = </v>
      </c>
      <c r="N1067" s="1805" t="e">
        <f>K1067*L1067</f>
        <v>#N/A</v>
      </c>
      <c r="O1067" s="1817"/>
      <c r="P1067" s="1673"/>
      <c r="Q1067" s="1673"/>
    </row>
    <row r="1068" spans="1:17" ht="13.5">
      <c r="C1068" s="518"/>
      <c r="D1068" s="1807" t="s">
        <v>3700</v>
      </c>
      <c r="F1068" s="1808">
        <f>SUM(F1063:F1067)</f>
        <v>162</v>
      </c>
      <c r="G1068" s="1809"/>
      <c r="H1068" s="1810"/>
      <c r="I1068" s="1811" t="e">
        <f>SUM(I1063:I1067)</f>
        <v>#N/A</v>
      </c>
      <c r="J1068" s="1812"/>
      <c r="K1068" s="1808">
        <f>SUM(K1063:K1067)</f>
        <v>0</v>
      </c>
      <c r="L1068" s="1812"/>
      <c r="M1068" s="1810"/>
      <c r="N1068" s="1811" t="e">
        <f>SUM(N1063:N1067)</f>
        <v>#N/A</v>
      </c>
      <c r="O1068" s="1817"/>
      <c r="P1068" s="1673"/>
      <c r="Q1068" s="1673"/>
    </row>
    <row r="1069" spans="1:17">
      <c r="C1069" s="518"/>
      <c r="D1069" s="518"/>
      <c r="E1069" s="1514"/>
      <c r="F1069" s="518"/>
      <c r="G1069" s="519"/>
      <c r="H1069" s="1821"/>
      <c r="I1069" s="1821"/>
      <c r="J1069" s="1821"/>
      <c r="K1069" s="1821"/>
      <c r="L1069" s="1821"/>
      <c r="M1069" s="1821"/>
      <c r="N1069" s="1822"/>
      <c r="O1069" s="1817"/>
      <c r="P1069" s="1673"/>
      <c r="Q1069" s="1673"/>
    </row>
    <row r="1070" spans="1:17" ht="13.5">
      <c r="A1070" s="1823" t="s">
        <v>3701</v>
      </c>
      <c r="B1070" s="518"/>
      <c r="C1070" s="518"/>
      <c r="D1070" s="518"/>
      <c r="E1070" s="522"/>
      <c r="F1070" s="1824">
        <f>F1047+F1054+F1061+F1068</f>
        <v>162</v>
      </c>
      <c r="G1070" s="1594"/>
      <c r="H1070" s="1825"/>
      <c r="I1070" s="1824" t="e">
        <f>I1047+I1054+I1061+I1068</f>
        <v>#N/A</v>
      </c>
      <c r="J1070" s="1825"/>
      <c r="K1070" s="1824">
        <f>K1047+K1054+K1061+K1068</f>
        <v>0</v>
      </c>
      <c r="L1070" s="1825"/>
      <c r="M1070" s="1825"/>
      <c r="N1070" s="1824" t="e">
        <f>N1047+N1054+N1061+N1068</f>
        <v>#N/A</v>
      </c>
      <c r="O1070" s="1817"/>
      <c r="P1070" s="1673"/>
      <c r="Q1070" s="1673"/>
    </row>
    <row r="1071" spans="1:17">
      <c r="B1071" s="1729" t="s">
        <v>1946</v>
      </c>
      <c r="D1071" s="1729"/>
      <c r="E1071" s="1729"/>
      <c r="F1071" s="1729"/>
      <c r="G1071" s="1729"/>
      <c r="H1071" s="1728"/>
      <c r="I1071" s="1787"/>
      <c r="J1071" s="1787"/>
      <c r="K1071" s="1793" t="s">
        <v>1947</v>
      </c>
      <c r="L1071" s="1692"/>
      <c r="M1071" s="1692"/>
      <c r="N1071" s="1692"/>
      <c r="O1071" s="1692"/>
      <c r="P1071" s="1692"/>
      <c r="Q1071" s="1692"/>
    </row>
    <row r="1072" spans="1:17">
      <c r="A1072" s="1792">
        <f>'Part VIII-Threshold Criteria'!A73</f>
        <v>0</v>
      </c>
      <c r="B1072" s="1792"/>
      <c r="C1072" s="1792"/>
      <c r="D1072" s="1792"/>
      <c r="E1072" s="1792"/>
      <c r="F1072" s="1792"/>
      <c r="G1072" s="1792"/>
      <c r="H1072" s="1792"/>
      <c r="I1072" s="1792"/>
      <c r="J1072" s="1792"/>
      <c r="K1072" s="1792">
        <f>'Part VIII-Threshold Criteria'!K73</f>
        <v>0</v>
      </c>
      <c r="L1072" s="1792"/>
      <c r="M1072" s="1792"/>
      <c r="N1072" s="1792"/>
      <c r="O1072" s="1792"/>
      <c r="P1072" s="1792"/>
      <c r="Q1072" s="1792"/>
    </row>
    <row r="1073" spans="1:17">
      <c r="B1073" s="1787"/>
      <c r="C1073" s="1795"/>
      <c r="D1073" s="1795"/>
      <c r="E1073" s="1795"/>
      <c r="F1073" s="1795"/>
      <c r="G1073" s="1795"/>
      <c r="H1073" s="1795"/>
      <c r="I1073" s="1795"/>
      <c r="J1073" s="1795"/>
      <c r="K1073" s="1795"/>
      <c r="L1073" s="1795"/>
      <c r="M1073" s="1795"/>
      <c r="N1073" s="1795"/>
      <c r="O1073" s="1795"/>
      <c r="P1073" s="1795"/>
      <c r="Q1073" s="1692"/>
    </row>
    <row r="1074" spans="1:17">
      <c r="A1074" s="1681">
        <v>3</v>
      </c>
      <c r="B1074" s="521" t="s">
        <v>1241</v>
      </c>
      <c r="C1074" s="521"/>
      <c r="D1074" s="521"/>
      <c r="E1074" s="1795"/>
      <c r="F1074" s="1795"/>
      <c r="G1074" s="1815" t="s">
        <v>101</v>
      </c>
      <c r="H1074" s="1795"/>
      <c r="J1074" s="1786" t="str">
        <f>'Part I-Project Information'!$H$67</f>
        <v>HFOP</v>
      </c>
      <c r="K1074" s="1786"/>
      <c r="L1074" s="1786"/>
      <c r="O1074" s="1788" t="s">
        <v>1948</v>
      </c>
      <c r="P1074" s="1700">
        <f>'Part VIII-Threshold Criteria'!P75</f>
        <v>0</v>
      </c>
      <c r="Q1074" s="1700"/>
    </row>
    <row r="1075" spans="1:17">
      <c r="B1075" s="1729" t="s">
        <v>1946</v>
      </c>
      <c r="D1075" s="1729"/>
      <c r="E1075" s="1729"/>
      <c r="F1075" s="1729"/>
      <c r="G1075" s="1729"/>
      <c r="H1075" s="1728"/>
      <c r="I1075" s="1787"/>
      <c r="J1075" s="1787"/>
      <c r="K1075" s="1793" t="s">
        <v>1947</v>
      </c>
      <c r="L1075" s="1692"/>
      <c r="M1075" s="1692"/>
      <c r="N1075" s="1692"/>
      <c r="O1075" s="1692"/>
      <c r="P1075" s="1692"/>
      <c r="Q1075" s="1692"/>
    </row>
    <row r="1076" spans="1:17">
      <c r="A1076" s="1792">
        <f>'Part VIII-Threshold Criteria'!A77</f>
        <v>0</v>
      </c>
      <c r="B1076" s="1792"/>
      <c r="C1076" s="1792"/>
      <c r="D1076" s="1792"/>
      <c r="E1076" s="1792"/>
      <c r="F1076" s="1792"/>
      <c r="G1076" s="1792"/>
      <c r="H1076" s="1792"/>
      <c r="I1076" s="1792"/>
      <c r="J1076" s="1792"/>
      <c r="K1076" s="1792">
        <f>'Part VIII-Threshold Criteria'!K77</f>
        <v>0</v>
      </c>
      <c r="L1076" s="1792"/>
      <c r="M1076" s="1792"/>
      <c r="N1076" s="1792"/>
      <c r="O1076" s="1792"/>
      <c r="P1076" s="1792"/>
      <c r="Q1076" s="1792"/>
    </row>
    <row r="1077" spans="1:17">
      <c r="A1077" s="1692"/>
      <c r="B1077" s="1787"/>
      <c r="C1077" s="1795"/>
      <c r="D1077" s="1795"/>
      <c r="E1077" s="1795"/>
      <c r="F1077" s="1795"/>
      <c r="G1077" s="1795"/>
      <c r="H1077" s="1795"/>
      <c r="I1077" s="1795"/>
      <c r="J1077" s="1795"/>
      <c r="K1077" s="1795"/>
      <c r="L1077" s="1795"/>
      <c r="M1077" s="1795"/>
      <c r="N1077" s="1795"/>
      <c r="O1077" s="1795"/>
      <c r="P1077" s="1795"/>
      <c r="Q1077" s="1692"/>
    </row>
    <row r="1078" spans="1:17">
      <c r="A1078" s="1681">
        <v>4</v>
      </c>
      <c r="B1078" s="1681" t="s">
        <v>2758</v>
      </c>
      <c r="C1078" s="1823"/>
      <c r="D1078" s="1795"/>
      <c r="E1078" s="1795"/>
      <c r="F1078" s="1795"/>
      <c r="G1078" s="1795"/>
      <c r="H1078" s="1795"/>
      <c r="I1078" s="1795"/>
      <c r="J1078" s="1795"/>
      <c r="K1078" s="1795"/>
      <c r="L1078" s="1795"/>
      <c r="M1078" s="1795"/>
      <c r="O1078" s="1788" t="s">
        <v>1948</v>
      </c>
      <c r="P1078" s="1700">
        <f>'Part VIII-Threshold Criteria'!P79</f>
        <v>0</v>
      </c>
      <c r="Q1078" s="1700"/>
    </row>
    <row r="1080" spans="1:17">
      <c r="B1080" s="1826" t="s">
        <v>2068</v>
      </c>
      <c r="C1080" s="1815" t="s">
        <v>4524</v>
      </c>
      <c r="D1080" s="1815"/>
      <c r="E1080" s="1815"/>
      <c r="F1080" s="1815"/>
      <c r="G1080" s="1815"/>
      <c r="H1080" s="1815"/>
      <c r="I1080" s="1815"/>
      <c r="J1080" s="1827" t="s">
        <v>4525</v>
      </c>
      <c r="K1080" s="1815"/>
      <c r="L1080" s="1815"/>
      <c r="M1080" s="1815"/>
      <c r="O1080" s="1792"/>
      <c r="P1080" s="1790" t="str">
        <f>'Part VIII-Threshold Criteria'!P81</f>
        <v>Agree</v>
      </c>
    </row>
    <row r="1081" spans="1:17">
      <c r="B1081" s="1823" t="s">
        <v>2071</v>
      </c>
      <c r="C1081" s="1728" t="s">
        <v>4128</v>
      </c>
      <c r="D1081" s="1728"/>
      <c r="E1081" s="1728"/>
      <c r="F1081" s="1728"/>
      <c r="G1081" s="1728"/>
      <c r="H1081" s="1728"/>
      <c r="I1081" s="1728"/>
      <c r="J1081" s="1728"/>
      <c r="K1081" s="1728"/>
      <c r="L1081" s="1728"/>
      <c r="M1081" s="1728"/>
      <c r="O1081" s="1728"/>
      <c r="P1081" s="1728"/>
      <c r="Q1081" s="1728"/>
    </row>
    <row r="1082" spans="1:17" ht="90">
      <c r="A1082" s="1828"/>
      <c r="B1082" s="1765" t="s">
        <v>1813</v>
      </c>
      <c r="C1082" s="1728" t="s">
        <v>3974</v>
      </c>
      <c r="E1082" s="1723"/>
      <c r="F1082" s="1723"/>
      <c r="G1082" s="1723"/>
      <c r="H1082" s="518"/>
      <c r="I1082" s="519" t="s">
        <v>2833</v>
      </c>
      <c r="J1082" s="1829" t="str">
        <f>'Part VIII-Threshold Criteria'!J83</f>
        <v>Birthday parties, holiday theme parties, resident forums, etc.</v>
      </c>
      <c r="K1082" s="1829"/>
      <c r="L1082" s="1829"/>
      <c r="M1082" s="1829"/>
      <c r="N1082" s="1829"/>
      <c r="O1082" s="1829"/>
      <c r="P1082" s="1829"/>
      <c r="Q1082" s="1829"/>
    </row>
    <row r="1083" spans="1:17" ht="112.5">
      <c r="A1083" s="1828"/>
      <c r="B1083" s="1765" t="s">
        <v>1814</v>
      </c>
      <c r="C1083" s="1728" t="s">
        <v>4126</v>
      </c>
      <c r="E1083" s="1723"/>
      <c r="F1083" s="1723"/>
      <c r="G1083" s="1723"/>
      <c r="H1083" s="518"/>
      <c r="I1083" s="519" t="s">
        <v>2833</v>
      </c>
      <c r="J1083" s="1829" t="str">
        <f>'Part VIII-Threshold Criteria'!J84</f>
        <v>Computer classes, health education classes, and money management classes.</v>
      </c>
      <c r="K1083" s="1829"/>
      <c r="L1083" s="1829"/>
      <c r="M1083" s="1829"/>
      <c r="N1083" s="1829"/>
      <c r="O1083" s="1829"/>
      <c r="P1083" s="1829"/>
      <c r="Q1083" s="1829"/>
    </row>
    <row r="1084" spans="1:17">
      <c r="A1084" s="1828"/>
      <c r="B1084" s="1765" t="s">
        <v>1815</v>
      </c>
      <c r="C1084" s="1728" t="s">
        <v>4127</v>
      </c>
      <c r="E1084" s="1723"/>
      <c r="F1084" s="1723"/>
      <c r="G1084" s="1723"/>
      <c r="H1084" s="518"/>
      <c r="I1084" s="519" t="s">
        <v>2833</v>
      </c>
      <c r="J1084" s="1829">
        <f>'Part VIII-Threshold Criteria'!J85</f>
        <v>0</v>
      </c>
      <c r="K1084" s="1829"/>
      <c r="L1084" s="1829"/>
      <c r="M1084" s="1829"/>
      <c r="N1084" s="1829"/>
      <c r="O1084" s="1829"/>
      <c r="P1084" s="1829"/>
      <c r="Q1084" s="1829"/>
    </row>
    <row r="1085" spans="1:17">
      <c r="A1085" s="1828"/>
      <c r="B1085" s="1765" t="s">
        <v>2459</v>
      </c>
      <c r="C1085" s="1728" t="s">
        <v>3702</v>
      </c>
      <c r="E1085" s="1723"/>
      <c r="I1085" s="519" t="s">
        <v>2833</v>
      </c>
      <c r="J1085" s="1829">
        <f>'Part VIII-Threshold Criteria'!J86</f>
        <v>0</v>
      </c>
      <c r="K1085" s="1829"/>
      <c r="L1085" s="1829"/>
      <c r="M1085" s="1829"/>
      <c r="N1085" s="1829"/>
      <c r="O1085" s="1829"/>
      <c r="P1085" s="1829"/>
      <c r="Q1085" s="1829"/>
    </row>
    <row r="1086" spans="1:17">
      <c r="A1086" s="1828"/>
      <c r="B1086" s="1823" t="s">
        <v>786</v>
      </c>
      <c r="C1086" s="1728" t="s">
        <v>4094</v>
      </c>
      <c r="D1086" s="1728"/>
      <c r="E1086" s="1723"/>
      <c r="J1086" s="519"/>
      <c r="K1086" s="519"/>
      <c r="L1086" s="519"/>
      <c r="M1086" s="519"/>
      <c r="N1086" s="519"/>
      <c r="O1086" s="519"/>
      <c r="P1086" s="519"/>
      <c r="Q1086" s="519"/>
    </row>
    <row r="1087" spans="1:17">
      <c r="A1087" s="1828"/>
      <c r="B1087" s="1791"/>
      <c r="C1087" s="502" t="s">
        <v>4129</v>
      </c>
      <c r="D1087" s="1757"/>
      <c r="E1087" s="1757"/>
      <c r="F1087" s="1757"/>
      <c r="G1087" s="1757"/>
      <c r="H1087" s="1757"/>
      <c r="I1087" s="518"/>
      <c r="J1087" s="518"/>
      <c r="K1087" s="1765" t="s">
        <v>786</v>
      </c>
      <c r="L1087" s="1786">
        <f>'Part VIII-Threshold Criteria'!L88</f>
        <v>0</v>
      </c>
      <c r="M1087" s="1786"/>
      <c r="N1087" s="1786"/>
      <c r="O1087" s="1786"/>
      <c r="P1087" s="1786"/>
      <c r="Q1087" s="1790">
        <f>'Part VIII-Threshold Criteria'!Q88</f>
        <v>0</v>
      </c>
    </row>
    <row r="1088" spans="1:17">
      <c r="B1088" s="1729" t="s">
        <v>1946</v>
      </c>
      <c r="D1088" s="1729"/>
      <c r="E1088" s="1729"/>
      <c r="F1088" s="1729"/>
      <c r="G1088" s="1729"/>
      <c r="H1088" s="1728"/>
      <c r="I1088" s="1787"/>
      <c r="J1088" s="1787"/>
      <c r="K1088" s="1793" t="s">
        <v>1947</v>
      </c>
      <c r="L1088" s="1692"/>
      <c r="M1088" s="1692"/>
      <c r="N1088" s="1692"/>
      <c r="O1088" s="1692"/>
      <c r="P1088" s="1692"/>
      <c r="Q1088" s="1692"/>
    </row>
    <row r="1089" spans="1:17" ht="168.75">
      <c r="A1089" s="1792" t="str">
        <f>'Part VIII-Threshold Criteria'!A90</f>
        <v>LEDIC Management will identify the needs of the community and provide social and recreational programming as well as semi-monthly classes.</v>
      </c>
      <c r="B1089" s="1792"/>
      <c r="C1089" s="1792"/>
      <c r="D1089" s="1792"/>
      <c r="E1089" s="1792"/>
      <c r="F1089" s="1792"/>
      <c r="G1089" s="1792"/>
      <c r="H1089" s="1792"/>
      <c r="I1089" s="1792"/>
      <c r="J1089" s="1792"/>
      <c r="K1089" s="1792">
        <f>'Part VIII-Threshold Criteria'!K90</f>
        <v>0</v>
      </c>
      <c r="L1089" s="1792"/>
      <c r="M1089" s="1792"/>
      <c r="N1089" s="1792"/>
      <c r="O1089" s="1792"/>
      <c r="P1089" s="1792"/>
      <c r="Q1089" s="1792"/>
    </row>
    <row r="1090" spans="1:17">
      <c r="A1090" s="1692"/>
      <c r="B1090" s="1787"/>
      <c r="C1090" s="1795"/>
      <c r="D1090" s="1795"/>
      <c r="E1090" s="1795"/>
      <c r="F1090" s="1795"/>
      <c r="G1090" s="1795"/>
      <c r="H1090" s="1795"/>
      <c r="I1090" s="1795"/>
      <c r="J1090" s="1795"/>
      <c r="K1090" s="1795"/>
      <c r="L1090" s="1795"/>
      <c r="M1090" s="1795"/>
      <c r="N1090" s="1795"/>
      <c r="O1090" s="1795"/>
      <c r="P1090" s="1795"/>
      <c r="Q1090" s="1692"/>
    </row>
    <row r="1091" spans="1:17">
      <c r="A1091" s="1681">
        <v>5</v>
      </c>
      <c r="B1091" s="1681" t="s">
        <v>2759</v>
      </c>
      <c r="C1091" s="1681"/>
      <c r="D1091" s="1795"/>
      <c r="E1091" s="1795"/>
      <c r="F1091" s="1795"/>
      <c r="G1091" s="1795"/>
      <c r="H1091" s="1795"/>
      <c r="I1091" s="1795"/>
      <c r="J1091" s="1795"/>
      <c r="K1091" s="1795"/>
      <c r="O1091" s="1788" t="s">
        <v>1948</v>
      </c>
      <c r="P1091" s="1700">
        <f>'Part VIII-Threshold Criteria'!P92</f>
        <v>0</v>
      </c>
      <c r="Q1091" s="1700"/>
    </row>
    <row r="1093" spans="1:17">
      <c r="B1093" s="1791" t="s">
        <v>2068</v>
      </c>
      <c r="C1093" s="502" t="s">
        <v>2557</v>
      </c>
      <c r="D1093" s="1757"/>
      <c r="E1093" s="1757"/>
      <c r="F1093" s="1757"/>
      <c r="G1093" s="1757"/>
      <c r="H1093" s="1757"/>
      <c r="I1093" s="518"/>
      <c r="J1093" s="518"/>
      <c r="K1093" s="518"/>
      <c r="L1093" s="1765" t="s">
        <v>2068</v>
      </c>
      <c r="M1093" s="1786" t="str">
        <f>'Part VIII-Threshold Criteria'!M94</f>
        <v>Real Property Research Group</v>
      </c>
      <c r="N1093" s="1786"/>
      <c r="O1093" s="1786"/>
      <c r="P1093" s="518"/>
      <c r="Q1093" s="1790">
        <f>'Part VIII-Threshold Criteria'!Q94</f>
        <v>0</v>
      </c>
    </row>
    <row r="1094" spans="1:17">
      <c r="B1094" s="1791" t="s">
        <v>2071</v>
      </c>
      <c r="C1094" s="519" t="s">
        <v>2123</v>
      </c>
      <c r="D1094" s="1757"/>
      <c r="E1094" s="1757"/>
      <c r="F1094" s="1757"/>
      <c r="L1094" s="1765" t="s">
        <v>2071</v>
      </c>
      <c r="M1094" s="1786" t="str">
        <f>'Part VIII-Threshold Criteria'!M95</f>
        <v>6-7 months</v>
      </c>
      <c r="N1094" s="1786"/>
      <c r="O1094" s="1786"/>
      <c r="P1094" s="518"/>
      <c r="Q1094" s="1790">
        <f>'Part VIII-Threshold Criteria'!Q95</f>
        <v>0</v>
      </c>
    </row>
    <row r="1095" spans="1:17">
      <c r="B1095" s="1791" t="s">
        <v>786</v>
      </c>
      <c r="C1095" s="519" t="s">
        <v>3157</v>
      </c>
      <c r="D1095" s="1757"/>
      <c r="E1095" s="1757"/>
      <c r="F1095" s="1757"/>
      <c r="L1095" s="1765" t="s">
        <v>786</v>
      </c>
      <c r="M1095" s="1830">
        <f>'Part VIII-Threshold Criteria'!M96</f>
        <v>0.98399999999999999</v>
      </c>
      <c r="N1095" s="1830"/>
      <c r="O1095" s="1830"/>
      <c r="P1095" s="1831"/>
      <c r="Q1095" s="1790">
        <f>'Part VIII-Threshold Criteria'!Q96</f>
        <v>0</v>
      </c>
    </row>
    <row r="1096" spans="1:17">
      <c r="B1096" s="1791" t="s">
        <v>2203</v>
      </c>
      <c r="C1096" s="519" t="s">
        <v>4302</v>
      </c>
      <c r="D1096" s="1757"/>
      <c r="E1096" s="1757"/>
      <c r="F1096" s="1757"/>
      <c r="L1096" s="1765" t="s">
        <v>2203</v>
      </c>
      <c r="M1096" s="1830">
        <f>'Part VIII-Threshold Criteria'!M97</f>
        <v>5.8000000000000003E-2</v>
      </c>
      <c r="N1096" s="1830"/>
      <c r="O1096" s="1830"/>
      <c r="P1096" s="1831"/>
      <c r="Q1096" s="1790">
        <f>'Part VIII-Threshold Criteria'!Q97</f>
        <v>0</v>
      </c>
    </row>
    <row r="1097" spans="1:17" ht="12.75" customHeight="1">
      <c r="B1097" s="1789" t="s">
        <v>1811</v>
      </c>
      <c r="C1097" s="1792" t="s">
        <v>3868</v>
      </c>
      <c r="D1097" s="1792"/>
      <c r="E1097" s="1792"/>
      <c r="F1097" s="1792"/>
      <c r="G1097" s="1792"/>
      <c r="H1097" s="1792"/>
      <c r="I1097" s="1792"/>
      <c r="J1097" s="1792"/>
      <c r="K1097" s="1792"/>
      <c r="L1097" s="1792"/>
      <c r="M1097" s="1792"/>
      <c r="N1097" s="1792"/>
      <c r="O1097" s="1792"/>
      <c r="P1097" s="1792"/>
      <c r="Q1097" s="1792"/>
    </row>
    <row r="1098" spans="1:17">
      <c r="B1098" s="1791"/>
      <c r="C1098" s="519"/>
      <c r="D1098" s="1787" t="s">
        <v>2474</v>
      </c>
      <c r="E1098" s="1728" t="s">
        <v>647</v>
      </c>
      <c r="F1098" s="1728"/>
      <c r="H1098" s="519"/>
      <c r="I1098" s="1787" t="s">
        <v>2474</v>
      </c>
      <c r="J1098" s="1728" t="s">
        <v>647</v>
      </c>
      <c r="K1098" s="1728"/>
      <c r="M1098" s="519"/>
      <c r="N1098" s="1787" t="s">
        <v>2474</v>
      </c>
      <c r="O1098" s="1728" t="s">
        <v>647</v>
      </c>
      <c r="P1098" s="1728"/>
      <c r="Q1098" s="1765"/>
    </row>
    <row r="1099" spans="1:17">
      <c r="B1099" s="1791"/>
      <c r="C1099" s="519">
        <v>1</v>
      </c>
      <c r="D1099" s="1790" t="str">
        <f>'Part VIII-Threshold Criteria'!D100</f>
        <v>2013-051</v>
      </c>
      <c r="E1099" s="1786" t="str">
        <f>'Part VIII-Threshold Criteria'!E100</f>
        <v>Boynton Village</v>
      </c>
      <c r="F1099" s="1786"/>
      <c r="G1099" s="1786"/>
      <c r="H1099" s="519">
        <v>3</v>
      </c>
      <c r="I1099" s="1790">
        <f>'Part VIII-Threshold Criteria'!I100</f>
        <v>0</v>
      </c>
      <c r="J1099" s="1786">
        <f>'Part VIII-Threshold Criteria'!J100</f>
        <v>0</v>
      </c>
      <c r="K1099" s="1786"/>
      <c r="L1099" s="1786"/>
      <c r="M1099" s="519">
        <v>5</v>
      </c>
      <c r="N1099" s="1790">
        <f>'Part VIII-Threshold Criteria'!N100</f>
        <v>0</v>
      </c>
      <c r="O1099" s="1786">
        <f>'Part VIII-Threshold Criteria'!O100</f>
        <v>0</v>
      </c>
      <c r="P1099" s="1786"/>
      <c r="Q1099" s="1786"/>
    </row>
    <row r="1100" spans="1:17">
      <c r="B1100" s="1791"/>
      <c r="C1100" s="519">
        <v>2</v>
      </c>
      <c r="D1100" s="1790" t="str">
        <f>'Part VIII-Threshold Criteria'!D101</f>
        <v>2013-053</v>
      </c>
      <c r="E1100" s="1786" t="str">
        <f>'Part VIII-Threshold Criteria'!E101</f>
        <v>Centennial Place 1</v>
      </c>
      <c r="F1100" s="1786"/>
      <c r="G1100" s="1786"/>
      <c r="H1100" s="519">
        <v>4</v>
      </c>
      <c r="I1100" s="1790">
        <f>'Part VIII-Threshold Criteria'!I101</f>
        <v>0</v>
      </c>
      <c r="J1100" s="1786">
        <f>'Part VIII-Threshold Criteria'!J101</f>
        <v>0</v>
      </c>
      <c r="K1100" s="1786"/>
      <c r="L1100" s="1786"/>
      <c r="M1100" s="519">
        <v>6</v>
      </c>
      <c r="N1100" s="1790">
        <f>'Part VIII-Threshold Criteria'!N101</f>
        <v>0</v>
      </c>
      <c r="O1100" s="1786">
        <f>'Part VIII-Threshold Criteria'!O101</f>
        <v>0</v>
      </c>
      <c r="P1100" s="1786"/>
      <c r="Q1100" s="1786"/>
    </row>
    <row r="1101" spans="1:17">
      <c r="B1101" s="1791" t="s">
        <v>1812</v>
      </c>
      <c r="C1101" s="519" t="s">
        <v>0</v>
      </c>
      <c r="D1101" s="1757"/>
      <c r="E1101" s="1757"/>
      <c r="F1101" s="1757"/>
      <c r="G1101" s="1757"/>
      <c r="H1101" s="1757"/>
      <c r="I1101" s="518"/>
      <c r="J1101" s="518"/>
      <c r="K1101" s="1757"/>
      <c r="L1101" s="1723"/>
      <c r="M1101" s="1723"/>
      <c r="O1101" s="1765" t="s">
        <v>1812</v>
      </c>
      <c r="P1101" s="1790" t="str">
        <f>'Part VIII-Threshold Criteria'!P102</f>
        <v>Yes</v>
      </c>
      <c r="Q1101" s="1790">
        <f>'Part VIII-Threshold Criteria'!Q102</f>
        <v>0</v>
      </c>
    </row>
    <row r="1102" spans="1:17">
      <c r="B1102" s="1729" t="s">
        <v>1946</v>
      </c>
      <c r="D1102" s="1729"/>
      <c r="E1102" s="1729"/>
      <c r="F1102" s="1729"/>
      <c r="G1102" s="1729"/>
      <c r="H1102" s="1728"/>
      <c r="I1102" s="1787"/>
      <c r="J1102" s="1787"/>
      <c r="K1102" s="1787"/>
      <c r="L1102" s="1692"/>
      <c r="M1102" s="1692"/>
      <c r="N1102" s="1692"/>
      <c r="O1102" s="1692"/>
      <c r="P1102" s="1692"/>
      <c r="Q1102" s="1692"/>
    </row>
    <row r="1103" spans="1:17" ht="45">
      <c r="A1103" s="1792" t="str">
        <f>'Part VIII-Threshold Criteria'!A104</f>
        <v>LIHTC current occupancy is 98.4%.</v>
      </c>
      <c r="B1103" s="1792"/>
      <c r="C1103" s="1792"/>
      <c r="D1103" s="1792"/>
      <c r="E1103" s="1792"/>
      <c r="F1103" s="1792"/>
      <c r="G1103" s="1792"/>
      <c r="H1103" s="1792"/>
      <c r="I1103" s="1792"/>
      <c r="J1103" s="1792"/>
      <c r="K1103" s="1792"/>
      <c r="L1103" s="1792"/>
      <c r="M1103" s="1792"/>
      <c r="N1103" s="1792"/>
      <c r="O1103" s="1792"/>
      <c r="P1103" s="1792"/>
      <c r="Q1103" s="1792"/>
    </row>
    <row r="1104" spans="1:17">
      <c r="B1104" s="1793" t="s">
        <v>1947</v>
      </c>
      <c r="C1104" s="1794"/>
      <c r="D1104" s="1795"/>
      <c r="E1104" s="1795"/>
      <c r="F1104" s="1795"/>
      <c r="G1104" s="1795"/>
      <c r="H1104" s="1795"/>
      <c r="I1104" s="1795"/>
      <c r="J1104" s="1795"/>
      <c r="K1104" s="1795"/>
      <c r="L1104" s="1795"/>
      <c r="M1104" s="1795"/>
      <c r="N1104" s="1795"/>
      <c r="O1104" s="1795"/>
      <c r="P1104" s="1795"/>
    </row>
    <row r="1105" spans="1:17">
      <c r="A1105" s="1792">
        <f>'Part VIII-Threshold Criteria'!A106</f>
        <v>0</v>
      </c>
      <c r="B1105" s="1792"/>
      <c r="C1105" s="1792"/>
      <c r="D1105" s="1792"/>
      <c r="E1105" s="1792"/>
      <c r="F1105" s="1792"/>
      <c r="G1105" s="1792"/>
      <c r="H1105" s="1792"/>
      <c r="I1105" s="1792"/>
      <c r="J1105" s="1792"/>
      <c r="K1105" s="1792"/>
      <c r="L1105" s="1792"/>
      <c r="M1105" s="1792"/>
      <c r="N1105" s="1792"/>
      <c r="O1105" s="1792"/>
      <c r="P1105" s="1792"/>
      <c r="Q1105" s="1792"/>
    </row>
    <row r="1106" spans="1:17">
      <c r="A1106" s="1681">
        <v>6</v>
      </c>
      <c r="B1106" s="1681" t="s">
        <v>2760</v>
      </c>
      <c r="C1106" s="1681"/>
      <c r="D1106" s="1795"/>
      <c r="E1106" s="1795"/>
      <c r="F1106" s="1795"/>
      <c r="G1106" s="1795"/>
      <c r="H1106" s="1795"/>
      <c r="I1106" s="1795"/>
      <c r="J1106" s="1795"/>
      <c r="K1106" s="1795"/>
      <c r="L1106" s="1795"/>
      <c r="M1106" s="1795"/>
      <c r="O1106" s="1788" t="s">
        <v>1948</v>
      </c>
      <c r="P1106" s="1700">
        <f>'Part VIII-Threshold Criteria'!P107</f>
        <v>0</v>
      </c>
      <c r="Q1106" s="1700"/>
    </row>
    <row r="1108" spans="1:17">
      <c r="B1108" s="1791" t="s">
        <v>2068</v>
      </c>
      <c r="C1108" s="519" t="s">
        <v>517</v>
      </c>
      <c r="D1108" s="519"/>
      <c r="E1108" s="519"/>
      <c r="F1108" s="519"/>
      <c r="G1108" s="519"/>
      <c r="H1108" s="519"/>
      <c r="I1108" s="519"/>
      <c r="J1108" s="519"/>
      <c r="K1108" s="519"/>
      <c r="L1108" s="519"/>
      <c r="M1108" s="519"/>
      <c r="O1108" s="1765" t="s">
        <v>2068</v>
      </c>
      <c r="P1108" s="1790" t="str">
        <f>'Part VIII-Threshold Criteria'!P109</f>
        <v>No</v>
      </c>
      <c r="Q1108" s="1790">
        <f>'Part VIII-Threshold Criteria'!Q109</f>
        <v>0</v>
      </c>
    </row>
    <row r="1109" spans="1:17">
      <c r="B1109" s="1791" t="s">
        <v>2071</v>
      </c>
      <c r="C1109" s="519" t="s">
        <v>1360</v>
      </c>
      <c r="D1109" s="519"/>
      <c r="E1109" s="519"/>
      <c r="F1109" s="519"/>
      <c r="G1109" s="519"/>
      <c r="H1109" s="519"/>
      <c r="I1109" s="519"/>
      <c r="J1109" s="519"/>
      <c r="K1109" s="519"/>
      <c r="L1109" s="1728"/>
      <c r="M1109" s="1728"/>
      <c r="O1109" s="1765" t="s">
        <v>2071</v>
      </c>
      <c r="P1109" s="1790" t="str">
        <f>'Part VIII-Threshold Criteria'!P110</f>
        <v>No</v>
      </c>
      <c r="Q1109" s="1790">
        <f>'Part VIII-Threshold Criteria'!Q110</f>
        <v>0</v>
      </c>
    </row>
    <row r="1110" spans="1:17">
      <c r="A1110" s="1832"/>
      <c r="B1110" s="519"/>
      <c r="D1110" s="519" t="s">
        <v>579</v>
      </c>
      <c r="E1110" s="518"/>
      <c r="F1110" s="518"/>
      <c r="G1110" s="518"/>
      <c r="H1110" s="518"/>
      <c r="I1110" s="518"/>
      <c r="L1110" s="1765" t="s">
        <v>580</v>
      </c>
      <c r="M1110" s="1786">
        <f>'Part VIII-Threshold Criteria'!M111</f>
        <v>0</v>
      </c>
      <c r="N1110" s="1786"/>
      <c r="O1110" s="1786"/>
      <c r="P1110" s="518"/>
      <c r="Q1110" s="1790">
        <f>'Part VIII-Threshold Criteria'!Q111</f>
        <v>0</v>
      </c>
    </row>
    <row r="1111" spans="1:17" ht="12.75" customHeight="1">
      <c r="A1111" s="1828"/>
      <c r="B1111" s="1787"/>
      <c r="C1111" s="1833" t="s">
        <v>1813</v>
      </c>
      <c r="D1111" s="1757" t="s">
        <v>3941</v>
      </c>
      <c r="E1111" s="1517"/>
      <c r="F1111" s="1517"/>
      <c r="G1111" s="1517"/>
      <c r="H1111" s="1517"/>
      <c r="I1111" s="1517"/>
      <c r="J1111" s="1517"/>
      <c r="K1111" s="1517"/>
      <c r="L1111" s="1517"/>
      <c r="M1111" s="1517"/>
      <c r="N1111" s="1517"/>
      <c r="O1111" s="1833" t="s">
        <v>1813</v>
      </c>
      <c r="P1111" s="1790">
        <f>'Part VIII-Threshold Criteria'!P112</f>
        <v>0</v>
      </c>
      <c r="Q1111" s="1790">
        <f>'Part VIII-Threshold Criteria'!Q112</f>
        <v>0</v>
      </c>
    </row>
    <row r="1112" spans="1:17" ht="12.75" customHeight="1">
      <c r="A1112" s="1828"/>
      <c r="B1112" s="1787"/>
      <c r="C1112" s="1765" t="s">
        <v>1814</v>
      </c>
      <c r="D1112" s="1757" t="s">
        <v>3942</v>
      </c>
      <c r="E1112" s="1517"/>
      <c r="F1112" s="1517"/>
      <c r="G1112" s="1517"/>
      <c r="H1112" s="1517"/>
      <c r="I1112" s="1517"/>
      <c r="J1112" s="1517"/>
      <c r="K1112" s="1517"/>
      <c r="L1112" s="1517"/>
      <c r="M1112" s="1517"/>
      <c r="N1112" s="1517"/>
      <c r="O1112" s="1765" t="s">
        <v>1814</v>
      </c>
      <c r="P1112" s="1790">
        <f>'Part VIII-Threshold Criteria'!P113</f>
        <v>0</v>
      </c>
      <c r="Q1112" s="1790">
        <f>'Part VIII-Threshold Criteria'!Q113</f>
        <v>0</v>
      </c>
    </row>
    <row r="1113" spans="1:17">
      <c r="A1113" s="1828"/>
      <c r="B1113" s="1787"/>
      <c r="C1113" s="1833" t="s">
        <v>1815</v>
      </c>
      <c r="D1113" s="519" t="s">
        <v>3158</v>
      </c>
      <c r="E1113" s="519"/>
      <c r="F1113" s="519"/>
      <c r="G1113" s="519"/>
      <c r="H1113" s="519"/>
      <c r="I1113" s="519"/>
      <c r="J1113" s="519"/>
      <c r="K1113" s="519"/>
      <c r="L1113" s="519"/>
      <c r="M1113" s="519"/>
      <c r="O1113" s="1833" t="s">
        <v>1815</v>
      </c>
      <c r="P1113" s="1790">
        <f>'Part VIII-Threshold Criteria'!P114</f>
        <v>0</v>
      </c>
      <c r="Q1113" s="1790">
        <f>'Part VIII-Threshold Criteria'!Q114</f>
        <v>0</v>
      </c>
    </row>
    <row r="1114" spans="1:17" ht="12.75" customHeight="1">
      <c r="A1114" s="1828"/>
      <c r="B1114" s="1834"/>
      <c r="C1114" s="1833" t="s">
        <v>2459</v>
      </c>
      <c r="D1114" s="1792" t="s">
        <v>2803</v>
      </c>
      <c r="E1114" s="1792"/>
      <c r="F1114" s="1792"/>
      <c r="G1114" s="1792"/>
      <c r="H1114" s="1792"/>
      <c r="I1114" s="1792"/>
      <c r="J1114" s="1792"/>
      <c r="K1114" s="1792"/>
      <c r="L1114" s="1792"/>
      <c r="M1114" s="1792"/>
      <c r="N1114" s="1792"/>
      <c r="O1114" s="1833" t="s">
        <v>2459</v>
      </c>
      <c r="P1114" s="1790">
        <f>'Part VIII-Threshold Criteria'!P115</f>
        <v>0</v>
      </c>
      <c r="Q1114" s="1790">
        <f>'Part VIII-Threshold Criteria'!Q115</f>
        <v>0</v>
      </c>
    </row>
    <row r="1115" spans="1:17">
      <c r="B1115" s="1791" t="s">
        <v>786</v>
      </c>
      <c r="C1115" s="519" t="s">
        <v>148</v>
      </c>
      <c r="D1115" s="519"/>
      <c r="E1115" s="519"/>
      <c r="F1115" s="519"/>
      <c r="G1115" s="519"/>
      <c r="H1115" s="519"/>
      <c r="I1115" s="519"/>
      <c r="J1115" s="519"/>
      <c r="K1115" s="519"/>
      <c r="L1115" s="519"/>
      <c r="M1115" s="519"/>
      <c r="O1115" s="1765" t="s">
        <v>786</v>
      </c>
      <c r="P1115" s="1790">
        <f>'Part VIII-Threshold Criteria'!P116</f>
        <v>0</v>
      </c>
      <c r="Q1115" s="1790">
        <f>'Part VIII-Threshold Criteria'!Q116</f>
        <v>0</v>
      </c>
    </row>
    <row r="1116" spans="1:17">
      <c r="B1116" s="1791" t="s">
        <v>2203</v>
      </c>
      <c r="C1116" s="519" t="s">
        <v>1490</v>
      </c>
      <c r="D1116" s="519"/>
      <c r="E1116" s="519"/>
      <c r="G1116" s="519"/>
      <c r="I1116" s="519"/>
      <c r="K1116" s="519"/>
      <c r="L1116" s="1728"/>
      <c r="M1116" s="1728"/>
      <c r="N1116" s="1728"/>
      <c r="O1116" s="1728"/>
      <c r="P1116" s="1728"/>
      <c r="Q1116" s="1728"/>
    </row>
    <row r="1117" spans="1:17">
      <c r="B1117" s="1791"/>
      <c r="C1117" s="1765" t="s">
        <v>1813</v>
      </c>
      <c r="D1117" s="519" t="s">
        <v>1491</v>
      </c>
      <c r="E1117" s="519"/>
      <c r="F1117" s="519"/>
      <c r="G1117" s="519"/>
      <c r="H1117" s="519"/>
      <c r="I1117" s="519"/>
      <c r="J1117" s="519"/>
      <c r="K1117" s="519"/>
      <c r="L1117" s="1728"/>
      <c r="M1117" s="1728"/>
      <c r="O1117" s="1765" t="s">
        <v>1813</v>
      </c>
      <c r="P1117" s="1790" t="str">
        <f>'Part VIII-Threshold Criteria'!P118</f>
        <v>No</v>
      </c>
      <c r="Q1117" s="1790">
        <f>'Part VIII-Threshold Criteria'!Q118</f>
        <v>0</v>
      </c>
    </row>
    <row r="1118" spans="1:17">
      <c r="B1118" s="1791"/>
      <c r="C1118" s="1765" t="s">
        <v>1814</v>
      </c>
      <c r="D1118" s="519" t="s">
        <v>1492</v>
      </c>
      <c r="E1118" s="519"/>
      <c r="F1118" s="519"/>
      <c r="G1118" s="519"/>
      <c r="H1118" s="519"/>
      <c r="I1118" s="519"/>
      <c r="J1118" s="519"/>
      <c r="K1118" s="519"/>
      <c r="L1118" s="1728"/>
      <c r="M1118" s="1728"/>
      <c r="O1118" s="1765" t="s">
        <v>1814</v>
      </c>
      <c r="P1118" s="1790" t="str">
        <f>'Part VIII-Threshold Criteria'!P119</f>
        <v>No</v>
      </c>
      <c r="Q1118" s="1790">
        <f>'Part VIII-Threshold Criteria'!Q119</f>
        <v>0</v>
      </c>
    </row>
    <row r="1119" spans="1:17">
      <c r="B1119" s="1791"/>
      <c r="C1119" s="1765" t="s">
        <v>1815</v>
      </c>
      <c r="D1119" s="519" t="s">
        <v>1493</v>
      </c>
      <c r="E1119" s="519"/>
      <c r="F1119" s="519"/>
      <c r="G1119" s="519"/>
      <c r="H1119" s="519"/>
      <c r="I1119" s="519"/>
      <c r="J1119" s="519"/>
      <c r="K1119" s="519"/>
      <c r="L1119" s="1728"/>
      <c r="M1119" s="1728"/>
      <c r="O1119" s="1765" t="s">
        <v>1815</v>
      </c>
      <c r="P1119" s="1790" t="str">
        <f>'Part VIII-Threshold Criteria'!P120</f>
        <v>No</v>
      </c>
      <c r="Q1119" s="1790">
        <f>'Part VIII-Threshold Criteria'!Q120</f>
        <v>0</v>
      </c>
    </row>
    <row r="1120" spans="1:17">
      <c r="B1120" s="1729" t="s">
        <v>1946</v>
      </c>
      <c r="D1120" s="1729"/>
      <c r="E1120" s="1729"/>
      <c r="F1120" s="1729"/>
      <c r="G1120" s="1729"/>
      <c r="H1120" s="1728"/>
      <c r="I1120" s="1787"/>
      <c r="J1120" s="1787"/>
      <c r="K1120" s="1787"/>
      <c r="L1120" s="1692"/>
      <c r="M1120" s="1692"/>
      <c r="N1120" s="1692"/>
      <c r="O1120" s="1692"/>
      <c r="P1120" s="1692"/>
      <c r="Q1120" s="1692"/>
    </row>
    <row r="1121" spans="1:17" ht="112.5">
      <c r="A1121" s="1792" t="str">
        <f>'Part VIII-Threshold Criteria'!A122</f>
        <v>No appraisal is required.  There is not an identity of interest between the buyer and the seller.</v>
      </c>
      <c r="B1121" s="1792"/>
      <c r="C1121" s="1792"/>
      <c r="D1121" s="1792"/>
      <c r="E1121" s="1792"/>
      <c r="F1121" s="1792"/>
      <c r="G1121" s="1792"/>
      <c r="H1121" s="1792"/>
      <c r="I1121" s="1792"/>
      <c r="J1121" s="1792"/>
      <c r="K1121" s="1792"/>
      <c r="L1121" s="1792"/>
      <c r="M1121" s="1792"/>
      <c r="N1121" s="1792"/>
      <c r="O1121" s="1792"/>
      <c r="P1121" s="1792"/>
      <c r="Q1121" s="1792"/>
    </row>
    <row r="1122" spans="1:17">
      <c r="B1122" s="1793" t="s">
        <v>1947</v>
      </c>
      <c r="C1122" s="1794"/>
      <c r="D1122" s="1795"/>
      <c r="E1122" s="1795"/>
      <c r="F1122" s="1795"/>
      <c r="G1122" s="1795"/>
      <c r="H1122" s="1795"/>
      <c r="I1122" s="1795"/>
      <c r="J1122" s="1795"/>
      <c r="K1122" s="1795"/>
      <c r="L1122" s="1795"/>
      <c r="M1122" s="1795"/>
      <c r="N1122" s="1795"/>
      <c r="O1122" s="1795"/>
      <c r="P1122" s="1795"/>
    </row>
    <row r="1123" spans="1:17">
      <c r="A1123" s="1792">
        <f>'Part VIII-Threshold Criteria'!A124</f>
        <v>0</v>
      </c>
      <c r="B1123" s="1792"/>
      <c r="C1123" s="1792"/>
      <c r="D1123" s="1792"/>
      <c r="E1123" s="1792"/>
      <c r="F1123" s="1792"/>
      <c r="G1123" s="1792"/>
      <c r="H1123" s="1792"/>
      <c r="I1123" s="1792"/>
      <c r="J1123" s="1792"/>
      <c r="K1123" s="1792"/>
      <c r="L1123" s="1792"/>
      <c r="M1123" s="1792"/>
      <c r="N1123" s="1792"/>
      <c r="O1123" s="1792"/>
      <c r="P1123" s="1792"/>
      <c r="Q1123" s="1792"/>
    </row>
    <row r="1124" spans="1:17">
      <c r="A1124" s="1692"/>
      <c r="B1124" s="1787"/>
      <c r="C1124" s="1795"/>
      <c r="D1124" s="1795"/>
      <c r="E1124" s="1795"/>
      <c r="F1124" s="1795"/>
      <c r="G1124" s="1795"/>
      <c r="H1124" s="1795"/>
      <c r="I1124" s="1795"/>
      <c r="J1124" s="1795"/>
      <c r="K1124" s="1795"/>
      <c r="L1124" s="1795"/>
      <c r="M1124" s="1795"/>
      <c r="N1124" s="1795"/>
      <c r="O1124" s="1795"/>
      <c r="P1124" s="1795"/>
      <c r="Q1124" s="1692"/>
    </row>
    <row r="1125" spans="1:17">
      <c r="A1125" s="1681">
        <v>7</v>
      </c>
      <c r="B1125" s="1681" t="s">
        <v>2761</v>
      </c>
      <c r="C1125" s="1728"/>
      <c r="D1125" s="1795"/>
      <c r="E1125" s="1795"/>
      <c r="F1125" s="1795"/>
      <c r="G1125" s="1795"/>
      <c r="H1125" s="1795"/>
      <c r="I1125" s="1795"/>
      <c r="J1125" s="1795"/>
      <c r="K1125" s="1795"/>
      <c r="L1125" s="1795"/>
      <c r="M1125" s="1795"/>
      <c r="O1125" s="1788" t="s">
        <v>1948</v>
      </c>
      <c r="P1125" s="1700">
        <f>'Part VIII-Threshold Criteria'!P126</f>
        <v>0</v>
      </c>
      <c r="Q1125" s="1700"/>
    </row>
    <row r="1127" spans="1:17">
      <c r="B1127" s="1791" t="s">
        <v>2068</v>
      </c>
      <c r="C1127" s="519" t="s">
        <v>4303</v>
      </c>
      <c r="D1127" s="1757"/>
      <c r="E1127" s="1757"/>
      <c r="F1127" s="1757"/>
      <c r="G1127" s="1757"/>
      <c r="H1127" s="1757"/>
      <c r="I1127" s="518"/>
      <c r="J1127" s="518"/>
      <c r="K1127" s="518"/>
      <c r="L1127" s="1765" t="s">
        <v>2068</v>
      </c>
      <c r="M1127" s="1786" t="str">
        <f>'Part VIII-Threshold Criteria'!M128</f>
        <v>Geotechnical &amp; Environmental Consulting, Inc</v>
      </c>
      <c r="N1127" s="1786"/>
      <c r="O1127" s="1786"/>
      <c r="P1127" s="1786"/>
      <c r="Q1127" s="1790">
        <f>'Part VIII-Threshold Criteria'!Q128</f>
        <v>0</v>
      </c>
    </row>
    <row r="1128" spans="1:17">
      <c r="B1128" s="1791" t="s">
        <v>2071</v>
      </c>
      <c r="C1128" s="519" t="s">
        <v>1604</v>
      </c>
      <c r="D1128" s="1757"/>
      <c r="E1128" s="1757"/>
      <c r="F1128" s="1757"/>
      <c r="G1128" s="1757"/>
      <c r="H1128" s="1757"/>
      <c r="I1128" s="518"/>
      <c r="J1128" s="518"/>
      <c r="K1128" s="1757"/>
      <c r="L1128" s="1757"/>
      <c r="M1128" s="1723"/>
      <c r="O1128" s="1765" t="s">
        <v>2071</v>
      </c>
      <c r="P1128" s="1790" t="str">
        <f>'Part VIII-Threshold Criteria'!P129</f>
        <v>Yes</v>
      </c>
      <c r="Q1128" s="1790">
        <f>'Part VIII-Threshold Criteria'!Q129</f>
        <v>0</v>
      </c>
    </row>
    <row r="1129" spans="1:17">
      <c r="B1129" s="1791" t="s">
        <v>786</v>
      </c>
      <c r="C1129" s="519" t="s">
        <v>157</v>
      </c>
      <c r="D1129" s="1757"/>
      <c r="E1129" s="1757"/>
      <c r="F1129" s="1757"/>
      <c r="G1129" s="1757"/>
      <c r="H1129" s="1757"/>
      <c r="I1129" s="518"/>
      <c r="J1129" s="518"/>
      <c r="K1129" s="1757"/>
      <c r="L1129" s="1723"/>
      <c r="M1129" s="1723"/>
      <c r="O1129" s="1765" t="s">
        <v>786</v>
      </c>
      <c r="P1129" s="1790" t="str">
        <f>'Part VIII-Threshold Criteria'!P130</f>
        <v>Yes</v>
      </c>
      <c r="Q1129" s="1790">
        <f>'Part VIII-Threshold Criteria'!Q130</f>
        <v>0</v>
      </c>
    </row>
    <row r="1130" spans="1:17">
      <c r="B1130" s="1791"/>
      <c r="C1130" s="1765" t="s">
        <v>1813</v>
      </c>
      <c r="D1130" s="519" t="s">
        <v>2802</v>
      </c>
      <c r="E1130" s="1757"/>
      <c r="F1130" s="1757"/>
      <c r="G1130" s="1757"/>
      <c r="H1130" s="1757"/>
      <c r="I1130" s="518"/>
      <c r="J1130" s="518"/>
      <c r="K1130" s="1757"/>
      <c r="L1130" s="1765" t="s">
        <v>1813</v>
      </c>
      <c r="M1130" s="1786" t="str">
        <f>'Part VIII-Threshold Criteria'!M131</f>
        <v>Geotechnical &amp; Environmental Consulting, Inc</v>
      </c>
      <c r="N1130" s="1786"/>
      <c r="O1130" s="1786"/>
      <c r="P1130" s="1786"/>
      <c r="Q1130" s="1790">
        <f>'Part VIII-Threshold Criteria'!Q131</f>
        <v>0</v>
      </c>
    </row>
    <row r="1131" spans="1:17">
      <c r="B1131" s="1711"/>
      <c r="C1131" s="1765" t="s">
        <v>1814</v>
      </c>
      <c r="D1131" s="519" t="s">
        <v>3943</v>
      </c>
      <c r="E1131" s="518"/>
      <c r="F1131" s="518"/>
      <c r="G1131" s="518"/>
      <c r="H1131" s="519"/>
      <c r="I1131" s="518"/>
      <c r="J1131" s="518"/>
      <c r="K1131" s="1757"/>
      <c r="L1131" s="1723"/>
      <c r="M1131" s="1723"/>
      <c r="O1131" s="1765" t="s">
        <v>1814</v>
      </c>
      <c r="P1131" s="1790">
        <f>'Part VIII-Threshold Criteria'!P132</f>
        <v>72.599999999999994</v>
      </c>
      <c r="Q1131" s="1790">
        <f>'Part VIII-Threshold Criteria'!Q132</f>
        <v>0</v>
      </c>
    </row>
    <row r="1132" spans="1:17">
      <c r="B1132" s="1711"/>
      <c r="C1132" s="1765" t="s">
        <v>1815</v>
      </c>
      <c r="D1132" s="519" t="s">
        <v>1440</v>
      </c>
      <c r="E1132" s="518"/>
      <c r="F1132" s="518"/>
      <c r="G1132" s="518"/>
      <c r="H1132" s="519"/>
      <c r="I1132" s="518"/>
      <c r="J1132" s="518"/>
      <c r="K1132" s="1757"/>
      <c r="L1132" s="1723"/>
      <c r="M1132" s="1723"/>
      <c r="N1132" s="1723"/>
      <c r="O1132" s="1723"/>
    </row>
    <row r="1133" spans="1:17" ht="33.75">
      <c r="B1133" s="1692"/>
      <c r="C1133" s="1765"/>
      <c r="D1133" s="1757" t="str">
        <f>'Part VIII-Threshold Criteria'!D134</f>
        <v>Railway, Road, Aircraft</v>
      </c>
      <c r="E1133" s="1757"/>
      <c r="F1133" s="1757"/>
      <c r="G1133" s="1757"/>
      <c r="H1133" s="1757"/>
      <c r="I1133" s="1757"/>
      <c r="J1133" s="1757"/>
      <c r="K1133" s="1757"/>
      <c r="L1133" s="1757"/>
      <c r="M1133" s="1757"/>
      <c r="N1133" s="1757"/>
      <c r="O1133" s="1757"/>
      <c r="P1133" s="1757"/>
      <c r="Q1133" s="1757"/>
    </row>
    <row r="1134" spans="1:17">
      <c r="B1134" s="1791" t="s">
        <v>2203</v>
      </c>
      <c r="C1134" s="519" t="s">
        <v>1314</v>
      </c>
      <c r="D1134" s="1757"/>
      <c r="E1134" s="1757"/>
      <c r="F1134" s="1757"/>
      <c r="G1134" s="1757"/>
      <c r="H1134" s="1757"/>
      <c r="I1134" s="518"/>
      <c r="J1134" s="518"/>
      <c r="K1134" s="1757"/>
      <c r="L1134" s="1723"/>
      <c r="M1134" s="1723"/>
      <c r="N1134" s="1723"/>
      <c r="O1134" s="1765" t="s">
        <v>2203</v>
      </c>
    </row>
    <row r="1135" spans="1:17">
      <c r="B1135" s="1791"/>
      <c r="C1135" s="1765" t="s">
        <v>1813</v>
      </c>
      <c r="D1135" s="519" t="s">
        <v>155</v>
      </c>
      <c r="E1135" s="1757"/>
      <c r="F1135" s="1757"/>
      <c r="G1135" s="1757"/>
      <c r="H1135" s="1757"/>
      <c r="I1135" s="518"/>
      <c r="J1135" s="518"/>
      <c r="K1135" s="1757"/>
      <c r="L1135" s="1723"/>
      <c r="M1135" s="1723"/>
      <c r="O1135" s="1765" t="s">
        <v>1813</v>
      </c>
      <c r="P1135" s="1790" t="str">
        <f>'Part VIII-Threshold Criteria'!P136</f>
        <v>Yes</v>
      </c>
      <c r="Q1135" s="1790">
        <f>'Part VIII-Threshold Criteria'!Q136</f>
        <v>0</v>
      </c>
    </row>
    <row r="1136" spans="1:17">
      <c r="B1136" s="1791"/>
      <c r="C1136" s="1765" t="s">
        <v>1814</v>
      </c>
      <c r="D1136" s="519" t="s">
        <v>1315</v>
      </c>
      <c r="E1136" s="1757"/>
      <c r="F1136" s="1757"/>
      <c r="G1136" s="1757"/>
      <c r="H1136" s="518"/>
      <c r="I1136" s="518"/>
      <c r="J1136" s="518"/>
      <c r="K1136" s="1757"/>
      <c r="L1136" s="1723"/>
      <c r="M1136" s="1723"/>
      <c r="O1136" s="1765" t="s">
        <v>1814</v>
      </c>
      <c r="P1136" s="1790" t="str">
        <f>'Part VIII-Threshold Criteria'!P137</f>
        <v>No</v>
      </c>
      <c r="Q1136" s="1790">
        <f>'Part VIII-Threshold Criteria'!Q137</f>
        <v>0</v>
      </c>
    </row>
    <row r="1137" spans="2:17">
      <c r="B1137" s="1791"/>
      <c r="C1137" s="1765"/>
      <c r="D1137" s="519" t="s">
        <v>2737</v>
      </c>
      <c r="E1137" s="1835" t="s">
        <v>2532</v>
      </c>
      <c r="F1137" s="519" t="s">
        <v>2738</v>
      </c>
      <c r="G1137" s="518"/>
      <c r="H1137" s="519"/>
      <c r="I1137" s="518"/>
      <c r="J1137" s="518"/>
      <c r="K1137" s="1757"/>
      <c r="L1137" s="1723"/>
      <c r="M1137" s="1723"/>
      <c r="O1137" s="1835" t="s">
        <v>2532</v>
      </c>
      <c r="P1137" s="1836">
        <f>'Part VIII-Threshold Criteria'!P138</f>
        <v>0</v>
      </c>
      <c r="Q1137" s="1836">
        <f>'Part VIII-Threshold Criteria'!Q138</f>
        <v>0</v>
      </c>
    </row>
    <row r="1138" spans="2:17">
      <c r="B1138" s="1791"/>
      <c r="C1138" s="1765"/>
      <c r="E1138" s="1835" t="s">
        <v>2533</v>
      </c>
      <c r="F1138" s="519" t="s">
        <v>2739</v>
      </c>
      <c r="G1138" s="518"/>
      <c r="H1138" s="519"/>
      <c r="I1138" s="518"/>
      <c r="J1138" s="518"/>
      <c r="K1138" s="1757"/>
      <c r="L1138" s="1723"/>
      <c r="M1138" s="1723"/>
      <c r="O1138" s="1835" t="s">
        <v>2533</v>
      </c>
      <c r="P1138" s="1790">
        <f>'Part VIII-Threshold Criteria'!P139</f>
        <v>0</v>
      </c>
      <c r="Q1138" s="1790">
        <f>'Part VIII-Threshold Criteria'!Q139</f>
        <v>0</v>
      </c>
    </row>
    <row r="1139" spans="2:17">
      <c r="B1139" s="1791"/>
      <c r="C1139" s="1765"/>
      <c r="E1139" s="1835" t="s">
        <v>2534</v>
      </c>
      <c r="F1139" s="519" t="s">
        <v>2740</v>
      </c>
      <c r="G1139" s="518"/>
      <c r="H1139" s="519"/>
      <c r="I1139" s="518"/>
      <c r="J1139" s="518"/>
      <c r="K1139" s="1757"/>
      <c r="L1139" s="1723"/>
      <c r="M1139" s="1723"/>
      <c r="O1139" s="1835" t="s">
        <v>2534</v>
      </c>
      <c r="P1139" s="1790">
        <f>'Part VIII-Threshold Criteria'!P140</f>
        <v>0</v>
      </c>
      <c r="Q1139" s="1790">
        <f>'Part VIII-Threshold Criteria'!Q140</f>
        <v>0</v>
      </c>
    </row>
    <row r="1140" spans="2:17">
      <c r="B1140" s="1791"/>
      <c r="C1140" s="1765" t="s">
        <v>1815</v>
      </c>
      <c r="D1140" s="519" t="s">
        <v>1316</v>
      </c>
      <c r="E1140" s="1757"/>
      <c r="F1140" s="1757"/>
      <c r="G1140" s="1757"/>
      <c r="H1140" s="519"/>
      <c r="I1140" s="518"/>
      <c r="J1140" s="518"/>
      <c r="K1140" s="1757"/>
      <c r="L1140" s="1723"/>
      <c r="M1140" s="1723"/>
      <c r="O1140" s="1765" t="s">
        <v>1815</v>
      </c>
      <c r="P1140" s="1790" t="str">
        <f>'Part VIII-Threshold Criteria'!P141</f>
        <v>No</v>
      </c>
      <c r="Q1140" s="1790">
        <f>'Part VIII-Threshold Criteria'!Q141</f>
        <v>0</v>
      </c>
    </row>
    <row r="1141" spans="2:17">
      <c r="B1141" s="1791"/>
      <c r="C1141" s="1765"/>
      <c r="D1141" s="519" t="s">
        <v>2737</v>
      </c>
      <c r="E1141" s="1835" t="s">
        <v>2532</v>
      </c>
      <c r="F1141" s="519" t="s">
        <v>2741</v>
      </c>
      <c r="G1141" s="518"/>
      <c r="H1141" s="519"/>
      <c r="I1141" s="518"/>
      <c r="J1141" s="518"/>
      <c r="K1141" s="1757"/>
      <c r="L1141" s="1723"/>
      <c r="O1141" s="1835" t="s">
        <v>2532</v>
      </c>
      <c r="P1141" s="1836">
        <f>'Part VIII-Threshold Criteria'!P142</f>
        <v>0</v>
      </c>
      <c r="Q1141" s="1836">
        <f>'Part VIII-Threshold Criteria'!Q142</f>
        <v>0</v>
      </c>
    </row>
    <row r="1142" spans="2:17">
      <c r="B1142" s="1791"/>
      <c r="C1142" s="1765"/>
      <c r="E1142" s="1835" t="s">
        <v>2533</v>
      </c>
      <c r="F1142" s="519" t="s">
        <v>2742</v>
      </c>
      <c r="G1142" s="518"/>
      <c r="H1142" s="519"/>
      <c r="I1142" s="518"/>
      <c r="J1142" s="518"/>
      <c r="O1142" s="1835" t="s">
        <v>2533</v>
      </c>
      <c r="P1142" s="1790">
        <f>'Part VIII-Threshold Criteria'!P143</f>
        <v>0</v>
      </c>
      <c r="Q1142" s="1790">
        <f>'Part VIII-Threshold Criteria'!Q143</f>
        <v>0</v>
      </c>
    </row>
    <row r="1143" spans="2:17">
      <c r="B1143" s="1791"/>
      <c r="C1143" s="1765"/>
      <c r="E1143" s="1835" t="s">
        <v>2534</v>
      </c>
      <c r="F1143" s="519" t="s">
        <v>2740</v>
      </c>
      <c r="G1143" s="518"/>
      <c r="H1143" s="519"/>
      <c r="I1143" s="518"/>
      <c r="J1143" s="518"/>
      <c r="O1143" s="1835" t="s">
        <v>2534</v>
      </c>
      <c r="P1143" s="1790">
        <f>'Part VIII-Threshold Criteria'!P144</f>
        <v>0</v>
      </c>
      <c r="Q1143" s="1790">
        <f>'Part VIII-Threshold Criteria'!Q144</f>
        <v>0</v>
      </c>
    </row>
    <row r="1144" spans="2:17">
      <c r="B1144" s="519"/>
      <c r="C1144" s="1765" t="s">
        <v>2459</v>
      </c>
      <c r="D1144" s="519" t="s">
        <v>2743</v>
      </c>
      <c r="E1144" s="1757"/>
      <c r="F1144" s="1757"/>
      <c r="G1144" s="1757"/>
      <c r="H1144" s="1757"/>
      <c r="I1144" s="518"/>
      <c r="J1144" s="518"/>
      <c r="O1144" s="1765" t="s">
        <v>2459</v>
      </c>
      <c r="P1144" s="1790" t="str">
        <f>'Part VIII-Threshold Criteria'!P145</f>
        <v>No</v>
      </c>
      <c r="Q1144" s="1790">
        <f>'Part VIII-Threshold Criteria'!Q145</f>
        <v>0</v>
      </c>
    </row>
    <row r="1145" spans="2:17">
      <c r="B1145" s="1791" t="s">
        <v>1811</v>
      </c>
      <c r="C1145" s="1728" t="s">
        <v>2510</v>
      </c>
      <c r="D1145" s="1757"/>
      <c r="E1145" s="1757"/>
      <c r="F1145" s="1757"/>
      <c r="G1145" s="1757"/>
      <c r="H1145" s="1757"/>
      <c r="I1145" s="518"/>
      <c r="J1145" s="518"/>
      <c r="K1145" s="1757"/>
      <c r="L1145" s="1723"/>
      <c r="M1145" s="1723"/>
      <c r="N1145" s="1723"/>
      <c r="O1145" s="1723"/>
      <c r="P1145" s="1723"/>
      <c r="Q1145" s="1723"/>
    </row>
    <row r="1146" spans="2:17">
      <c r="C1146" s="1765" t="s">
        <v>1813</v>
      </c>
      <c r="D1146" s="519" t="s">
        <v>2593</v>
      </c>
      <c r="E1146" s="1757"/>
      <c r="F1146" s="1790" t="str">
        <f>'Part VIII-Threshold Criteria'!F147</f>
        <v>No</v>
      </c>
      <c r="G1146" s="1790">
        <f>'Part VIII-Threshold Criteria'!G147</f>
        <v>0</v>
      </c>
      <c r="H1146" s="1765" t="s">
        <v>1616</v>
      </c>
      <c r="I1146" s="502" t="s">
        <v>2745</v>
      </c>
      <c r="L1146" s="1790" t="str">
        <f>'Part VIII-Threshold Criteria'!L147</f>
        <v>No</v>
      </c>
      <c r="M1146" s="1790">
        <f>'Part VIII-Threshold Criteria'!M147</f>
        <v>0</v>
      </c>
      <c r="N1146" s="1765" t="s">
        <v>537</v>
      </c>
      <c r="O1146" s="519" t="s">
        <v>1619</v>
      </c>
      <c r="P1146" s="1790">
        <f>'Part VIII-Threshold Criteria'!P147</f>
        <v>0</v>
      </c>
      <c r="Q1146" s="1790">
        <f>'Part VIII-Threshold Criteria'!Q147</f>
        <v>0</v>
      </c>
    </row>
    <row r="1147" spans="2:17">
      <c r="B1147" s="519"/>
      <c r="C1147" s="1765" t="s">
        <v>1814</v>
      </c>
      <c r="D1147" s="519" t="s">
        <v>3033</v>
      </c>
      <c r="E1147" s="1757"/>
      <c r="F1147" s="1790" t="str">
        <f>'Part VIII-Threshold Criteria'!F148</f>
        <v>Yes</v>
      </c>
      <c r="G1147" s="1790">
        <f>'Part VIII-Threshold Criteria'!G148</f>
        <v>0</v>
      </c>
      <c r="H1147" s="1765" t="s">
        <v>1617</v>
      </c>
      <c r="I1147" s="502" t="s">
        <v>2746</v>
      </c>
      <c r="L1147" s="1790" t="str">
        <f>'Part VIII-Threshold Criteria'!L148</f>
        <v>No</v>
      </c>
      <c r="M1147" s="1790">
        <f>'Part VIII-Threshold Criteria'!M148</f>
        <v>0</v>
      </c>
      <c r="N1147" s="1765" t="s">
        <v>538</v>
      </c>
      <c r="O1147" s="519" t="s">
        <v>1618</v>
      </c>
      <c r="P1147" s="1790">
        <f>'Part VIII-Threshold Criteria'!P148</f>
        <v>0</v>
      </c>
      <c r="Q1147" s="1790">
        <f>'Part VIII-Threshold Criteria'!Q148</f>
        <v>0</v>
      </c>
    </row>
    <row r="1148" spans="2:17">
      <c r="B1148" s="519"/>
      <c r="C1148" s="1765" t="s">
        <v>1815</v>
      </c>
      <c r="D1148" s="519" t="s">
        <v>2744</v>
      </c>
      <c r="E1148" s="1757"/>
      <c r="F1148" s="1790" t="str">
        <f>'Part VIII-Threshold Criteria'!F149</f>
        <v>No</v>
      </c>
      <c r="G1148" s="1790">
        <f>'Part VIII-Threshold Criteria'!G149</f>
        <v>0</v>
      </c>
      <c r="H1148" s="1765" t="s">
        <v>100</v>
      </c>
      <c r="I1148" s="502" t="s">
        <v>3034</v>
      </c>
      <c r="L1148" s="1790" t="str">
        <f>'Part VIII-Threshold Criteria'!L149</f>
        <v>Yes</v>
      </c>
      <c r="M1148" s="1790">
        <f>'Part VIII-Threshold Criteria'!M149</f>
        <v>0</v>
      </c>
      <c r="N1148" s="1765" t="s">
        <v>3036</v>
      </c>
      <c r="O1148" s="519" t="s">
        <v>1620</v>
      </c>
      <c r="P1148" s="1790">
        <f>'Part VIII-Threshold Criteria'!P149</f>
        <v>0</v>
      </c>
      <c r="Q1148" s="1790">
        <f>'Part VIII-Threshold Criteria'!Q149</f>
        <v>0</v>
      </c>
    </row>
    <row r="1149" spans="2:17">
      <c r="B1149" s="519"/>
      <c r="C1149" s="1765" t="s">
        <v>2459</v>
      </c>
      <c r="D1149" s="519" t="s">
        <v>3037</v>
      </c>
      <c r="E1149" s="1757"/>
      <c r="F1149" s="1790" t="str">
        <f>'Part VIII-Threshold Criteria'!F150</f>
        <v>No</v>
      </c>
      <c r="G1149" s="1790">
        <f>'Part VIII-Threshold Criteria'!G150</f>
        <v>0</v>
      </c>
      <c r="H1149" s="1765" t="s">
        <v>536</v>
      </c>
      <c r="I1149" s="519" t="s">
        <v>3032</v>
      </c>
      <c r="L1149" s="1790" t="str">
        <f>'Part VIII-Threshold Criteria'!L150</f>
        <v>No</v>
      </c>
      <c r="M1149" s="1790">
        <f>'Part VIII-Threshold Criteria'!M150</f>
        <v>0</v>
      </c>
      <c r="O1149" s="1765"/>
    </row>
    <row r="1150" spans="2:17">
      <c r="B1150" s="519"/>
      <c r="C1150" s="1765" t="s">
        <v>3176</v>
      </c>
      <c r="D1150" s="519" t="s">
        <v>3035</v>
      </c>
      <c r="E1150" s="1757"/>
      <c r="F1150" s="1757"/>
      <c r="G1150" s="1757"/>
      <c r="H1150" s="1757"/>
      <c r="I1150" s="1757"/>
      <c r="J1150" s="1757"/>
      <c r="K1150" s="1757"/>
      <c r="L1150" s="1757"/>
      <c r="M1150" s="519"/>
      <c r="O1150" s="1765"/>
      <c r="P1150" s="1765"/>
    </row>
    <row r="1151" spans="2:17">
      <c r="B1151" s="519"/>
      <c r="D1151" s="1786">
        <v>0</v>
      </c>
      <c r="E1151" s="1786"/>
      <c r="F1151" s="1786"/>
      <c r="G1151" s="1786"/>
      <c r="H1151" s="1786"/>
      <c r="I1151" s="1786"/>
      <c r="J1151" s="1786"/>
      <c r="K1151" s="1786"/>
      <c r="L1151" s="1786"/>
      <c r="M1151" s="1786"/>
      <c r="N1151" s="1786"/>
      <c r="O1151" s="1786"/>
      <c r="P1151" s="1786"/>
      <c r="Q1151" s="1790">
        <f>'Part VIII-Threshold Criteria'!Q152</f>
        <v>0</v>
      </c>
    </row>
    <row r="1152" spans="2:17">
      <c r="B1152" s="1791" t="s">
        <v>1812</v>
      </c>
      <c r="C1152" s="519" t="s">
        <v>4098</v>
      </c>
      <c r="D1152" s="1757"/>
      <c r="E1152" s="1757"/>
      <c r="F1152" s="1757"/>
      <c r="G1152" s="1757"/>
      <c r="H1152" s="1757"/>
      <c r="I1152" s="518"/>
      <c r="J1152" s="518"/>
      <c r="K1152" s="1757"/>
      <c r="L1152" s="1757"/>
      <c r="M1152" s="1723"/>
    </row>
    <row r="1153" spans="1:17">
      <c r="A1153" s="1828"/>
      <c r="B1153" s="518"/>
      <c r="C1153" s="1765" t="s">
        <v>1813</v>
      </c>
      <c r="D1153" s="519" t="s">
        <v>3038</v>
      </c>
      <c r="E1153" s="1757"/>
      <c r="F1153" s="1757"/>
      <c r="G1153" s="1757"/>
      <c r="H1153" s="1757"/>
      <c r="O1153" s="1765" t="s">
        <v>1813</v>
      </c>
      <c r="P1153" s="1790" t="str">
        <f>'Part VIII-Threshold Criteria'!P154</f>
        <v>No</v>
      </c>
      <c r="Q1153" s="1790">
        <f>'Part VIII-Threshold Criteria'!Q154</f>
        <v>0</v>
      </c>
    </row>
    <row r="1154" spans="1:17">
      <c r="A1154" s="1828"/>
      <c r="B1154" s="1787"/>
      <c r="C1154" s="1765" t="s">
        <v>1814</v>
      </c>
      <c r="D1154" s="519" t="s">
        <v>514</v>
      </c>
      <c r="E1154" s="519"/>
      <c r="F1154" s="519"/>
      <c r="G1154" s="519"/>
      <c r="H1154" s="519"/>
      <c r="I1154" s="518"/>
      <c r="J1154" s="518"/>
      <c r="K1154" s="519"/>
      <c r="L1154" s="519"/>
      <c r="M1154" s="519"/>
      <c r="O1154" s="1765" t="s">
        <v>1814</v>
      </c>
      <c r="P1154" s="1790" t="str">
        <f>'Part VIII-Threshold Criteria'!P155</f>
        <v>Yes</v>
      </c>
      <c r="Q1154" s="1790">
        <f>'Part VIII-Threshold Criteria'!Q155</f>
        <v>0</v>
      </c>
    </row>
    <row r="1155" spans="1:17">
      <c r="A1155" s="1828"/>
      <c r="B1155" s="1787"/>
      <c r="C1155" s="1765" t="s">
        <v>1815</v>
      </c>
      <c r="D1155" s="519" t="s">
        <v>714</v>
      </c>
      <c r="E1155" s="519"/>
      <c r="F1155" s="519"/>
      <c r="G1155" s="519"/>
      <c r="H1155" s="519"/>
      <c r="I1155" s="518"/>
      <c r="J1155" s="518"/>
      <c r="K1155" s="519"/>
      <c r="L1155" s="519"/>
      <c r="M1155" s="519"/>
      <c r="O1155" s="1765" t="s">
        <v>1815</v>
      </c>
      <c r="P1155" s="1790" t="str">
        <f>'Part VIII-Threshold Criteria'!P156</f>
        <v>Yes</v>
      </c>
      <c r="Q1155" s="1790">
        <f>'Part VIII-Threshold Criteria'!Q156</f>
        <v>0</v>
      </c>
    </row>
    <row r="1156" spans="1:17">
      <c r="B1156" s="1791" t="s">
        <v>2031</v>
      </c>
      <c r="C1156" s="519" t="s">
        <v>1829</v>
      </c>
      <c r="D1156" s="1757"/>
      <c r="E1156" s="1757"/>
      <c r="F1156" s="1757"/>
      <c r="G1156" s="1757"/>
      <c r="H1156" s="1757"/>
      <c r="I1156" s="518"/>
      <c r="J1156" s="518"/>
      <c r="K1156" s="1757"/>
      <c r="L1156" s="1757"/>
      <c r="M1156" s="1723"/>
      <c r="O1156" s="1765" t="s">
        <v>2031</v>
      </c>
      <c r="P1156" s="1790">
        <f>'Part VIII-Threshold Criteria'!P157</f>
        <v>0</v>
      </c>
      <c r="Q1156" s="1790">
        <f>'Part VIII-Threshold Criteria'!Q157</f>
        <v>0</v>
      </c>
    </row>
    <row r="1157" spans="1:17">
      <c r="A1157" s="1837" t="s">
        <v>3869</v>
      </c>
      <c r="C1157" s="519"/>
      <c r="D1157" s="1757"/>
      <c r="E1157" s="1757"/>
      <c r="F1157" s="1757"/>
      <c r="G1157" s="1757"/>
      <c r="H1157" s="1757"/>
      <c r="I1157" s="518"/>
      <c r="J1157" s="518"/>
      <c r="K1157" s="1757"/>
      <c r="L1157" s="1757"/>
      <c r="M1157" s="1723"/>
      <c r="N1157" s="1723"/>
      <c r="O1157" s="1723"/>
      <c r="P1157" s="1723"/>
      <c r="Q1157" s="1723"/>
    </row>
    <row r="1158" spans="1:17" ht="12.75" customHeight="1">
      <c r="A1158" s="518"/>
      <c r="B1158" s="1789" t="s">
        <v>3708</v>
      </c>
      <c r="C1158" s="1792" t="s">
        <v>4589</v>
      </c>
      <c r="D1158" s="1792"/>
      <c r="E1158" s="1792"/>
      <c r="F1158" s="1792"/>
      <c r="G1158" s="1792"/>
      <c r="H1158" s="1792"/>
      <c r="I1158" s="1792"/>
      <c r="J1158" s="1792"/>
      <c r="K1158" s="1792"/>
      <c r="L1158" s="1792"/>
      <c r="M1158" s="1833" t="s">
        <v>3708</v>
      </c>
      <c r="N1158" s="1785" t="str">
        <f>'Part VIII-Threshold Criteria'!N159</f>
        <v>&lt;&lt;Select&gt;&gt;</v>
      </c>
      <c r="O1158" s="1785"/>
      <c r="P1158" s="1785" t="str">
        <f>'Part VIII-Threshold Criteria'!P159</f>
        <v>&lt;&lt;Select&gt;&gt;</v>
      </c>
      <c r="Q1158" s="1785"/>
    </row>
    <row r="1159" spans="1:17">
      <c r="A1159" s="518"/>
      <c r="B1159" s="1791" t="s">
        <v>646</v>
      </c>
      <c r="C1159" s="1728" t="s">
        <v>1</v>
      </c>
      <c r="D1159" s="1838"/>
      <c r="E1159" s="1838"/>
      <c r="F1159" s="518"/>
      <c r="G1159" s="1765" t="s">
        <v>646</v>
      </c>
      <c r="H1159" s="1757">
        <f>'Part VIII-Threshold Criteria'!H160</f>
        <v>0</v>
      </c>
      <c r="I1159" s="1757"/>
      <c r="J1159" s="1757"/>
      <c r="K1159" s="1757"/>
      <c r="L1159" s="1757"/>
      <c r="M1159" s="1757"/>
      <c r="N1159" s="1757"/>
      <c r="O1159" s="1757"/>
      <c r="P1159" s="1757"/>
      <c r="Q1159" s="1790">
        <f>'Part VIII-Threshold Criteria'!Q160</f>
        <v>0</v>
      </c>
    </row>
    <row r="1160" spans="1:17">
      <c r="A1160" s="518"/>
      <c r="B1160" s="1791" t="s">
        <v>3709</v>
      </c>
      <c r="C1160" s="1728" t="s">
        <v>1476</v>
      </c>
      <c r="D1160" s="1839"/>
      <c r="E1160" s="1839"/>
      <c r="F1160" s="1839"/>
      <c r="G1160" s="1512"/>
      <c r="H1160" s="1512"/>
      <c r="I1160" s="1728"/>
      <c r="J1160" s="518"/>
      <c r="K1160" s="1512"/>
      <c r="L1160" s="1512"/>
      <c r="M1160" s="1512"/>
      <c r="N1160" s="518"/>
      <c r="O1160" s="1765" t="s">
        <v>3709</v>
      </c>
      <c r="P1160" s="1790">
        <f>'Part VIII-Threshold Criteria'!P161</f>
        <v>0</v>
      </c>
      <c r="Q1160" s="1790">
        <f>'Part VIII-Threshold Criteria'!Q161</f>
        <v>0</v>
      </c>
    </row>
    <row r="1161" spans="1:17">
      <c r="B1161" s="1729" t="s">
        <v>1946</v>
      </c>
      <c r="D1161" s="1729"/>
      <c r="E1161" s="1729"/>
      <c r="F1161" s="1729"/>
      <c r="G1161" s="1729"/>
      <c r="H1161" s="1728"/>
      <c r="I1161" s="1787"/>
      <c r="J1161" s="1787"/>
      <c r="K1161" s="1787"/>
      <c r="L1161" s="1692"/>
      <c r="M1161" s="1692"/>
      <c r="N1161" s="1692"/>
      <c r="O1161" s="1692"/>
      <c r="P1161" s="1692"/>
      <c r="Q1161" s="1692"/>
    </row>
    <row r="1162" spans="1:17" ht="146.25">
      <c r="A1162" s="1792" t="str">
        <f>'Part VIII-Threshold Criteria'!A163</f>
        <v>This project includes PBRA from the Atlanta Housing Authority, therefore items f 2) and F 3) were included in this application.</v>
      </c>
      <c r="B1162" s="1792"/>
      <c r="C1162" s="1792"/>
      <c r="D1162" s="1792"/>
      <c r="E1162" s="1792"/>
      <c r="F1162" s="1792"/>
      <c r="G1162" s="1792"/>
      <c r="H1162" s="1792"/>
      <c r="I1162" s="1792"/>
      <c r="J1162" s="1792"/>
      <c r="K1162" s="1792"/>
      <c r="L1162" s="1792"/>
      <c r="M1162" s="1792"/>
      <c r="N1162" s="1792"/>
      <c r="O1162" s="1792"/>
      <c r="P1162" s="1792"/>
      <c r="Q1162" s="1792"/>
    </row>
    <row r="1164" spans="1:17">
      <c r="B1164" s="1793" t="s">
        <v>1947</v>
      </c>
      <c r="C1164" s="1794"/>
      <c r="D1164" s="1795"/>
      <c r="E1164" s="1795"/>
      <c r="F1164" s="1795"/>
      <c r="G1164" s="1795"/>
      <c r="H1164" s="1795"/>
      <c r="I1164" s="1795"/>
      <c r="J1164" s="1795"/>
      <c r="K1164" s="1795"/>
      <c r="L1164" s="1795"/>
      <c r="M1164" s="1795"/>
      <c r="N1164" s="1795"/>
      <c r="O1164" s="1795"/>
      <c r="P1164" s="1795"/>
      <c r="Q1164" s="1795"/>
    </row>
    <row r="1165" spans="1:17">
      <c r="A1165" s="1792">
        <f>'Part VIII-Threshold Criteria'!A166</f>
        <v>0</v>
      </c>
      <c r="B1165" s="1792"/>
      <c r="C1165" s="1792"/>
      <c r="D1165" s="1792"/>
      <c r="E1165" s="1792"/>
      <c r="F1165" s="1792"/>
      <c r="G1165" s="1792"/>
      <c r="H1165" s="1792"/>
      <c r="I1165" s="1792"/>
      <c r="J1165" s="1792"/>
      <c r="K1165" s="1792"/>
      <c r="L1165" s="1792"/>
      <c r="M1165" s="1792"/>
      <c r="N1165" s="1792"/>
      <c r="O1165" s="1792"/>
      <c r="P1165" s="1792"/>
      <c r="Q1165" s="1792"/>
    </row>
    <row r="1166" spans="1:17">
      <c r="A1166" s="1692"/>
      <c r="B1166" s="1787"/>
      <c r="C1166" s="1795"/>
      <c r="D1166" s="1795"/>
      <c r="E1166" s="1795"/>
      <c r="F1166" s="1795"/>
      <c r="G1166" s="1795"/>
      <c r="H1166" s="1795"/>
      <c r="I1166" s="1795"/>
      <c r="J1166" s="1795"/>
      <c r="K1166" s="1795"/>
      <c r="L1166" s="1795"/>
      <c r="M1166" s="1795"/>
      <c r="N1166" s="1795"/>
      <c r="O1166" s="1795"/>
      <c r="P1166" s="1795"/>
      <c r="Q1166" s="1692"/>
    </row>
    <row r="1167" spans="1:17">
      <c r="A1167" s="1681">
        <v>8</v>
      </c>
      <c r="B1167" s="1681" t="s">
        <v>2762</v>
      </c>
      <c r="C1167" s="1681"/>
      <c r="D1167" s="1795"/>
      <c r="E1167" s="1795"/>
      <c r="F1167" s="1795"/>
      <c r="G1167" s="1795"/>
      <c r="H1167" s="1795"/>
      <c r="I1167" s="1795"/>
      <c r="J1167" s="1795"/>
      <c r="K1167" s="1795"/>
      <c r="O1167" s="1788" t="s">
        <v>1948</v>
      </c>
      <c r="P1167" s="1700">
        <f>'Part VIII-Threshold Criteria'!P168</f>
        <v>0</v>
      </c>
      <c r="Q1167" s="1700"/>
    </row>
    <row r="1168" spans="1:17">
      <c r="B1168" s="1791" t="s">
        <v>2068</v>
      </c>
      <c r="C1168" s="519" t="s">
        <v>4590</v>
      </c>
      <c r="D1168" s="519"/>
      <c r="E1168" s="519"/>
      <c r="F1168" s="519"/>
      <c r="G1168" s="519"/>
      <c r="I1168" s="519" t="s">
        <v>2835</v>
      </c>
      <c r="K1168" s="1840">
        <f>'Part VIII-Threshold Criteria'!K169</f>
        <v>42642</v>
      </c>
      <c r="L1168" s="1840"/>
      <c r="N1168" s="519"/>
      <c r="O1168" s="1765" t="s">
        <v>2068</v>
      </c>
      <c r="P1168" s="1790" t="str">
        <f>'Part VIII-Threshold Criteria'!P169</f>
        <v>Yes</v>
      </c>
      <c r="Q1168" s="1790">
        <f>'Part VIII-Threshold Criteria'!Q169</f>
        <v>0</v>
      </c>
    </row>
    <row r="1169" spans="1:17">
      <c r="A1169" s="1711"/>
      <c r="B1169" s="1791" t="s">
        <v>2071</v>
      </c>
      <c r="C1169" s="1815" t="s">
        <v>156</v>
      </c>
      <c r="D1169" s="1815"/>
      <c r="E1169" s="1815"/>
      <c r="F1169" s="1815"/>
      <c r="G1169" s="1815"/>
      <c r="H1169" s="1815"/>
      <c r="M1169" s="1765" t="s">
        <v>2071</v>
      </c>
      <c r="N1169" s="1750" t="str">
        <f>'Part VIII-Threshold Criteria'!N170</f>
        <v>Contract/Option</v>
      </c>
      <c r="O1169" s="1750"/>
      <c r="P1169" s="1750" t="str">
        <f>'Part VIII-Threshold Criteria'!P170</f>
        <v>&lt;&lt;Select&gt;&gt;</v>
      </c>
      <c r="Q1169" s="1750"/>
    </row>
    <row r="1170" spans="1:17">
      <c r="A1170" s="1711"/>
      <c r="B1170" s="1791" t="s">
        <v>786</v>
      </c>
      <c r="C1170" s="1815" t="s">
        <v>715</v>
      </c>
      <c r="D1170" s="1815"/>
      <c r="E1170" s="1815"/>
      <c r="F1170" s="1815"/>
      <c r="G1170" s="1815"/>
      <c r="H1170" s="1815"/>
      <c r="J1170" s="1765" t="s">
        <v>786</v>
      </c>
      <c r="K1170" s="1786" t="str">
        <f>'Part VIII-Threshold Criteria'!K171</f>
        <v>Capital View Senior Residences I, LP</v>
      </c>
      <c r="L1170" s="1786"/>
      <c r="M1170" s="1786"/>
      <c r="N1170" s="1786"/>
      <c r="O1170" s="1786"/>
      <c r="P1170" s="1786"/>
      <c r="Q1170" s="1790">
        <f>'Part VIII-Threshold Criteria'!Q171</f>
        <v>0</v>
      </c>
    </row>
    <row r="1171" spans="1:17">
      <c r="A1171" s="1711"/>
      <c r="B1171" s="1791" t="s">
        <v>2203</v>
      </c>
      <c r="C1171" s="1815" t="s">
        <v>3162</v>
      </c>
      <c r="D1171" s="1815"/>
      <c r="E1171" s="1815"/>
      <c r="F1171" s="1815"/>
      <c r="G1171" s="1815"/>
      <c r="H1171" s="1815"/>
      <c r="J1171" s="1765"/>
      <c r="K1171" s="1765"/>
      <c r="L1171" s="1765"/>
      <c r="M1171" s="1765"/>
      <c r="N1171" s="1765"/>
      <c r="O1171" s="1765" t="s">
        <v>2203</v>
      </c>
      <c r="P1171" s="1790" t="str">
        <f>'Part VIII-Threshold Criteria'!P172</f>
        <v>No</v>
      </c>
      <c r="Q1171" s="1790">
        <f>'Part VIII-Threshold Criteria'!Q172</f>
        <v>0</v>
      </c>
    </row>
    <row r="1172" spans="1:17">
      <c r="B1172" s="1729" t="s">
        <v>1946</v>
      </c>
      <c r="D1172" s="1729"/>
      <c r="E1172" s="1729"/>
      <c r="F1172" s="1729"/>
      <c r="G1172" s="1729"/>
      <c r="H1172" s="1728"/>
      <c r="I1172" s="1787"/>
      <c r="J1172" s="1787"/>
      <c r="K1172" s="1787"/>
      <c r="L1172" s="1692"/>
      <c r="M1172" s="1692"/>
      <c r="N1172" s="1692"/>
      <c r="O1172" s="1692"/>
      <c r="P1172" s="1692"/>
      <c r="Q1172" s="1692"/>
    </row>
    <row r="1173" spans="1:17" ht="112.5">
      <c r="A1173" s="1792" t="str">
        <f>'Part VIII-Threshold Criteria'!A174</f>
        <v>The entity with site control and the applicant is Capital View Senior Residences I, LP</v>
      </c>
      <c r="B1173" s="1792"/>
      <c r="C1173" s="1792"/>
      <c r="D1173" s="1792"/>
      <c r="E1173" s="1792"/>
      <c r="F1173" s="1792"/>
      <c r="G1173" s="1792"/>
      <c r="H1173" s="1792"/>
      <c r="I1173" s="1792"/>
      <c r="J1173" s="1792"/>
      <c r="K1173" s="1792"/>
      <c r="L1173" s="1792"/>
      <c r="M1173" s="1792"/>
      <c r="N1173" s="1792"/>
      <c r="O1173" s="1792"/>
      <c r="P1173" s="1792"/>
      <c r="Q1173" s="1792"/>
    </row>
    <row r="1174" spans="1:17">
      <c r="B1174" s="1793" t="s">
        <v>1947</v>
      </c>
      <c r="C1174" s="1794"/>
      <c r="D1174" s="1795"/>
      <c r="E1174" s="1795"/>
      <c r="F1174" s="1795"/>
      <c r="G1174" s="1795"/>
      <c r="H1174" s="1795"/>
      <c r="I1174" s="1795"/>
      <c r="J1174" s="1795"/>
      <c r="K1174" s="1795"/>
      <c r="L1174" s="1795"/>
      <c r="M1174" s="1795"/>
      <c r="N1174" s="1795"/>
      <c r="O1174" s="1795"/>
      <c r="P1174" s="1795"/>
    </row>
    <row r="1175" spans="1:17">
      <c r="A1175" s="1792">
        <f>'Part VIII-Threshold Criteria'!A176</f>
        <v>0</v>
      </c>
      <c r="B1175" s="1792"/>
      <c r="C1175" s="1792"/>
      <c r="D1175" s="1792"/>
      <c r="E1175" s="1792"/>
      <c r="F1175" s="1792"/>
      <c r="G1175" s="1792"/>
      <c r="H1175" s="1792"/>
      <c r="I1175" s="1792"/>
      <c r="J1175" s="1792"/>
      <c r="K1175" s="1792"/>
      <c r="L1175" s="1792"/>
      <c r="M1175" s="1792"/>
      <c r="N1175" s="1792"/>
      <c r="O1175" s="1792"/>
      <c r="P1175" s="1792"/>
      <c r="Q1175" s="1792"/>
    </row>
    <row r="1176" spans="1:17">
      <c r="A1176" s="1692"/>
      <c r="B1176" s="1787"/>
      <c r="C1176" s="1795"/>
      <c r="D1176" s="1795"/>
      <c r="E1176" s="1795"/>
      <c r="F1176" s="1795"/>
      <c r="G1176" s="1795"/>
      <c r="H1176" s="1795"/>
      <c r="I1176" s="1795"/>
      <c r="J1176" s="1795"/>
      <c r="K1176" s="1795"/>
      <c r="L1176" s="1795"/>
      <c r="M1176" s="1795"/>
      <c r="Q1176" s="1692"/>
    </row>
    <row r="1177" spans="1:17">
      <c r="A1177" s="1681">
        <v>9</v>
      </c>
      <c r="B1177" s="1681" t="s">
        <v>2763</v>
      </c>
      <c r="C1177" s="1681"/>
      <c r="D1177" s="1795"/>
      <c r="E1177" s="1795"/>
      <c r="F1177" s="1795"/>
      <c r="G1177" s="1795"/>
      <c r="H1177" s="1795"/>
      <c r="I1177" s="1795"/>
      <c r="J1177" s="1795"/>
      <c r="K1177" s="1795"/>
      <c r="L1177" s="1795"/>
      <c r="M1177" s="1795"/>
      <c r="O1177" s="1788" t="s">
        <v>1948</v>
      </c>
      <c r="P1177" s="1700">
        <f>'Part VIII-Threshold Criteria'!P178</f>
        <v>0</v>
      </c>
      <c r="Q1177" s="1700"/>
    </row>
    <row r="1178" spans="1:17" ht="12.75" customHeight="1">
      <c r="B1178" s="1789" t="s">
        <v>2068</v>
      </c>
      <c r="C1178" s="1792" t="s">
        <v>4304</v>
      </c>
      <c r="D1178" s="1792"/>
      <c r="E1178" s="1792"/>
      <c r="F1178" s="1792"/>
      <c r="G1178" s="1792"/>
      <c r="H1178" s="1792"/>
      <c r="I1178" s="1792"/>
      <c r="J1178" s="1792"/>
      <c r="K1178" s="1792"/>
      <c r="L1178" s="1792"/>
      <c r="M1178" s="1792"/>
      <c r="N1178" s="1792"/>
      <c r="O1178" s="1833" t="s">
        <v>2068</v>
      </c>
      <c r="P1178" s="1790" t="str">
        <f>'Part VIII-Threshold Criteria'!P179</f>
        <v>Yes</v>
      </c>
      <c r="Q1178" s="1790">
        <f>'Part VIII-Threshold Criteria'!Q179</f>
        <v>0</v>
      </c>
    </row>
    <row r="1179" spans="1:17" ht="12.75" customHeight="1">
      <c r="B1179" s="1789" t="s">
        <v>2071</v>
      </c>
      <c r="C1179" s="1792" t="s">
        <v>4305</v>
      </c>
      <c r="D1179" s="1792"/>
      <c r="E1179" s="1792"/>
      <c r="F1179" s="1792"/>
      <c r="G1179" s="1792"/>
      <c r="H1179" s="1792"/>
      <c r="I1179" s="1792"/>
      <c r="J1179" s="1792"/>
      <c r="K1179" s="1792"/>
      <c r="L1179" s="1792"/>
      <c r="M1179" s="1792"/>
      <c r="N1179" s="1792"/>
      <c r="O1179" s="1833" t="s">
        <v>2071</v>
      </c>
      <c r="P1179" s="1790">
        <f>'Part VIII-Threshold Criteria'!P180</f>
        <v>0</v>
      </c>
      <c r="Q1179" s="1790">
        <f>'Part VIII-Threshold Criteria'!Q180</f>
        <v>0</v>
      </c>
    </row>
    <row r="1180" spans="1:17" ht="12.75" customHeight="1">
      <c r="B1180" s="1789" t="s">
        <v>786</v>
      </c>
      <c r="C1180" s="1792" t="s">
        <v>2747</v>
      </c>
      <c r="D1180" s="1792"/>
      <c r="E1180" s="1792"/>
      <c r="F1180" s="1792"/>
      <c r="G1180" s="1792"/>
      <c r="H1180" s="1792"/>
      <c r="I1180" s="1792"/>
      <c r="J1180" s="1792"/>
      <c r="K1180" s="1792"/>
      <c r="L1180" s="1792"/>
      <c r="M1180" s="1792"/>
      <c r="N1180" s="1792"/>
      <c r="O1180" s="1833" t="s">
        <v>786</v>
      </c>
      <c r="P1180" s="1790">
        <f>'Part VIII-Threshold Criteria'!P181</f>
        <v>0</v>
      </c>
      <c r="Q1180" s="1790">
        <f>'Part VIII-Threshold Criteria'!Q181</f>
        <v>0</v>
      </c>
    </row>
    <row r="1181" spans="1:17">
      <c r="B1181" s="1729" t="s">
        <v>1946</v>
      </c>
      <c r="D1181" s="1729"/>
      <c r="E1181" s="1729"/>
      <c r="F1181" s="1729"/>
      <c r="G1181" s="1729"/>
      <c r="H1181" s="1728"/>
      <c r="I1181" s="1787"/>
      <c r="J1181" s="1787"/>
      <c r="K1181" s="1787"/>
      <c r="L1181" s="1692"/>
      <c r="M1181" s="1692"/>
      <c r="N1181" s="1692"/>
      <c r="O1181" s="1692"/>
      <c r="P1181" s="1692"/>
      <c r="Q1181" s="1692"/>
    </row>
    <row r="1182" spans="1:17" ht="56.25">
      <c r="A1182" s="1792" t="str">
        <f>'Part VIII-Threshold Criteria'!A183</f>
        <v>See Tab 9 for more information on site access.</v>
      </c>
      <c r="B1182" s="1792"/>
      <c r="C1182" s="1792"/>
      <c r="D1182" s="1792"/>
      <c r="E1182" s="1792"/>
      <c r="F1182" s="1792"/>
      <c r="G1182" s="1792"/>
      <c r="H1182" s="1792"/>
      <c r="I1182" s="1792"/>
      <c r="J1182" s="1792"/>
      <c r="K1182" s="1792"/>
      <c r="L1182" s="1792"/>
      <c r="M1182" s="1792"/>
      <c r="N1182" s="1792"/>
      <c r="O1182" s="1792"/>
      <c r="P1182" s="1792"/>
      <c r="Q1182" s="1792"/>
    </row>
    <row r="1183" spans="1:17">
      <c r="B1183" s="1793" t="s">
        <v>1947</v>
      </c>
      <c r="C1183" s="1794"/>
      <c r="D1183" s="1795"/>
      <c r="E1183" s="1795"/>
      <c r="F1183" s="1795"/>
      <c r="G1183" s="1795"/>
      <c r="H1183" s="1795"/>
      <c r="I1183" s="1795"/>
      <c r="J1183" s="1795"/>
      <c r="K1183" s="1795"/>
      <c r="L1183" s="1795"/>
      <c r="M1183" s="1795"/>
      <c r="N1183" s="1795"/>
      <c r="O1183" s="1795"/>
      <c r="P1183" s="1795"/>
    </row>
    <row r="1184" spans="1:17">
      <c r="A1184" s="1792">
        <f>'Part VIII-Threshold Criteria'!A185</f>
        <v>0</v>
      </c>
      <c r="B1184" s="1792"/>
      <c r="C1184" s="1792"/>
      <c r="D1184" s="1792"/>
      <c r="E1184" s="1792"/>
      <c r="F1184" s="1792"/>
      <c r="G1184" s="1792"/>
      <c r="H1184" s="1792"/>
      <c r="I1184" s="1792"/>
      <c r="J1184" s="1792"/>
      <c r="K1184" s="1792"/>
      <c r="L1184" s="1792"/>
      <c r="M1184" s="1792"/>
      <c r="N1184" s="1792"/>
      <c r="O1184" s="1792"/>
      <c r="P1184" s="1792"/>
      <c r="Q1184" s="1792"/>
    </row>
    <row r="1185" spans="1:17">
      <c r="B1185" s="1787"/>
      <c r="C1185" s="1795"/>
      <c r="D1185" s="1795"/>
      <c r="E1185" s="1795"/>
      <c r="F1185" s="1795"/>
      <c r="G1185" s="1795"/>
      <c r="H1185" s="1795"/>
      <c r="I1185" s="1795"/>
      <c r="J1185" s="1795"/>
      <c r="K1185" s="1795"/>
      <c r="L1185" s="1795"/>
      <c r="M1185" s="1795"/>
      <c r="N1185" s="1795"/>
      <c r="O1185" s="1795"/>
      <c r="P1185" s="1795"/>
      <c r="Q1185" s="1692"/>
    </row>
    <row r="1186" spans="1:17">
      <c r="A1186" s="1693">
        <v>10</v>
      </c>
      <c r="B1186" s="521" t="s">
        <v>2764</v>
      </c>
      <c r="C1186" s="521"/>
      <c r="D1186" s="521"/>
      <c r="O1186" s="1788" t="s">
        <v>1948</v>
      </c>
      <c r="P1186" s="1700">
        <f>'Part VIII-Threshold Criteria'!P187</f>
        <v>0</v>
      </c>
      <c r="Q1186" s="1700"/>
    </row>
    <row r="1187" spans="1:17">
      <c r="B1187" s="1789" t="s">
        <v>2068</v>
      </c>
      <c r="C1187" s="1841" t="s">
        <v>490</v>
      </c>
      <c r="D1187" s="1841"/>
      <c r="E1187" s="1841"/>
      <c r="F1187" s="1841"/>
      <c r="G1187" s="1841"/>
      <c r="H1187" s="1841"/>
      <c r="I1187" s="1841"/>
      <c r="J1187" s="1841"/>
      <c r="K1187" s="1841"/>
      <c r="L1187" s="1841"/>
      <c r="M1187" s="1841"/>
      <c r="O1187" s="1833" t="s">
        <v>2068</v>
      </c>
      <c r="P1187" s="1790" t="str">
        <f>'Part VIII-Threshold Criteria'!P188</f>
        <v>Yes</v>
      </c>
      <c r="Q1187" s="1790">
        <f>'Part VIII-Threshold Criteria'!Q188</f>
        <v>0</v>
      </c>
    </row>
    <row r="1188" spans="1:17">
      <c r="B1188" s="1789" t="s">
        <v>2071</v>
      </c>
      <c r="C1188" s="1841" t="s">
        <v>2748</v>
      </c>
      <c r="D1188" s="1841"/>
      <c r="E1188" s="1841"/>
      <c r="F1188" s="1841"/>
      <c r="G1188" s="1841"/>
      <c r="H1188" s="1841"/>
      <c r="I1188" s="1841"/>
      <c r="J1188" s="1841"/>
      <c r="K1188" s="1841"/>
      <c r="L1188" s="1841"/>
      <c r="M1188" s="1841"/>
      <c r="O1188" s="1833" t="s">
        <v>2071</v>
      </c>
      <c r="P1188" s="1790" t="str">
        <f>'Part VIII-Threshold Criteria'!P189</f>
        <v>Yes</v>
      </c>
      <c r="Q1188" s="1790">
        <f>'Part VIII-Threshold Criteria'!Q189</f>
        <v>0</v>
      </c>
    </row>
    <row r="1189" spans="1:17">
      <c r="B1189" s="1789" t="s">
        <v>786</v>
      </c>
      <c r="C1189" s="1841" t="s">
        <v>2749</v>
      </c>
      <c r="D1189" s="1841"/>
      <c r="E1189" s="1841"/>
      <c r="F1189" s="1841"/>
      <c r="G1189" s="1841"/>
      <c r="H1189" s="1841"/>
      <c r="I1189" s="1841"/>
      <c r="J1189" s="1841"/>
      <c r="K1189" s="1841"/>
      <c r="L1189" s="1841"/>
      <c r="M1189" s="1841"/>
      <c r="O1189" s="1833" t="s">
        <v>786</v>
      </c>
      <c r="P1189" s="1790" t="str">
        <f>'Part VIII-Threshold Criteria'!P190</f>
        <v>Yes</v>
      </c>
      <c r="Q1189" s="1790">
        <f>'Part VIII-Threshold Criteria'!Q190</f>
        <v>0</v>
      </c>
    </row>
    <row r="1190" spans="1:17">
      <c r="B1190" s="1789"/>
      <c r="C1190" s="1841" t="s">
        <v>2737</v>
      </c>
      <c r="D1190" s="1841"/>
      <c r="E1190" s="1835" t="s">
        <v>1813</v>
      </c>
      <c r="F1190" s="1841" t="s">
        <v>2750</v>
      </c>
      <c r="G1190" s="1841"/>
      <c r="H1190" s="1841"/>
      <c r="I1190" s="1841"/>
      <c r="J1190" s="1841"/>
      <c r="K1190" s="1841"/>
      <c r="L1190" s="1841"/>
      <c r="M1190" s="1841"/>
      <c r="O1190" s="1835" t="s">
        <v>1813</v>
      </c>
      <c r="P1190" s="1790" t="str">
        <f>'Part VIII-Threshold Criteria'!P191</f>
        <v>Yes</v>
      </c>
      <c r="Q1190" s="1790">
        <f>'Part VIII-Threshold Criteria'!Q191</f>
        <v>0</v>
      </c>
    </row>
    <row r="1191" spans="1:17">
      <c r="B1191" s="1789"/>
      <c r="C1191" s="1841"/>
      <c r="D1191" s="1841"/>
      <c r="E1191" s="1835" t="s">
        <v>1814</v>
      </c>
      <c r="F1191" s="1841" t="s">
        <v>4591</v>
      </c>
      <c r="G1191" s="1841"/>
      <c r="H1191" s="1841"/>
      <c r="I1191" s="1841"/>
      <c r="J1191" s="1841"/>
      <c r="K1191" s="1841"/>
      <c r="L1191" s="1841"/>
      <c r="M1191" s="1841"/>
      <c r="O1191" s="1835" t="s">
        <v>1814</v>
      </c>
      <c r="P1191" s="1790" t="str">
        <f>'Part VIII-Threshold Criteria'!P192</f>
        <v>Yes</v>
      </c>
      <c r="Q1191" s="1790">
        <f>'Part VIII-Threshold Criteria'!Q192</f>
        <v>0</v>
      </c>
    </row>
    <row r="1192" spans="1:17" ht="12.75" customHeight="1">
      <c r="A1192" s="1832"/>
      <c r="B1192" s="1789"/>
      <c r="C1192" s="1841"/>
      <c r="D1192" s="1841"/>
      <c r="E1192" s="1833" t="s">
        <v>1815</v>
      </c>
      <c r="F1192" s="1792" t="s">
        <v>3944</v>
      </c>
      <c r="G1192" s="1792"/>
      <c r="H1192" s="1792"/>
      <c r="I1192" s="1792"/>
      <c r="J1192" s="1792"/>
      <c r="K1192" s="1792"/>
      <c r="L1192" s="1792"/>
      <c r="M1192" s="1792"/>
      <c r="N1192" s="1792"/>
      <c r="O1192" s="1833" t="s">
        <v>1815</v>
      </c>
      <c r="P1192" s="1790" t="str">
        <f>'Part VIII-Threshold Criteria'!P193</f>
        <v>Yes</v>
      </c>
      <c r="Q1192" s="1790">
        <f>'Part VIII-Threshold Criteria'!Q193</f>
        <v>0</v>
      </c>
    </row>
    <row r="1193" spans="1:17">
      <c r="B1193" s="1789"/>
      <c r="C1193" s="1841"/>
      <c r="D1193" s="1841"/>
      <c r="E1193" s="1835" t="s">
        <v>2459</v>
      </c>
      <c r="F1193" s="1841" t="s">
        <v>2752</v>
      </c>
      <c r="G1193" s="1841"/>
      <c r="H1193" s="1841"/>
      <c r="I1193" s="1841"/>
      <c r="J1193" s="1841"/>
      <c r="K1193" s="1841"/>
      <c r="L1193" s="1841"/>
      <c r="M1193" s="1841"/>
      <c r="O1193" s="1835" t="s">
        <v>2459</v>
      </c>
      <c r="P1193" s="1790" t="str">
        <f>'Part VIII-Threshold Criteria'!P194</f>
        <v>Yes</v>
      </c>
      <c r="Q1193" s="1790">
        <f>'Part VIII-Threshold Criteria'!Q194</f>
        <v>0</v>
      </c>
    </row>
    <row r="1194" spans="1:17" ht="12.75" customHeight="1">
      <c r="A1194" s="1832"/>
      <c r="B1194" s="1789"/>
      <c r="C1194" s="1841"/>
      <c r="D1194" s="1841"/>
      <c r="E1194" s="1833" t="s">
        <v>1616</v>
      </c>
      <c r="F1194" s="1792" t="s">
        <v>2753</v>
      </c>
      <c r="G1194" s="1792"/>
      <c r="H1194" s="1792"/>
      <c r="I1194" s="1792"/>
      <c r="J1194" s="1792"/>
      <c r="K1194" s="1792"/>
      <c r="L1194" s="1792"/>
      <c r="M1194" s="1792"/>
      <c r="N1194" s="1792"/>
      <c r="O1194" s="1833" t="s">
        <v>1616</v>
      </c>
      <c r="P1194" s="1790" t="str">
        <f>'Part VIII-Threshold Criteria'!P195</f>
        <v>Yes</v>
      </c>
      <c r="Q1194" s="1790">
        <f>'Part VIII-Threshold Criteria'!Q195</f>
        <v>0</v>
      </c>
    </row>
    <row r="1195" spans="1:17" ht="12.75" customHeight="1">
      <c r="B1195" s="1789" t="s">
        <v>2203</v>
      </c>
      <c r="C1195" s="1792" t="s">
        <v>2754</v>
      </c>
      <c r="D1195" s="1792"/>
      <c r="E1195" s="1792"/>
      <c r="F1195" s="1792"/>
      <c r="G1195" s="1792"/>
      <c r="H1195" s="1792"/>
      <c r="I1195" s="1792"/>
      <c r="J1195" s="1792"/>
      <c r="K1195" s="1792"/>
      <c r="L1195" s="1792"/>
      <c r="M1195" s="1792"/>
      <c r="N1195" s="1792"/>
      <c r="O1195" s="1833" t="s">
        <v>2203</v>
      </c>
      <c r="P1195" s="1790" t="str">
        <f>'Part VIII-Threshold Criteria'!P196</f>
        <v>Yes</v>
      </c>
      <c r="Q1195" s="1790">
        <f>'Part VIII-Threshold Criteria'!Q196</f>
        <v>0</v>
      </c>
    </row>
    <row r="1196" spans="1:17">
      <c r="B1196" s="1789" t="s">
        <v>1811</v>
      </c>
      <c r="C1196" s="1841" t="s">
        <v>2475</v>
      </c>
      <c r="D1196" s="1841"/>
      <c r="E1196" s="1841"/>
      <c r="F1196" s="1841"/>
      <c r="G1196" s="1841"/>
      <c r="H1196" s="1841"/>
      <c r="I1196" s="1841"/>
      <c r="J1196" s="1841"/>
      <c r="K1196" s="1841"/>
      <c r="L1196" s="1841"/>
      <c r="M1196" s="1841"/>
      <c r="O1196" s="1833" t="s">
        <v>1811</v>
      </c>
      <c r="P1196" s="1790" t="str">
        <f>'Part VIII-Threshold Criteria'!P197</f>
        <v>Yes</v>
      </c>
      <c r="Q1196" s="1790">
        <f>'Part VIII-Threshold Criteria'!Q197</f>
        <v>0</v>
      </c>
    </row>
    <row r="1197" spans="1:17">
      <c r="B1197" s="1729" t="s">
        <v>1946</v>
      </c>
      <c r="D1197" s="1729"/>
      <c r="E1197" s="1729"/>
      <c r="F1197" s="1729"/>
      <c r="G1197" s="1729"/>
      <c r="H1197" s="1728"/>
      <c r="I1197" s="1787"/>
      <c r="J1197" s="1787"/>
      <c r="K1197" s="1787"/>
      <c r="L1197" s="1692"/>
      <c r="M1197" s="1692"/>
      <c r="N1197" s="1692"/>
      <c r="O1197" s="1692"/>
      <c r="P1197" s="1692"/>
      <c r="Q1197" s="1692"/>
    </row>
    <row r="1198" spans="1:17" ht="112.5">
      <c r="A1198" s="1792" t="str">
        <f>'Part VIII-Threshold Criteria'!A199</f>
        <v>The site is zoned for the intended use.  Please see Tab 10 for additional zoning information.</v>
      </c>
      <c r="B1198" s="1792"/>
      <c r="C1198" s="1792"/>
      <c r="D1198" s="1792"/>
      <c r="E1198" s="1792"/>
      <c r="F1198" s="1792"/>
      <c r="G1198" s="1792"/>
      <c r="H1198" s="1792"/>
      <c r="I1198" s="1792"/>
      <c r="J1198" s="1792"/>
      <c r="K1198" s="1792"/>
      <c r="L1198" s="1792"/>
      <c r="M1198" s="1792"/>
      <c r="N1198" s="1792"/>
      <c r="O1198" s="1792"/>
      <c r="P1198" s="1792"/>
      <c r="Q1198" s="1792"/>
    </row>
    <row r="1199" spans="1:17">
      <c r="B1199" s="1793" t="s">
        <v>1947</v>
      </c>
      <c r="C1199" s="1794"/>
      <c r="D1199" s="1795"/>
      <c r="E1199" s="1795"/>
      <c r="F1199" s="1795"/>
      <c r="G1199" s="1795"/>
      <c r="H1199" s="1795"/>
      <c r="I1199" s="1795"/>
      <c r="J1199" s="1795"/>
      <c r="K1199" s="1795"/>
      <c r="L1199" s="1795"/>
      <c r="M1199" s="1795"/>
      <c r="N1199" s="1795"/>
      <c r="O1199" s="1795"/>
      <c r="P1199" s="1795"/>
    </row>
    <row r="1200" spans="1:17">
      <c r="A1200" s="1792">
        <f>'Part VIII-Threshold Criteria'!A201</f>
        <v>0</v>
      </c>
      <c r="B1200" s="1792"/>
      <c r="C1200" s="1792"/>
      <c r="D1200" s="1792"/>
      <c r="E1200" s="1792"/>
      <c r="F1200" s="1792"/>
      <c r="G1200" s="1792"/>
      <c r="H1200" s="1792"/>
      <c r="I1200" s="1792"/>
      <c r="J1200" s="1792"/>
      <c r="K1200" s="1792"/>
      <c r="L1200" s="1792"/>
      <c r="M1200" s="1792"/>
      <c r="N1200" s="1792"/>
      <c r="O1200" s="1792"/>
      <c r="P1200" s="1792"/>
      <c r="Q1200" s="1792"/>
    </row>
    <row r="1201" spans="1:17">
      <c r="A1201" s="1692"/>
      <c r="B1201" s="1787"/>
      <c r="C1201" s="1795"/>
      <c r="D1201" s="1795"/>
      <c r="E1201" s="1795"/>
      <c r="F1201" s="1795"/>
      <c r="G1201" s="1795"/>
      <c r="H1201" s="1795"/>
      <c r="I1201" s="1795"/>
      <c r="J1201" s="1795"/>
      <c r="K1201" s="1795"/>
      <c r="L1201" s="1795"/>
      <c r="M1201" s="1795"/>
      <c r="N1201" s="1795"/>
      <c r="O1201" s="1795"/>
      <c r="P1201" s="1795"/>
      <c r="Q1201" s="1692"/>
    </row>
    <row r="1202" spans="1:17">
      <c r="A1202" s="1681">
        <v>11</v>
      </c>
      <c r="B1202" s="1681" t="s">
        <v>2765</v>
      </c>
      <c r="C1202" s="1681"/>
      <c r="D1202" s="1795"/>
      <c r="E1202" s="1842"/>
      <c r="F1202" s="1842"/>
      <c r="G1202" s="1795"/>
      <c r="J1202" s="1792"/>
      <c r="K1202" s="1792"/>
      <c r="L1202" s="1792"/>
      <c r="M1202" s="1792"/>
      <c r="N1202" s="1792"/>
      <c r="O1202" s="1788" t="s">
        <v>1948</v>
      </c>
      <c r="P1202" s="1700">
        <f>'Part VIII-Threshold Criteria'!P203</f>
        <v>0</v>
      </c>
      <c r="Q1202" s="1700"/>
    </row>
    <row r="1203" spans="1:17" ht="12.75" customHeight="1">
      <c r="A1203" s="1711"/>
      <c r="B1203" s="1791" t="s">
        <v>2068</v>
      </c>
      <c r="C1203" s="1792" t="s">
        <v>99</v>
      </c>
      <c r="D1203" s="1792"/>
      <c r="E1203" s="1792"/>
      <c r="F1203" s="1792"/>
      <c r="G1203" s="1792"/>
      <c r="H1203" s="1765" t="s">
        <v>1813</v>
      </c>
      <c r="I1203" s="519" t="s">
        <v>158</v>
      </c>
      <c r="K1203" s="1786" t="str">
        <f>'Part VIII-Threshold Criteria'!K204</f>
        <v>N/A</v>
      </c>
      <c r="L1203" s="1786"/>
      <c r="M1203" s="1786"/>
      <c r="N1203" s="1786"/>
      <c r="O1203" s="1765" t="s">
        <v>1813</v>
      </c>
      <c r="P1203" s="1790" t="str">
        <f>'Part VIII-Threshold Criteria'!P204</f>
        <v>No</v>
      </c>
      <c r="Q1203" s="1790">
        <f>'Part VIII-Threshold Criteria'!Q204</f>
        <v>0</v>
      </c>
    </row>
    <row r="1204" spans="1:17">
      <c r="A1204" s="1711"/>
      <c r="B1204" s="1787"/>
      <c r="C1204" s="1629"/>
      <c r="D1204" s="1629"/>
      <c r="E1204" s="1629"/>
      <c r="F1204" s="1629"/>
      <c r="H1204" s="1765" t="s">
        <v>1814</v>
      </c>
      <c r="I1204" s="519" t="s">
        <v>1663</v>
      </c>
      <c r="K1204" s="1786" t="str">
        <f>'Part VIII-Threshold Criteria'!K205</f>
        <v>Georgia Power</v>
      </c>
      <c r="L1204" s="1786"/>
      <c r="M1204" s="1786"/>
      <c r="N1204" s="1786"/>
      <c r="O1204" s="1765" t="s">
        <v>1814</v>
      </c>
      <c r="P1204" s="1790" t="str">
        <f>'Part VIII-Threshold Criteria'!P205</f>
        <v>Yes</v>
      </c>
      <c r="Q1204" s="1790">
        <f>'Part VIII-Threshold Criteria'!Q205</f>
        <v>0</v>
      </c>
    </row>
    <row r="1205" spans="1:17">
      <c r="B1205" s="1729" t="s">
        <v>1946</v>
      </c>
      <c r="D1205" s="1729"/>
      <c r="E1205" s="1729"/>
      <c r="F1205" s="1729"/>
      <c r="G1205" s="1729"/>
      <c r="J1205" s="1787"/>
      <c r="K1205" s="1787"/>
      <c r="L1205" s="1692"/>
      <c r="M1205" s="1692"/>
      <c r="N1205" s="1692"/>
      <c r="O1205" s="1692"/>
      <c r="P1205" s="1692"/>
      <c r="Q1205" s="1692"/>
    </row>
    <row r="1206" spans="1:17" ht="67.5">
      <c r="A1206" s="1792" t="str">
        <f>'Part VIII-Threshold Criteria'!A207</f>
        <v>The proposed project will be 100% electric.  No gas.</v>
      </c>
      <c r="B1206" s="1792"/>
      <c r="C1206" s="1792"/>
      <c r="D1206" s="1792"/>
      <c r="E1206" s="1792"/>
      <c r="F1206" s="1792"/>
      <c r="G1206" s="1792"/>
      <c r="H1206" s="1792"/>
      <c r="I1206" s="1792"/>
      <c r="J1206" s="1792"/>
      <c r="K1206" s="1792"/>
      <c r="L1206" s="1792"/>
      <c r="M1206" s="1792"/>
      <c r="N1206" s="1792"/>
      <c r="O1206" s="1792"/>
      <c r="P1206" s="1792"/>
      <c r="Q1206" s="1792"/>
    </row>
    <row r="1207" spans="1:17">
      <c r="B1207" s="1793" t="s">
        <v>1947</v>
      </c>
      <c r="C1207" s="1794"/>
      <c r="D1207" s="1795"/>
      <c r="E1207" s="1795"/>
      <c r="F1207" s="1795"/>
      <c r="G1207" s="1795"/>
      <c r="H1207" s="1795"/>
      <c r="I1207" s="1795"/>
      <c r="J1207" s="1795"/>
      <c r="K1207" s="1795"/>
      <c r="L1207" s="1795"/>
      <c r="M1207" s="1795"/>
      <c r="N1207" s="1795"/>
      <c r="O1207" s="1795"/>
      <c r="P1207" s="1795"/>
    </row>
    <row r="1208" spans="1:17">
      <c r="A1208" s="1792">
        <f>'Part VIII-Threshold Criteria'!A209</f>
        <v>0</v>
      </c>
      <c r="B1208" s="1792"/>
      <c r="C1208" s="1792"/>
      <c r="D1208" s="1792"/>
      <c r="E1208" s="1792"/>
      <c r="F1208" s="1792"/>
      <c r="G1208" s="1792"/>
      <c r="H1208" s="1792"/>
      <c r="I1208" s="1792"/>
      <c r="J1208" s="1792"/>
      <c r="K1208" s="1792"/>
      <c r="L1208" s="1792"/>
      <c r="M1208" s="1792"/>
      <c r="N1208" s="1792"/>
      <c r="O1208" s="1792"/>
      <c r="P1208" s="1792"/>
      <c r="Q1208" s="1792"/>
    </row>
    <row r="1209" spans="1:17">
      <c r="B1209" s="1787"/>
      <c r="C1209" s="1795"/>
      <c r="D1209" s="1795"/>
      <c r="E1209" s="1795"/>
      <c r="F1209" s="1795"/>
      <c r="G1209" s="1795"/>
      <c r="H1209" s="1795"/>
      <c r="I1209" s="1795"/>
      <c r="J1209" s="1795"/>
      <c r="K1209" s="1795"/>
      <c r="L1209" s="1795"/>
      <c r="M1209" s="1795"/>
      <c r="Q1209" s="1692"/>
    </row>
    <row r="1210" spans="1:17">
      <c r="A1210" s="1681">
        <v>12</v>
      </c>
      <c r="B1210" s="521" t="s">
        <v>2766</v>
      </c>
      <c r="C1210" s="521"/>
      <c r="D1210" s="1786"/>
      <c r="E1210" s="1786"/>
      <c r="F1210" s="1786"/>
      <c r="G1210" s="1795"/>
      <c r="H1210" s="1795"/>
      <c r="I1210" s="1795"/>
      <c r="J1210" s="1795"/>
      <c r="K1210" s="1795"/>
      <c r="L1210" s="1795"/>
      <c r="M1210" s="1795"/>
      <c r="O1210" s="1788" t="s">
        <v>1948</v>
      </c>
      <c r="P1210" s="1700">
        <f>'Part VIII-Threshold Criteria'!P211</f>
        <v>0</v>
      </c>
      <c r="Q1210" s="1700"/>
    </row>
    <row r="1212" spans="1:17">
      <c r="B1212" s="1789" t="s">
        <v>2068</v>
      </c>
      <c r="C1212" s="1843" t="s">
        <v>1813</v>
      </c>
      <c r="D1212" s="1844" t="s">
        <v>539</v>
      </c>
      <c r="E1212" s="1844"/>
      <c r="F1212" s="1844"/>
      <c r="G1212" s="1844"/>
      <c r="H1212" s="1844"/>
      <c r="I1212" s="1844"/>
      <c r="J1212" s="1844"/>
      <c r="K1212" s="1844"/>
      <c r="L1212" s="1844"/>
      <c r="M1212" s="1844"/>
      <c r="N1212" s="1844"/>
      <c r="O1212" s="1833" t="s">
        <v>1552</v>
      </c>
      <c r="P1212" s="1790" t="str">
        <f>'Part VIII-Threshold Criteria'!P213</f>
        <v>No</v>
      </c>
      <c r="Q1212" s="1790">
        <f>'Part VIII-Threshold Criteria'!Q213</f>
        <v>0</v>
      </c>
    </row>
    <row r="1213" spans="1:17">
      <c r="B1213" s="1789"/>
      <c r="C1213" s="1843" t="s">
        <v>1814</v>
      </c>
      <c r="D1213" s="1844" t="s">
        <v>1532</v>
      </c>
      <c r="E1213" s="1844"/>
      <c r="F1213" s="1844"/>
      <c r="G1213" s="1844"/>
      <c r="H1213" s="1844"/>
      <c r="I1213" s="1844"/>
      <c r="J1213" s="1844"/>
      <c r="K1213" s="1844"/>
      <c r="L1213" s="1844"/>
      <c r="M1213" s="1844"/>
      <c r="N1213" s="1844"/>
      <c r="O1213" s="1833" t="s">
        <v>1814</v>
      </c>
      <c r="P1213" s="1790">
        <f>'Part VIII-Threshold Criteria'!P214</f>
        <v>0</v>
      </c>
      <c r="Q1213" s="1790">
        <f>'Part VIII-Threshold Criteria'!Q214</f>
        <v>0</v>
      </c>
    </row>
    <row r="1214" spans="1:17" ht="12.75" customHeight="1">
      <c r="A1214" s="1711"/>
      <c r="B1214" s="1789" t="s">
        <v>2071</v>
      </c>
      <c r="C1214" s="1792" t="s">
        <v>1929</v>
      </c>
      <c r="D1214" s="1792"/>
      <c r="E1214" s="1792"/>
      <c r="F1214" s="1792"/>
      <c r="G1214" s="1792"/>
      <c r="H1214" s="1765" t="s">
        <v>1813</v>
      </c>
      <c r="I1214" s="519" t="s">
        <v>665</v>
      </c>
      <c r="K1214" s="1786" t="str">
        <f>'Part VIII-Threshold Criteria'!K215</f>
        <v>City of Atlanta</v>
      </c>
      <c r="L1214" s="1786"/>
      <c r="M1214" s="1786"/>
      <c r="N1214" s="1786"/>
      <c r="O1214" s="1765" t="s">
        <v>1510</v>
      </c>
      <c r="P1214" s="1790" t="str">
        <f>'Part VIII-Threshold Criteria'!P215</f>
        <v>Yes</v>
      </c>
      <c r="Q1214" s="1790">
        <f>'Part VIII-Threshold Criteria'!Q215</f>
        <v>0</v>
      </c>
    </row>
    <row r="1215" spans="1:17">
      <c r="A1215" s="1711"/>
      <c r="B1215" s="1517"/>
      <c r="C1215" s="1792"/>
      <c r="D1215" s="1792"/>
      <c r="E1215" s="1792"/>
      <c r="F1215" s="1792"/>
      <c r="G1215" s="1792"/>
      <c r="H1215" s="1765" t="s">
        <v>1814</v>
      </c>
      <c r="I1215" s="519" t="s">
        <v>118</v>
      </c>
      <c r="K1215" s="1786" t="str">
        <f>'Part VIII-Threshold Criteria'!K216</f>
        <v>&lt;&lt;Enter Provider Name Here&gt;&gt;</v>
      </c>
      <c r="L1215" s="1786"/>
      <c r="M1215" s="1786"/>
      <c r="N1215" s="1786"/>
      <c r="O1215" s="1765" t="s">
        <v>1814</v>
      </c>
      <c r="P1215" s="1790" t="str">
        <f>'Part VIII-Threshold Criteria'!P216</f>
        <v>Yes</v>
      </c>
      <c r="Q1215" s="1790">
        <f>'Part VIII-Threshold Criteria'!Q216</f>
        <v>0</v>
      </c>
    </row>
    <row r="1216" spans="1:17">
      <c r="B1216" s="1729" t="s">
        <v>1946</v>
      </c>
      <c r="D1216" s="1729"/>
      <c r="E1216" s="1729"/>
      <c r="F1216" s="1729"/>
      <c r="G1216" s="1729"/>
      <c r="H1216" s="1728"/>
      <c r="I1216" s="1787"/>
      <c r="J1216" s="1787"/>
      <c r="K1216" s="1787"/>
      <c r="L1216" s="1692"/>
      <c r="M1216" s="1692"/>
      <c r="N1216" s="1692"/>
      <c r="O1216" s="1692"/>
      <c r="P1216" s="1692"/>
      <c r="Q1216" s="1692"/>
    </row>
    <row r="1217" spans="1:17" ht="45">
      <c r="A1217" s="1792" t="str">
        <f>'Part VIII-Threshold Criteria'!A218</f>
        <v>Please see Tab 12 for water/sewer letters.</v>
      </c>
      <c r="B1217" s="1792"/>
      <c r="C1217" s="1792"/>
      <c r="D1217" s="1792"/>
      <c r="E1217" s="1792"/>
      <c r="F1217" s="1792"/>
      <c r="G1217" s="1792"/>
      <c r="H1217" s="1792"/>
      <c r="I1217" s="1792"/>
      <c r="J1217" s="1792"/>
      <c r="K1217" s="1792"/>
      <c r="L1217" s="1792"/>
      <c r="M1217" s="1792"/>
      <c r="N1217" s="1792"/>
      <c r="O1217" s="1792"/>
      <c r="P1217" s="1792"/>
      <c r="Q1217" s="1792"/>
    </row>
    <row r="1218" spans="1:17">
      <c r="B1218" s="1793" t="s">
        <v>1947</v>
      </c>
      <c r="C1218" s="1794"/>
      <c r="D1218" s="1795"/>
      <c r="E1218" s="1795"/>
      <c r="F1218" s="1795"/>
      <c r="G1218" s="1795"/>
      <c r="H1218" s="1795"/>
      <c r="I1218" s="1795"/>
      <c r="J1218" s="1795"/>
      <c r="K1218" s="1795"/>
      <c r="L1218" s="1795"/>
      <c r="M1218" s="1795"/>
      <c r="N1218" s="1795"/>
      <c r="O1218" s="1795"/>
      <c r="P1218" s="1795"/>
    </row>
    <row r="1219" spans="1:17">
      <c r="A1219" s="1792">
        <f>'Part VIII-Threshold Criteria'!A220</f>
        <v>0</v>
      </c>
      <c r="B1219" s="1792"/>
      <c r="C1219" s="1792"/>
      <c r="D1219" s="1792"/>
      <c r="E1219" s="1792"/>
      <c r="F1219" s="1792"/>
      <c r="G1219" s="1792"/>
      <c r="H1219" s="1792"/>
      <c r="I1219" s="1792"/>
      <c r="J1219" s="1792"/>
      <c r="K1219" s="1792"/>
      <c r="L1219" s="1792"/>
      <c r="M1219" s="1792"/>
      <c r="N1219" s="1792"/>
      <c r="O1219" s="1792"/>
      <c r="P1219" s="1792"/>
      <c r="Q1219" s="1792"/>
    </row>
    <row r="1220" spans="1:17">
      <c r="A1220" s="1692"/>
      <c r="B1220" s="1787"/>
      <c r="C1220" s="1795"/>
      <c r="D1220" s="1795"/>
      <c r="E1220" s="1795"/>
      <c r="F1220" s="1795"/>
      <c r="G1220" s="1795"/>
      <c r="H1220" s="1795"/>
      <c r="I1220" s="1795"/>
      <c r="J1220" s="1795"/>
      <c r="K1220" s="1795"/>
      <c r="L1220" s="1795"/>
      <c r="M1220" s="1795"/>
      <c r="Q1220" s="1692"/>
    </row>
    <row r="1221" spans="1:17">
      <c r="A1221" s="1681">
        <v>13</v>
      </c>
      <c r="B1221" s="521" t="s">
        <v>2767</v>
      </c>
      <c r="C1221" s="521"/>
      <c r="D1221" s="1786"/>
      <c r="E1221" s="1786"/>
      <c r="F1221" s="1786"/>
      <c r="G1221" s="1786"/>
      <c r="H1221" s="1795"/>
      <c r="I1221" s="1795"/>
      <c r="J1221" s="1795"/>
      <c r="K1221" s="1795"/>
      <c r="L1221" s="1795"/>
      <c r="M1221" s="1795"/>
      <c r="O1221" s="1788" t="s">
        <v>1948</v>
      </c>
      <c r="P1221" s="1700">
        <f>'Part VIII-Threshold Criteria'!P222</f>
        <v>0</v>
      </c>
      <c r="Q1221" s="1700"/>
    </row>
    <row r="1222" spans="1:17">
      <c r="B1222" s="502" t="s">
        <v>149</v>
      </c>
    </row>
    <row r="1223" spans="1:17">
      <c r="B1223" s="1791" t="s">
        <v>2068</v>
      </c>
      <c r="C1223" s="519" t="s">
        <v>3206</v>
      </c>
      <c r="D1223" s="518"/>
      <c r="E1223" s="519"/>
      <c r="F1223" s="519"/>
      <c r="G1223" s="519"/>
      <c r="H1223" s="519"/>
      <c r="I1223" s="518"/>
      <c r="J1223" s="518"/>
      <c r="K1223" s="518"/>
      <c r="L1223" s="1841"/>
      <c r="M1223" s="1841"/>
      <c r="O1223" s="1833" t="s">
        <v>2068</v>
      </c>
      <c r="P1223" s="1790" t="str">
        <f>'Part VIII-Threshold Criteria'!P224</f>
        <v>Yes</v>
      </c>
      <c r="Q1223" s="1790">
        <f>'Part VIII-Threshold Criteria'!Q224</f>
        <v>0</v>
      </c>
    </row>
    <row r="1224" spans="1:17" ht="12.75" customHeight="1">
      <c r="B1224" s="1791"/>
      <c r="C1224" s="519"/>
      <c r="D1224" s="519" t="s">
        <v>3186</v>
      </c>
      <c r="E1224" s="519"/>
      <c r="F1224" s="519"/>
      <c r="G1224" s="1845" t="str">
        <f>'Part VIII-Threshold Criteria'!G225</f>
        <v>Beginning 4/30/15</v>
      </c>
      <c r="H1224" s="1845"/>
      <c r="L1224" s="1757" t="s">
        <v>4093</v>
      </c>
      <c r="M1224" s="1845">
        <f>'Part VIII-Threshold Criteria'!M225</f>
        <v>0</v>
      </c>
      <c r="N1224" s="1845"/>
    </row>
    <row r="1225" spans="1:17">
      <c r="B1225" s="1791"/>
      <c r="C1225" s="519"/>
      <c r="D1225" s="502" t="s">
        <v>3188</v>
      </c>
      <c r="E1225" s="519"/>
      <c r="F1225" s="519"/>
      <c r="G1225" s="1786" t="str">
        <f>'Part VIII-Threshold Criteria'!G226</f>
        <v>Atlanta Journal Constitution (Print and Online</v>
      </c>
      <c r="H1225" s="1786"/>
      <c r="I1225" s="1786"/>
      <c r="J1225" s="1786"/>
      <c r="K1225" s="1786"/>
      <c r="L1225" s="1757"/>
      <c r="M1225" s="1786">
        <f>'Part VIII-Threshold Criteria'!M226</f>
        <v>0</v>
      </c>
      <c r="N1225" s="1786"/>
      <c r="O1225" s="1786"/>
      <c r="P1225" s="1786"/>
      <c r="Q1225" s="1786"/>
    </row>
    <row r="1226" spans="1:17">
      <c r="B1226" s="1791"/>
      <c r="C1226" s="519"/>
      <c r="D1226" s="519" t="s">
        <v>3187</v>
      </c>
      <c r="E1226" s="518"/>
      <c r="G1226" s="1845">
        <f>'Part VIII-Threshold Criteria'!G227</f>
        <v>42131</v>
      </c>
      <c r="H1226" s="1845"/>
      <c r="I1226" s="519"/>
      <c r="J1226" s="518"/>
      <c r="K1226" s="518"/>
      <c r="L1226" s="1757"/>
      <c r="M1226" s="1845">
        <f>'Part VIII-Threshold Criteria'!M227</f>
        <v>0</v>
      </c>
      <c r="N1226" s="1845"/>
    </row>
    <row r="1227" spans="1:17">
      <c r="B1227" s="1791" t="s">
        <v>2071</v>
      </c>
      <c r="C1227" s="519" t="s">
        <v>3039</v>
      </c>
      <c r="D1227" s="519"/>
      <c r="E1227" s="519"/>
      <c r="F1227" s="519"/>
      <c r="G1227" s="519"/>
      <c r="H1227" s="519"/>
      <c r="I1227" s="518"/>
      <c r="J1227" s="518"/>
      <c r="K1227" s="518"/>
      <c r="L1227" s="1815"/>
      <c r="M1227" s="1815"/>
      <c r="O1227" s="1833" t="s">
        <v>2071</v>
      </c>
      <c r="P1227" s="1790" t="str">
        <f>'Part VIII-Threshold Criteria'!P228</f>
        <v>Yes</v>
      </c>
      <c r="Q1227" s="1790">
        <f>'Part VIII-Threshold Criteria'!Q228</f>
        <v>0</v>
      </c>
    </row>
    <row r="1228" spans="1:17">
      <c r="B1228" s="1791" t="s">
        <v>786</v>
      </c>
      <c r="C1228" s="519" t="s">
        <v>3040</v>
      </c>
      <c r="D1228" s="519"/>
      <c r="E1228" s="519"/>
      <c r="F1228" s="519"/>
      <c r="G1228" s="519"/>
      <c r="H1228" s="519"/>
      <c r="I1228" s="518"/>
      <c r="J1228" s="518"/>
      <c r="K1228" s="518"/>
      <c r="L1228" s="1815"/>
      <c r="M1228" s="1815"/>
      <c r="O1228" s="1833" t="s">
        <v>786</v>
      </c>
      <c r="P1228" s="1790" t="str">
        <f>'Part VIII-Threshold Criteria'!P229</f>
        <v>Yes</v>
      </c>
      <c r="Q1228" s="1790">
        <f>'Part VIII-Threshold Criteria'!Q229</f>
        <v>0</v>
      </c>
    </row>
    <row r="1229" spans="1:17">
      <c r="B1229" s="1791" t="s">
        <v>2203</v>
      </c>
      <c r="C1229" s="519" t="s">
        <v>3945</v>
      </c>
      <c r="D1229" s="519"/>
      <c r="E1229" s="519"/>
      <c r="F1229" s="519"/>
      <c r="G1229" s="519"/>
      <c r="H1229" s="519"/>
      <c r="I1229" s="518"/>
      <c r="J1229" s="518"/>
      <c r="K1229" s="518"/>
      <c r="L1229" s="1841"/>
      <c r="M1229" s="1841"/>
      <c r="O1229" s="1765" t="s">
        <v>2203</v>
      </c>
      <c r="P1229" s="1790" t="str">
        <f>'Part VIII-Threshold Criteria'!P230</f>
        <v>Yes</v>
      </c>
      <c r="Q1229" s="1790">
        <f>'Part VIII-Threshold Criteria'!Q230</f>
        <v>0</v>
      </c>
    </row>
    <row r="1230" spans="1:17">
      <c r="B1230" s="1791" t="s">
        <v>1811</v>
      </c>
      <c r="C1230" s="519" t="s">
        <v>150</v>
      </c>
      <c r="D1230" s="519"/>
      <c r="E1230" s="519"/>
      <c r="F1230" s="519"/>
      <c r="G1230" s="519"/>
      <c r="H1230" s="519"/>
      <c r="I1230" s="518"/>
      <c r="J1230" s="518"/>
      <c r="K1230" s="518"/>
      <c r="L1230" s="518"/>
      <c r="M1230" s="518"/>
      <c r="O1230" s="1765" t="s">
        <v>1811</v>
      </c>
      <c r="P1230" s="1790" t="str">
        <f>'Part VIII-Threshold Criteria'!P231</f>
        <v>Yes</v>
      </c>
      <c r="Q1230" s="1790">
        <f>'Part VIII-Threshold Criteria'!Q231</f>
        <v>0</v>
      </c>
    </row>
    <row r="1231" spans="1:17">
      <c r="B1231" s="1729" t="s">
        <v>1946</v>
      </c>
      <c r="D1231" s="1729"/>
      <c r="E1231" s="1729"/>
      <c r="F1231" s="1729"/>
      <c r="G1231" s="1729"/>
      <c r="H1231" s="1728"/>
      <c r="I1231" s="1787"/>
      <c r="J1231" s="1787"/>
      <c r="K1231" s="1787"/>
      <c r="L1231" s="1692"/>
      <c r="M1231" s="1692"/>
      <c r="N1231" s="1692"/>
      <c r="O1231" s="1692"/>
      <c r="P1231" s="1692"/>
      <c r="Q1231" s="1692"/>
    </row>
    <row r="1232" spans="1:17" ht="360">
      <c r="A1232" s="1792" t="str">
        <f>'Part VIII-Threshold Criteria'!A233</f>
        <v>See Tab 13 in the Application for more details.  The project was presented at multiple public meetings including Capitol View Neighborhood Association, NPU-X, and the City of Atlanta's Community Development and Human Resources committee.  A resolution of support was provided by Councilmember Joyce Sheperd.</v>
      </c>
      <c r="B1232" s="1792"/>
      <c r="C1232" s="1792"/>
      <c r="D1232" s="1792"/>
      <c r="E1232" s="1792"/>
      <c r="F1232" s="1792"/>
      <c r="G1232" s="1792"/>
      <c r="H1232" s="1792"/>
      <c r="I1232" s="1792"/>
      <c r="J1232" s="1792"/>
      <c r="K1232" s="1792"/>
      <c r="L1232" s="1792"/>
      <c r="M1232" s="1792"/>
      <c r="N1232" s="1792"/>
      <c r="O1232" s="1792"/>
      <c r="P1232" s="1792"/>
      <c r="Q1232" s="1792"/>
    </row>
    <row r="1234" spans="1:17">
      <c r="B1234" s="1793" t="s">
        <v>1947</v>
      </c>
      <c r="C1234" s="1794"/>
      <c r="D1234" s="1795"/>
      <c r="E1234" s="1795"/>
      <c r="F1234" s="1795"/>
      <c r="G1234" s="1795"/>
      <c r="H1234" s="1795"/>
      <c r="I1234" s="1795"/>
      <c r="J1234" s="1795"/>
      <c r="K1234" s="1795"/>
      <c r="L1234" s="1795"/>
      <c r="M1234" s="1795"/>
      <c r="N1234" s="1795"/>
      <c r="O1234" s="1795"/>
      <c r="P1234" s="1795"/>
      <c r="Q1234" s="1795"/>
    </row>
    <row r="1235" spans="1:17">
      <c r="A1235" s="1792">
        <f>'Part VIII-Threshold Criteria'!A236</f>
        <v>0</v>
      </c>
      <c r="B1235" s="1792"/>
      <c r="C1235" s="1792"/>
      <c r="D1235" s="1792"/>
      <c r="E1235" s="1792"/>
      <c r="F1235" s="1792"/>
      <c r="G1235" s="1792"/>
      <c r="H1235" s="1792"/>
      <c r="I1235" s="1792"/>
      <c r="J1235" s="1792"/>
      <c r="K1235" s="1792"/>
      <c r="L1235" s="1792"/>
      <c r="M1235" s="1792"/>
      <c r="N1235" s="1792"/>
      <c r="O1235" s="1792"/>
      <c r="P1235" s="1792"/>
      <c r="Q1235" s="1792"/>
    </row>
    <row r="1236" spans="1:17">
      <c r="A1236" s="1692"/>
      <c r="B1236" s="1787"/>
      <c r="C1236" s="1795"/>
      <c r="D1236" s="1795"/>
      <c r="E1236" s="1795"/>
      <c r="F1236" s="1795"/>
      <c r="G1236" s="1795"/>
      <c r="H1236" s="1795"/>
      <c r="I1236" s="1795"/>
      <c r="J1236" s="1795"/>
      <c r="K1236" s="1795"/>
      <c r="L1236" s="1795"/>
      <c r="M1236" s="1795"/>
      <c r="Q1236" s="1692"/>
    </row>
    <row r="1237" spans="1:17">
      <c r="A1237" s="1681">
        <v>14</v>
      </c>
      <c r="B1237" s="1681" t="s">
        <v>2768</v>
      </c>
      <c r="C1237" s="1823"/>
      <c r="D1237" s="1795"/>
      <c r="E1237" s="1795"/>
      <c r="F1237" s="1795"/>
      <c r="G1237" s="1795"/>
      <c r="H1237" s="1795"/>
      <c r="I1237" s="1795"/>
      <c r="J1237" s="1795"/>
      <c r="K1237" s="1795"/>
      <c r="L1237" s="1795"/>
      <c r="M1237" s="1795"/>
      <c r="O1237" s="1788" t="s">
        <v>1948</v>
      </c>
      <c r="P1237" s="1700">
        <f>'Part VIII-Threshold Criteria'!P238</f>
        <v>0</v>
      </c>
      <c r="Q1237" s="1700"/>
    </row>
    <row r="1238" spans="1:17">
      <c r="B1238" s="502" t="s">
        <v>1242</v>
      </c>
      <c r="N1238" s="1518"/>
      <c r="P1238" s="1790" t="str">
        <f>'Part VIII-Threshold Criteria'!P239</f>
        <v>Yes</v>
      </c>
      <c r="Q1238" s="1790">
        <f>'Part VIII-Threshold Criteria'!Q239</f>
        <v>0</v>
      </c>
    </row>
    <row r="1239" spans="1:17">
      <c r="B1239" s="1791" t="s">
        <v>2068</v>
      </c>
      <c r="C1239" s="519" t="s">
        <v>3206</v>
      </c>
      <c r="D1239" s="518"/>
      <c r="E1239" s="519"/>
      <c r="F1239" s="519"/>
      <c r="G1239" s="519"/>
      <c r="H1239" s="519"/>
      <c r="I1239" s="518"/>
      <c r="J1239" s="518"/>
      <c r="K1239" s="518"/>
      <c r="L1239" s="1841"/>
      <c r="M1239" s="1841"/>
      <c r="O1239" s="1833" t="s">
        <v>2068</v>
      </c>
      <c r="P1239" s="1790" t="str">
        <f>'Part VIII-Threshold Criteria'!P240</f>
        <v>Agree</v>
      </c>
      <c r="Q1239" s="1790">
        <f>'Part VIII-Threshold Criteria'!Q240</f>
        <v>0</v>
      </c>
    </row>
    <row r="1240" spans="1:17">
      <c r="B1240" s="1791"/>
      <c r="C1240" s="1765" t="s">
        <v>1813</v>
      </c>
      <c r="D1240" s="519" t="s">
        <v>2015</v>
      </c>
      <c r="E1240" s="519"/>
      <c r="F1240" s="519"/>
      <c r="G1240" s="519"/>
      <c r="H1240" s="519"/>
      <c r="I1240" s="518"/>
      <c r="K1240" s="1765" t="s">
        <v>1552</v>
      </c>
      <c r="L1240" s="1786" t="str">
        <f>'Part VIII-Threshold Criteria'!L241</f>
        <v>Room</v>
      </c>
      <c r="M1240" s="1786"/>
      <c r="Q1240" s="1790">
        <f>'Part VIII-Threshold Criteria'!Q241</f>
        <v>0</v>
      </c>
    </row>
    <row r="1241" spans="1:17" ht="13.5">
      <c r="B1241" s="1791"/>
      <c r="C1241" s="1765" t="s">
        <v>1814</v>
      </c>
      <c r="D1241" s="1728" t="s">
        <v>2853</v>
      </c>
      <c r="E1241" s="1728"/>
      <c r="F1241" s="1728"/>
      <c r="G1241" s="1728"/>
      <c r="H1241" s="1728"/>
      <c r="I1241" s="518"/>
      <c r="K1241" s="1765" t="s">
        <v>1553</v>
      </c>
      <c r="L1241" s="1786" t="str">
        <f>'Part VIII-Threshold Criteria'!L242</f>
        <v>Covered Porch</v>
      </c>
      <c r="M1241" s="1786"/>
      <c r="N1241" s="1846" t="str">
        <f>'Part VIII-Threshold Criteria'!N242</f>
        <v>If "Other", explain here</v>
      </c>
      <c r="O1241" s="1846"/>
      <c r="P1241" s="1846"/>
      <c r="Q1241" s="1790">
        <f>'Part VIII-Threshold Criteria'!Q242</f>
        <v>0</v>
      </c>
    </row>
    <row r="1242" spans="1:17">
      <c r="B1242" s="1791"/>
      <c r="C1242" s="1765" t="s">
        <v>1815</v>
      </c>
      <c r="D1242" s="1728" t="s">
        <v>583</v>
      </c>
      <c r="E1242" s="1728"/>
      <c r="F1242" s="1728"/>
      <c r="G1242" s="1728"/>
      <c r="H1242" s="1728"/>
      <c r="I1242" s="518"/>
      <c r="K1242" s="1765" t="s">
        <v>1554</v>
      </c>
      <c r="L1242" s="1786" t="str">
        <f>'Part VIII-Threshold Criteria'!L243</f>
        <v>On-site laundry</v>
      </c>
      <c r="M1242" s="1786"/>
      <c r="N1242" s="1786"/>
      <c r="Q1242" s="1790">
        <f>'Part VIII-Threshold Criteria'!Q243</f>
        <v>0</v>
      </c>
    </row>
    <row r="1243" spans="1:17">
      <c r="B1243" s="1791"/>
      <c r="C1243" s="1765"/>
      <c r="D1243" s="519"/>
      <c r="E1243" s="519"/>
      <c r="F1243" s="519"/>
      <c r="G1243" s="519"/>
      <c r="H1243" s="519"/>
      <c r="I1243" s="518"/>
      <c r="J1243" s="518"/>
      <c r="K1243" s="518"/>
      <c r="L1243" s="518"/>
      <c r="M1243" s="518"/>
    </row>
    <row r="1244" spans="1:17">
      <c r="B1244" s="1791" t="s">
        <v>2071</v>
      </c>
      <c r="C1244" s="519" t="s">
        <v>2608</v>
      </c>
      <c r="D1244" s="519"/>
      <c r="E1244" s="519"/>
      <c r="F1244" s="519"/>
      <c r="G1244" s="519"/>
      <c r="H1244" s="519"/>
      <c r="I1244" s="519"/>
      <c r="J1244" s="519"/>
      <c r="K1244" s="518"/>
      <c r="L1244" s="518"/>
      <c r="M1244" s="518"/>
      <c r="N1244" s="518"/>
      <c r="O1244" s="1765" t="s">
        <v>2071</v>
      </c>
      <c r="P1244" s="1790" t="str">
        <f>'Part VIII-Threshold Criteria'!P245</f>
        <v>Agree</v>
      </c>
      <c r="Q1244" s="1790">
        <f>'Part VIII-Threshold Criteria'!Q245</f>
        <v>0</v>
      </c>
    </row>
    <row r="1245" spans="1:17">
      <c r="B1245" s="1791"/>
      <c r="C1245" s="519" t="s">
        <v>4592</v>
      </c>
      <c r="D1245" s="519"/>
      <c r="E1245" s="519"/>
      <c r="F1245" s="519"/>
      <c r="G1245" s="519"/>
      <c r="H1245" s="519"/>
      <c r="I1245" s="519"/>
      <c r="J1245" s="519"/>
      <c r="K1245" s="518"/>
      <c r="L1245" s="518"/>
      <c r="M1245" s="518"/>
      <c r="N1245" s="518"/>
      <c r="O1245" s="518"/>
      <c r="P1245" s="1844" t="s">
        <v>3</v>
      </c>
      <c r="Q1245" s="1844"/>
    </row>
    <row r="1246" spans="1:17">
      <c r="B1246" s="1791"/>
      <c r="D1246" s="519" t="s">
        <v>2</v>
      </c>
      <c r="E1246" s="519"/>
      <c r="F1246" s="519"/>
      <c r="G1246" s="519"/>
      <c r="I1246" s="1847" t="s">
        <v>811</v>
      </c>
      <c r="J1246" s="1532" t="s">
        <v>812</v>
      </c>
      <c r="L1246" s="519" t="s">
        <v>2855</v>
      </c>
      <c r="M1246" s="518"/>
      <c r="N1246" s="518"/>
      <c r="O1246" s="1847"/>
      <c r="P1246" s="1657" t="s">
        <v>811</v>
      </c>
      <c r="Q1246" s="1532" t="s">
        <v>812</v>
      </c>
    </row>
    <row r="1247" spans="1:17" ht="22.5">
      <c r="A1247" s="518"/>
      <c r="B1247" s="1790"/>
      <c r="C1247" s="1765" t="s">
        <v>1813</v>
      </c>
      <c r="D1247" s="1792" t="str">
        <f>'Part VIII-Threshold Criteria'!D248</f>
        <v>Fitness Center</v>
      </c>
      <c r="E1247" s="1792"/>
      <c r="F1247" s="1792"/>
      <c r="G1247" s="1792"/>
      <c r="H1247" s="1792"/>
      <c r="I1247" s="1790">
        <f>'Part VIII-Threshold Criteria'!I248</f>
        <v>0</v>
      </c>
      <c r="J1247" s="1790">
        <f>'Part VIII-Threshold Criteria'!J248</f>
        <v>0</v>
      </c>
      <c r="K1247" s="1765" t="s">
        <v>1815</v>
      </c>
      <c r="L1247" s="1792" t="str">
        <f>'Part VIII-Threshold Criteria'!L248</f>
        <v>Community Garden</v>
      </c>
      <c r="M1247" s="1792"/>
      <c r="N1247" s="1792"/>
      <c r="O1247" s="1792"/>
      <c r="P1247" s="1790">
        <f>'Part VIII-Threshold Criteria'!P248</f>
        <v>0</v>
      </c>
      <c r="Q1247" s="1790">
        <f>'Part VIII-Threshold Criteria'!Q248</f>
        <v>0</v>
      </c>
    </row>
    <row r="1248" spans="1:17" ht="22.5">
      <c r="A1248" s="518"/>
      <c r="B1248" s="1790"/>
      <c r="C1248" s="1765" t="s">
        <v>1814</v>
      </c>
      <c r="D1248" s="1792" t="str">
        <f>'Part VIII-Threshold Criteria'!D249</f>
        <v>Computer Center</v>
      </c>
      <c r="E1248" s="1792"/>
      <c r="F1248" s="1792"/>
      <c r="G1248" s="1792"/>
      <c r="H1248" s="1792"/>
      <c r="I1248" s="1790">
        <f>'Part VIII-Threshold Criteria'!I249</f>
        <v>0</v>
      </c>
      <c r="J1248" s="1790">
        <f>'Part VIII-Threshold Criteria'!J249</f>
        <v>0</v>
      </c>
      <c r="K1248" s="1765" t="s">
        <v>2459</v>
      </c>
      <c r="L1248" s="1792" t="str">
        <f>'Part VIII-Threshold Criteria'!L249</f>
        <v>Arts and Crafts Room</v>
      </c>
      <c r="M1248" s="1792"/>
      <c r="N1248" s="1792"/>
      <c r="O1248" s="1792"/>
      <c r="P1248" s="1790">
        <f>'Part VIII-Threshold Criteria'!P249</f>
        <v>0</v>
      </c>
      <c r="Q1248" s="1790">
        <f>'Part VIII-Threshold Criteria'!Q249</f>
        <v>0</v>
      </c>
    </row>
    <row r="1249" spans="2:17">
      <c r="B1249" s="519"/>
      <c r="C1249" s="518"/>
      <c r="D1249" s="518"/>
      <c r="E1249" s="518"/>
      <c r="F1249" s="518"/>
      <c r="G1249" s="518"/>
      <c r="H1249" s="518"/>
      <c r="I1249" s="518"/>
      <c r="J1249" s="518"/>
      <c r="K1249" s="518"/>
      <c r="L1249" s="518"/>
      <c r="M1249" s="518"/>
      <c r="N1249" s="518"/>
      <c r="O1249" s="518"/>
      <c r="P1249" s="518"/>
      <c r="Q1249" s="518"/>
    </row>
    <row r="1250" spans="2:17">
      <c r="B1250" s="1791" t="s">
        <v>786</v>
      </c>
      <c r="C1250" s="519" t="s">
        <v>1438</v>
      </c>
      <c r="D1250" s="519"/>
      <c r="E1250" s="519"/>
      <c r="F1250" s="519"/>
      <c r="G1250" s="519"/>
      <c r="H1250" s="519"/>
      <c r="I1250" s="519"/>
      <c r="J1250" s="519"/>
      <c r="K1250" s="518"/>
      <c r="L1250" s="519"/>
      <c r="M1250" s="519"/>
      <c r="O1250" s="1765" t="s">
        <v>786</v>
      </c>
      <c r="P1250" s="1790" t="str">
        <f>'Part VIII-Threshold Criteria'!P251</f>
        <v>Agree</v>
      </c>
      <c r="Q1250" s="1790">
        <f>'Part VIII-Threshold Criteria'!Q251</f>
        <v>0</v>
      </c>
    </row>
    <row r="1251" spans="2:17">
      <c r="B1251" s="1791"/>
      <c r="C1251" s="1765" t="s">
        <v>1813</v>
      </c>
      <c r="D1251" s="519" t="s">
        <v>3880</v>
      </c>
      <c r="E1251" s="519"/>
      <c r="F1251" s="519"/>
      <c r="G1251" s="519"/>
      <c r="H1251" s="519"/>
      <c r="I1251" s="518"/>
      <c r="J1251" s="518"/>
      <c r="K1251" s="518"/>
      <c r="L1251" s="518"/>
      <c r="M1251" s="518"/>
      <c r="O1251" s="1765" t="s">
        <v>1813</v>
      </c>
      <c r="P1251" s="1790" t="str">
        <f>'Part VIII-Threshold Criteria'!P252</f>
        <v>Yes</v>
      </c>
      <c r="Q1251" s="1790">
        <f>'Part VIII-Threshold Criteria'!Q252</f>
        <v>0</v>
      </c>
    </row>
    <row r="1252" spans="2:17">
      <c r="C1252" s="1765" t="s">
        <v>1814</v>
      </c>
      <c r="D1252" s="1728" t="s">
        <v>3041</v>
      </c>
      <c r="E1252" s="1728"/>
      <c r="F1252" s="1728"/>
      <c r="G1252" s="1728"/>
      <c r="H1252" s="1728"/>
      <c r="I1252" s="518"/>
      <c r="J1252" s="518"/>
      <c r="K1252" s="518"/>
      <c r="L1252" s="518"/>
      <c r="M1252" s="518"/>
      <c r="O1252" s="1765" t="s">
        <v>1814</v>
      </c>
      <c r="P1252" s="1790" t="str">
        <f>'Part VIII-Threshold Criteria'!P253</f>
        <v>Yes</v>
      </c>
      <c r="Q1252" s="1790">
        <f>'Part VIII-Threshold Criteria'!Q253</f>
        <v>0</v>
      </c>
    </row>
    <row r="1253" spans="2:17">
      <c r="C1253" s="1765" t="s">
        <v>1815</v>
      </c>
      <c r="D1253" s="1728" t="s">
        <v>3042</v>
      </c>
      <c r="E1253" s="1728"/>
      <c r="F1253" s="1728"/>
      <c r="G1253" s="1728"/>
      <c r="H1253" s="1728"/>
      <c r="I1253" s="518"/>
      <c r="J1253" s="518"/>
      <c r="K1253" s="518"/>
      <c r="L1253" s="518"/>
      <c r="M1253" s="518"/>
      <c r="O1253" s="1765" t="s">
        <v>1815</v>
      </c>
      <c r="P1253" s="1790" t="str">
        <f>'Part VIII-Threshold Criteria'!P254</f>
        <v>Yes</v>
      </c>
      <c r="Q1253" s="1790">
        <f>'Part VIII-Threshold Criteria'!Q254</f>
        <v>0</v>
      </c>
    </row>
    <row r="1254" spans="2:17">
      <c r="B1254" s="1791"/>
      <c r="C1254" s="1765" t="s">
        <v>2459</v>
      </c>
      <c r="D1254" s="1728" t="s">
        <v>3043</v>
      </c>
      <c r="E1254" s="1728"/>
      <c r="F1254" s="1728"/>
      <c r="G1254" s="1728"/>
      <c r="H1254" s="1728"/>
      <c r="I1254" s="518"/>
      <c r="J1254" s="518"/>
      <c r="K1254" s="518"/>
      <c r="L1254" s="518"/>
      <c r="M1254" s="518"/>
      <c r="O1254" s="1765" t="s">
        <v>2459</v>
      </c>
      <c r="P1254" s="1790" t="str">
        <f>'Part VIII-Threshold Criteria'!P255</f>
        <v>Yes</v>
      </c>
      <c r="Q1254" s="1790">
        <f>'Part VIII-Threshold Criteria'!Q255</f>
        <v>0</v>
      </c>
    </row>
    <row r="1255" spans="2:17">
      <c r="B1255" s="1791"/>
      <c r="C1255" s="1765" t="s">
        <v>1616</v>
      </c>
      <c r="D1255" s="1728" t="s">
        <v>3044</v>
      </c>
      <c r="E1255" s="1728"/>
      <c r="F1255" s="1728"/>
      <c r="G1255" s="1728"/>
      <c r="H1255" s="1728"/>
      <c r="I1255" s="518"/>
      <c r="J1255" s="518"/>
      <c r="K1255" s="518"/>
      <c r="L1255" s="518"/>
      <c r="M1255" s="518"/>
      <c r="O1255" s="1765" t="s">
        <v>1616</v>
      </c>
      <c r="P1255" s="1790" t="str">
        <f>'Part VIII-Threshold Criteria'!P256</f>
        <v>Yes</v>
      </c>
      <c r="Q1255" s="1790">
        <f>'Part VIII-Threshold Criteria'!Q256</f>
        <v>0</v>
      </c>
    </row>
    <row r="1256" spans="2:17">
      <c r="B1256" s="1791"/>
      <c r="C1256" s="1765" t="s">
        <v>1617</v>
      </c>
      <c r="D1256" s="519" t="s">
        <v>813</v>
      </c>
      <c r="E1256" s="519"/>
      <c r="F1256" s="519"/>
      <c r="G1256" s="519"/>
      <c r="H1256" s="519"/>
      <c r="I1256" s="518"/>
      <c r="J1256" s="518"/>
      <c r="K1256" s="518"/>
      <c r="L1256" s="518"/>
      <c r="M1256" s="518"/>
      <c r="O1256" s="1765" t="s">
        <v>3029</v>
      </c>
      <c r="P1256" s="1790" t="str">
        <f>'Part VIII-Threshold Criteria'!P257</f>
        <v>Yes</v>
      </c>
      <c r="Q1256" s="1790">
        <f>'Part VIII-Threshold Criteria'!Q257</f>
        <v>0</v>
      </c>
    </row>
    <row r="1257" spans="2:17">
      <c r="B1257" s="1791"/>
      <c r="C1257" s="1765"/>
      <c r="D1257" s="519" t="s">
        <v>1555</v>
      </c>
      <c r="E1257" s="519"/>
      <c r="F1257" s="519"/>
      <c r="G1257" s="519"/>
      <c r="H1257" s="519"/>
      <c r="I1257" s="518"/>
      <c r="J1257" s="518"/>
      <c r="K1257" s="518"/>
      <c r="L1257" s="518"/>
      <c r="M1257" s="518"/>
      <c r="O1257" s="1765" t="s">
        <v>3030</v>
      </c>
      <c r="P1257" s="1790" t="str">
        <f>'Part VIII-Threshold Criteria'!P258</f>
        <v>No</v>
      </c>
      <c r="Q1257" s="1790">
        <f>'Part VIII-Threshold Criteria'!Q258</f>
        <v>0</v>
      </c>
    </row>
    <row r="1258" spans="2:17">
      <c r="B1258" s="1791"/>
      <c r="C1258" s="1765"/>
      <c r="D1258" s="519"/>
      <c r="E1258" s="519"/>
      <c r="F1258" s="519"/>
      <c r="G1258" s="519"/>
      <c r="H1258" s="519"/>
      <c r="I1258" s="518"/>
      <c r="J1258" s="518"/>
      <c r="K1258" s="518"/>
      <c r="L1258" s="518"/>
      <c r="M1258" s="518"/>
    </row>
    <row r="1259" spans="2:17">
      <c r="B1259" s="1791" t="s">
        <v>2203</v>
      </c>
      <c r="C1259" s="519" t="s">
        <v>4445</v>
      </c>
      <c r="D1259" s="519"/>
      <c r="E1259" s="519"/>
      <c r="F1259" s="519"/>
      <c r="G1259" s="519"/>
      <c r="H1259" s="519"/>
      <c r="I1259" s="519"/>
      <c r="J1259" s="519"/>
      <c r="K1259" s="518"/>
      <c r="L1259" s="519"/>
      <c r="M1259" s="519"/>
      <c r="O1259" s="1765" t="s">
        <v>2203</v>
      </c>
      <c r="P1259" s="1790" t="str">
        <f>'Part VIII-Threshold Criteria'!P260</f>
        <v>Agree</v>
      </c>
      <c r="Q1259" s="1790">
        <f>'Part VIII-Threshold Criteria'!Q260</f>
        <v>0</v>
      </c>
    </row>
    <row r="1260" spans="2:17">
      <c r="B1260" s="1791"/>
      <c r="C1260" s="1765" t="s">
        <v>1813</v>
      </c>
      <c r="D1260" s="519" t="s">
        <v>1309</v>
      </c>
      <c r="E1260" s="518"/>
      <c r="F1260" s="518"/>
      <c r="G1260" s="519"/>
      <c r="H1260" s="1728"/>
      <c r="I1260" s="518"/>
      <c r="J1260" s="1728"/>
      <c r="K1260" s="518"/>
      <c r="L1260" s="1728"/>
      <c r="M1260" s="1728"/>
      <c r="O1260" s="1765" t="s">
        <v>1813</v>
      </c>
      <c r="P1260" s="1790" t="str">
        <f>'Part VIII-Threshold Criteria'!P261</f>
        <v>Yes</v>
      </c>
      <c r="Q1260" s="1790">
        <f>'Part VIII-Threshold Criteria'!Q261</f>
        <v>0</v>
      </c>
    </row>
    <row r="1261" spans="2:17">
      <c r="B1261" s="1791"/>
      <c r="C1261" s="1765" t="s">
        <v>1814</v>
      </c>
      <c r="D1261" s="519" t="s">
        <v>151</v>
      </c>
      <c r="E1261" s="518"/>
      <c r="F1261" s="518"/>
      <c r="G1261" s="1728"/>
      <c r="H1261" s="1728"/>
      <c r="I1261" s="518"/>
      <c r="J1261" s="1728"/>
      <c r="K1261" s="518"/>
      <c r="L1261" s="1728"/>
      <c r="M1261" s="1728"/>
      <c r="O1261" s="1765" t="s">
        <v>1814</v>
      </c>
      <c r="P1261" s="1790" t="str">
        <f>'Part VIII-Threshold Criteria'!P262</f>
        <v>Yes</v>
      </c>
      <c r="Q1261" s="1790">
        <f>'Part VIII-Threshold Criteria'!Q262</f>
        <v>0</v>
      </c>
    </row>
    <row r="1262" spans="2:17">
      <c r="B1262" s="1791"/>
      <c r="C1262" s="1765" t="s">
        <v>1815</v>
      </c>
      <c r="D1262" s="1728" t="s">
        <v>4306</v>
      </c>
      <c r="E1262" s="518"/>
      <c r="F1262" s="518"/>
      <c r="G1262" s="1728"/>
      <c r="H1262" s="1728"/>
      <c r="I1262" s="518"/>
      <c r="J1262" s="1728"/>
      <c r="K1262" s="518"/>
      <c r="L1262" s="1728"/>
      <c r="M1262" s="1728"/>
      <c r="O1262" s="1765" t="s">
        <v>2465</v>
      </c>
      <c r="P1262" s="1790" t="str">
        <f>'Part VIII-Threshold Criteria'!P263</f>
        <v>Yes</v>
      </c>
      <c r="Q1262" s="1790">
        <f>'Part VIII-Threshold Criteria'!Q263</f>
        <v>0</v>
      </c>
    </row>
    <row r="1263" spans="2:17">
      <c r="B1263" s="519"/>
      <c r="C1263" s="518"/>
      <c r="D1263" s="1728" t="s">
        <v>1341</v>
      </c>
      <c r="E1263" s="518"/>
      <c r="F1263" s="518"/>
      <c r="G1263" s="1728"/>
      <c r="H1263" s="1728"/>
      <c r="I1263" s="518"/>
      <c r="J1263" s="1728"/>
      <c r="K1263" s="518"/>
      <c r="L1263" s="1728"/>
      <c r="M1263" s="1728"/>
      <c r="O1263" s="1765" t="s">
        <v>2466</v>
      </c>
      <c r="P1263" s="1790">
        <f>'Part VIII-Threshold Criteria'!P264</f>
        <v>0</v>
      </c>
      <c r="Q1263" s="1790">
        <f>'Part VIII-Threshold Criteria'!Q264</f>
        <v>0</v>
      </c>
    </row>
    <row r="1264" spans="2:17">
      <c r="B1264" s="1729" t="s">
        <v>1946</v>
      </c>
      <c r="D1264" s="1729"/>
      <c r="E1264" s="1729"/>
      <c r="F1264" s="1729"/>
      <c r="G1264" s="1729"/>
      <c r="H1264" s="1728"/>
      <c r="I1264" s="1787"/>
      <c r="J1264" s="1787"/>
      <c r="K1264" s="1787"/>
      <c r="L1264" s="1692"/>
      <c r="M1264" s="1692"/>
      <c r="N1264" s="1692"/>
      <c r="O1264" s="1692"/>
      <c r="P1264" s="1692"/>
      <c r="Q1264" s="1692"/>
    </row>
    <row r="1265" spans="1:17">
      <c r="A1265" s="1792">
        <f>'Part VIII-Threshold Criteria'!A266</f>
        <v>0</v>
      </c>
      <c r="B1265" s="1792"/>
      <c r="C1265" s="1792"/>
      <c r="D1265" s="1792"/>
      <c r="E1265" s="1792"/>
      <c r="F1265" s="1792"/>
      <c r="G1265" s="1792"/>
      <c r="H1265" s="1792"/>
      <c r="I1265" s="1792"/>
      <c r="J1265" s="1792"/>
      <c r="K1265" s="1792"/>
      <c r="L1265" s="1792"/>
      <c r="M1265" s="1792"/>
      <c r="N1265" s="1792"/>
      <c r="O1265" s="1792"/>
      <c r="P1265" s="1792"/>
      <c r="Q1265" s="1792"/>
    </row>
    <row r="1266" spans="1:17">
      <c r="B1266" s="1793" t="s">
        <v>1947</v>
      </c>
      <c r="C1266" s="1794"/>
      <c r="D1266" s="1795"/>
      <c r="E1266" s="1795"/>
      <c r="F1266" s="1795"/>
      <c r="G1266" s="1795"/>
      <c r="H1266" s="1795"/>
      <c r="I1266" s="1795"/>
      <c r="J1266" s="1795"/>
      <c r="K1266" s="1795"/>
      <c r="L1266" s="1795"/>
      <c r="M1266" s="1795"/>
      <c r="N1266" s="1795"/>
      <c r="O1266" s="1795"/>
      <c r="P1266" s="1795"/>
    </row>
    <row r="1267" spans="1:17">
      <c r="A1267" s="1792">
        <f>'Part VIII-Threshold Criteria'!A268</f>
        <v>0</v>
      </c>
      <c r="B1267" s="1792"/>
      <c r="C1267" s="1792"/>
      <c r="D1267" s="1792"/>
      <c r="E1267" s="1792"/>
      <c r="F1267" s="1792"/>
      <c r="G1267" s="1792"/>
      <c r="H1267" s="1792"/>
      <c r="I1267" s="1792"/>
      <c r="J1267" s="1792"/>
      <c r="K1267" s="1792"/>
      <c r="L1267" s="1792"/>
      <c r="M1267" s="1792"/>
      <c r="N1267" s="1792"/>
      <c r="O1267" s="1792"/>
      <c r="P1267" s="1792"/>
      <c r="Q1267" s="1792"/>
    </row>
    <row r="1268" spans="1:17">
      <c r="A1268" s="1692"/>
      <c r="B1268" s="1787"/>
      <c r="C1268" s="1795"/>
      <c r="D1268" s="1795"/>
      <c r="E1268" s="1795"/>
      <c r="F1268" s="1795"/>
      <c r="G1268" s="1795"/>
      <c r="H1268" s="1795"/>
      <c r="I1268" s="1795"/>
      <c r="J1268" s="1795"/>
      <c r="K1268" s="1795"/>
      <c r="L1268" s="1795"/>
      <c r="M1268" s="1795"/>
      <c r="Q1268" s="1692"/>
    </row>
    <row r="1269" spans="1:17">
      <c r="A1269" s="1681">
        <v>15</v>
      </c>
      <c r="B1269" s="521" t="s">
        <v>2769</v>
      </c>
      <c r="C1269" s="521"/>
      <c r="D1269" s="1786"/>
      <c r="E1269" s="1786"/>
      <c r="F1269" s="1786"/>
      <c r="G1269" s="1786"/>
      <c r="H1269" s="1795"/>
      <c r="I1269" s="1795"/>
      <c r="J1269" s="1795"/>
      <c r="K1269" s="1795"/>
      <c r="L1269" s="1795"/>
      <c r="M1269" s="1795"/>
      <c r="O1269" s="1788" t="s">
        <v>1948</v>
      </c>
      <c r="P1269" s="1700">
        <f>'Part VIII-Threshold Criteria'!P270</f>
        <v>0</v>
      </c>
      <c r="Q1269" s="1700"/>
    </row>
    <row r="1271" spans="1:17">
      <c r="B1271" s="1791" t="s">
        <v>2068</v>
      </c>
      <c r="C1271" s="519" t="s">
        <v>1322</v>
      </c>
      <c r="D1271" s="518"/>
      <c r="E1271" s="519"/>
      <c r="F1271" s="519"/>
      <c r="G1271" s="519"/>
      <c r="H1271" s="519"/>
      <c r="I1271" s="518"/>
      <c r="J1271" s="518"/>
      <c r="K1271" s="1765" t="s">
        <v>2068</v>
      </c>
      <c r="L1271" s="1786" t="str">
        <f>'Part VIII-Threshold Criteria'!L272</f>
        <v>&lt;&lt;Select&gt;&gt;</v>
      </c>
      <c r="M1271" s="1786"/>
      <c r="N1271" s="1786"/>
      <c r="O1271" s="1786"/>
      <c r="P1271" s="1786" t="str">
        <f>'Part VIII-Threshold Criteria'!P272</f>
        <v>&lt;&lt;Select&gt;&gt;</v>
      </c>
      <c r="Q1271" s="1786"/>
    </row>
    <row r="1272" spans="1:17">
      <c r="B1272" s="1791" t="s">
        <v>2071</v>
      </c>
      <c r="C1272" s="519" t="s">
        <v>3045</v>
      </c>
      <c r="D1272" s="519"/>
      <c r="E1272" s="519"/>
      <c r="F1272" s="519"/>
      <c r="G1272" s="519"/>
      <c r="H1272" s="519"/>
      <c r="I1272" s="518"/>
      <c r="J1272" s="518"/>
      <c r="K1272" s="1765" t="s">
        <v>2071</v>
      </c>
      <c r="L1272" s="1848">
        <f>'Part VIII-Threshold Criteria'!L273</f>
        <v>0</v>
      </c>
      <c r="M1272" s="1848"/>
      <c r="N1272" s="1848"/>
      <c r="O1272" s="1848"/>
      <c r="P1272" s="1848">
        <f>'Part VIII-Threshold Criteria'!P273</f>
        <v>0</v>
      </c>
      <c r="Q1272" s="1848"/>
    </row>
    <row r="1273" spans="1:17">
      <c r="B1273" s="1791" t="s">
        <v>786</v>
      </c>
      <c r="C1273" s="519" t="s">
        <v>2029</v>
      </c>
      <c r="D1273" s="519"/>
      <c r="E1273" s="519"/>
      <c r="F1273" s="519"/>
      <c r="G1273" s="519"/>
      <c r="H1273" s="519"/>
      <c r="I1273" s="518"/>
      <c r="J1273" s="518"/>
      <c r="K1273" s="1765" t="s">
        <v>786</v>
      </c>
      <c r="L1273" s="1786">
        <f>'Part VIII-Threshold Criteria'!L274</f>
        <v>0</v>
      </c>
      <c r="M1273" s="1786"/>
      <c r="N1273" s="1786"/>
      <c r="O1273" s="1786"/>
      <c r="P1273" s="1786">
        <f>'Part VIII-Threshold Criteria'!P274</f>
        <v>0</v>
      </c>
      <c r="Q1273" s="1786"/>
    </row>
    <row r="1274" spans="1:17">
      <c r="B1274" s="1791" t="s">
        <v>2203</v>
      </c>
      <c r="C1274" s="519" t="s">
        <v>2643</v>
      </c>
      <c r="D1274" s="519"/>
      <c r="E1274" s="519"/>
      <c r="F1274" s="519"/>
      <c r="G1274" s="519"/>
      <c r="H1274" s="519"/>
      <c r="I1274" s="518"/>
      <c r="J1274" s="518"/>
      <c r="K1274" s="518"/>
      <c r="L1274" s="518"/>
      <c r="M1274" s="518"/>
      <c r="O1274" s="1765" t="s">
        <v>2203</v>
      </c>
      <c r="P1274" s="1790">
        <f>'Part VIII-Threshold Criteria'!P275</f>
        <v>0</v>
      </c>
      <c r="Q1274" s="1790">
        <f>'Part VIII-Threshold Criteria'!Q275</f>
        <v>0</v>
      </c>
    </row>
    <row r="1275" spans="1:17" ht="12.75" customHeight="1">
      <c r="B1275" s="1789" t="s">
        <v>1811</v>
      </c>
      <c r="C1275" s="1792" t="s">
        <v>4593</v>
      </c>
      <c r="D1275" s="1792"/>
      <c r="E1275" s="1792"/>
      <c r="F1275" s="1792"/>
      <c r="G1275" s="1792"/>
      <c r="H1275" s="1792"/>
      <c r="I1275" s="1792"/>
      <c r="J1275" s="1792"/>
      <c r="K1275" s="1792"/>
      <c r="L1275" s="1792"/>
      <c r="M1275" s="1792"/>
      <c r="N1275" s="1792"/>
      <c r="O1275" s="1833" t="s">
        <v>1811</v>
      </c>
      <c r="P1275" s="1790">
        <f>'Part VIII-Threshold Criteria'!P276</f>
        <v>0</v>
      </c>
      <c r="Q1275" s="1790">
        <f>'Part VIII-Threshold Criteria'!Q276</f>
        <v>0</v>
      </c>
    </row>
    <row r="1276" spans="1:17">
      <c r="B1276" s="1729" t="s">
        <v>1946</v>
      </c>
      <c r="D1276" s="1729"/>
      <c r="E1276" s="1729"/>
      <c r="F1276" s="1729"/>
      <c r="G1276" s="1729"/>
      <c r="H1276" s="1728"/>
      <c r="I1276" s="1787"/>
      <c r="J1276" s="1787"/>
      <c r="K1276" s="1787"/>
      <c r="L1276" s="1692"/>
      <c r="M1276" s="1692"/>
      <c r="N1276" s="1692"/>
      <c r="O1276" s="1692"/>
      <c r="P1276" s="1692"/>
      <c r="Q1276" s="1692"/>
    </row>
    <row r="1277" spans="1:17">
      <c r="A1277" s="1792" t="str">
        <f>'Part VIII-Threshold Criteria'!A278</f>
        <v>N/A</v>
      </c>
      <c r="B1277" s="1792"/>
      <c r="C1277" s="1792"/>
      <c r="D1277" s="1792"/>
      <c r="E1277" s="1792"/>
      <c r="F1277" s="1792"/>
      <c r="G1277" s="1792"/>
      <c r="H1277" s="1792"/>
      <c r="I1277" s="1792"/>
      <c r="J1277" s="1792"/>
      <c r="K1277" s="1792"/>
      <c r="L1277" s="1792"/>
      <c r="M1277" s="1792"/>
      <c r="N1277" s="1792"/>
      <c r="O1277" s="1792"/>
      <c r="P1277" s="1792"/>
      <c r="Q1277" s="1792"/>
    </row>
    <row r="1278" spans="1:17">
      <c r="B1278" s="1793" t="s">
        <v>1947</v>
      </c>
      <c r="C1278" s="1794"/>
      <c r="D1278" s="1795"/>
      <c r="E1278" s="1795"/>
      <c r="F1278" s="1795"/>
      <c r="G1278" s="1795"/>
      <c r="H1278" s="1795"/>
      <c r="I1278" s="1795"/>
      <c r="J1278" s="1795"/>
      <c r="K1278" s="1795"/>
      <c r="L1278" s="1795"/>
      <c r="M1278" s="1795"/>
      <c r="N1278" s="1795"/>
      <c r="O1278" s="1795"/>
      <c r="P1278" s="1795"/>
    </row>
    <row r="1279" spans="1:17">
      <c r="A1279" s="1792">
        <f>'Part VIII-Threshold Criteria'!A280</f>
        <v>0</v>
      </c>
      <c r="B1279" s="1792"/>
      <c r="C1279" s="1792"/>
      <c r="D1279" s="1792"/>
      <c r="E1279" s="1792"/>
      <c r="F1279" s="1792"/>
      <c r="G1279" s="1792"/>
      <c r="H1279" s="1792"/>
      <c r="I1279" s="1792"/>
      <c r="J1279" s="1792"/>
      <c r="K1279" s="1792"/>
      <c r="L1279" s="1792"/>
      <c r="M1279" s="1792"/>
      <c r="N1279" s="1792"/>
      <c r="O1279" s="1792"/>
      <c r="P1279" s="1792"/>
      <c r="Q1279" s="1792"/>
    </row>
    <row r="1280" spans="1:17">
      <c r="A1280" s="1692"/>
      <c r="B1280" s="1787"/>
      <c r="C1280" s="1795"/>
      <c r="D1280" s="1795"/>
      <c r="E1280" s="1795"/>
      <c r="F1280" s="1795"/>
      <c r="G1280" s="1795"/>
      <c r="H1280" s="1795"/>
      <c r="I1280" s="1795"/>
      <c r="J1280" s="1795"/>
      <c r="K1280" s="1795"/>
      <c r="L1280" s="1795"/>
      <c r="M1280" s="1795"/>
      <c r="Q1280" s="1692"/>
    </row>
    <row r="1281" spans="1:17">
      <c r="A1281" s="1681">
        <v>16</v>
      </c>
      <c r="B1281" s="521" t="s">
        <v>2770</v>
      </c>
      <c r="C1281" s="521"/>
      <c r="D1281" s="1786"/>
      <c r="E1281" s="1786"/>
      <c r="F1281" s="1786"/>
      <c r="G1281" s="1786"/>
      <c r="H1281" s="1795"/>
      <c r="I1281" s="1795"/>
      <c r="J1281" s="1795"/>
      <c r="K1281" s="1795"/>
      <c r="L1281" s="1795"/>
      <c r="M1281" s="1795"/>
      <c r="O1281" s="1788" t="s">
        <v>1948</v>
      </c>
      <c r="P1281" s="1700">
        <f>'Part VIII-Threshold Criteria'!P282</f>
        <v>0</v>
      </c>
      <c r="Q1281" s="1700"/>
    </row>
    <row r="1283" spans="1:17" ht="12.75" customHeight="1">
      <c r="A1283" s="1832"/>
      <c r="B1283" s="1789" t="s">
        <v>2068</v>
      </c>
      <c r="C1283" s="1792" t="s">
        <v>3046</v>
      </c>
      <c r="D1283" s="1792"/>
      <c r="E1283" s="1792"/>
      <c r="F1283" s="1792"/>
      <c r="G1283" s="1792"/>
      <c r="H1283" s="1792"/>
      <c r="I1283" s="1792"/>
      <c r="J1283" s="1792"/>
      <c r="K1283" s="1792"/>
      <c r="L1283" s="1792"/>
      <c r="M1283" s="1792"/>
      <c r="N1283" s="1792"/>
      <c r="O1283" s="1833" t="s">
        <v>2068</v>
      </c>
      <c r="P1283" s="1790" t="str">
        <f>'Part VIII-Threshold Criteria'!P284</f>
        <v>Yes</v>
      </c>
      <c r="Q1283" s="1790">
        <f>'Part VIII-Threshold Criteria'!Q284</f>
        <v>0</v>
      </c>
    </row>
    <row r="1284" spans="1:17">
      <c r="B1284" s="1791" t="s">
        <v>2071</v>
      </c>
      <c r="C1284" s="519" t="s">
        <v>1464</v>
      </c>
      <c r="D1284" s="519"/>
      <c r="E1284" s="519"/>
      <c r="F1284" s="519"/>
      <c r="G1284" s="519"/>
      <c r="H1284" s="519"/>
      <c r="I1284" s="519"/>
      <c r="J1284" s="519"/>
      <c r="K1284" s="519"/>
      <c r="L1284" s="519"/>
      <c r="M1284" s="519"/>
      <c r="O1284" s="1765" t="s">
        <v>2071</v>
      </c>
      <c r="P1284" s="1790" t="str">
        <f>'Part VIII-Threshold Criteria'!P285</f>
        <v>Yes</v>
      </c>
      <c r="Q1284" s="1790">
        <f>'Part VIII-Threshold Criteria'!Q285</f>
        <v>0</v>
      </c>
    </row>
    <row r="1285" spans="1:17">
      <c r="B1285" s="1729" t="s">
        <v>1946</v>
      </c>
      <c r="D1285" s="1729"/>
      <c r="E1285" s="1729"/>
      <c r="F1285" s="1729"/>
      <c r="G1285" s="1729"/>
      <c r="H1285" s="1728"/>
      <c r="I1285" s="1787"/>
      <c r="J1285" s="1787"/>
      <c r="K1285" s="1787"/>
      <c r="L1285" s="1692"/>
      <c r="M1285" s="1692"/>
      <c r="N1285" s="1692"/>
      <c r="O1285" s="1692"/>
      <c r="P1285" s="1692"/>
      <c r="Q1285" s="1692"/>
    </row>
    <row r="1286" spans="1:17" ht="33.75">
      <c r="A1286" s="1792" t="str">
        <f>'Part VIII-Threshold Criteria'!A287</f>
        <v>Please see site plan in Tab 16.</v>
      </c>
      <c r="B1286" s="1792"/>
      <c r="C1286" s="1792"/>
      <c r="D1286" s="1792"/>
      <c r="E1286" s="1792"/>
      <c r="F1286" s="1792"/>
      <c r="G1286" s="1792"/>
      <c r="H1286" s="1792"/>
      <c r="I1286" s="1792"/>
      <c r="J1286" s="1792"/>
      <c r="K1286" s="1792"/>
      <c r="L1286" s="1792"/>
      <c r="M1286" s="1792"/>
      <c r="N1286" s="1792"/>
      <c r="O1286" s="1792"/>
      <c r="P1286" s="1792"/>
      <c r="Q1286" s="1792"/>
    </row>
    <row r="1287" spans="1:17">
      <c r="B1287" s="1793" t="s">
        <v>1947</v>
      </c>
      <c r="C1287" s="1794"/>
      <c r="D1287" s="1795"/>
      <c r="E1287" s="1795"/>
      <c r="F1287" s="1795"/>
      <c r="G1287" s="1795"/>
      <c r="H1287" s="1795"/>
      <c r="I1287" s="1795"/>
      <c r="J1287" s="1795"/>
      <c r="K1287" s="1795"/>
      <c r="L1287" s="1795"/>
      <c r="M1287" s="1795"/>
      <c r="N1287" s="1795"/>
      <c r="O1287" s="1795"/>
      <c r="P1287" s="1795"/>
    </row>
    <row r="1288" spans="1:17">
      <c r="A1288" s="1792">
        <f>'Part VIII-Threshold Criteria'!A289</f>
        <v>0</v>
      </c>
      <c r="B1288" s="1792"/>
      <c r="C1288" s="1792"/>
      <c r="D1288" s="1792"/>
      <c r="E1288" s="1792"/>
      <c r="F1288" s="1792"/>
      <c r="G1288" s="1792"/>
      <c r="H1288" s="1792"/>
      <c r="I1288" s="1792"/>
      <c r="J1288" s="1792"/>
      <c r="K1288" s="1792"/>
      <c r="L1288" s="1792"/>
      <c r="M1288" s="1792"/>
      <c r="N1288" s="1792"/>
      <c r="O1288" s="1792"/>
      <c r="P1288" s="1792"/>
      <c r="Q1288" s="1792"/>
    </row>
    <row r="1289" spans="1:17">
      <c r="A1289" s="1681">
        <v>17</v>
      </c>
      <c r="B1289" s="1681" t="s">
        <v>2771</v>
      </c>
      <c r="C1289" s="1681"/>
      <c r="D1289" s="1795"/>
      <c r="E1289" s="1795"/>
      <c r="F1289" s="1795"/>
      <c r="G1289" s="1795"/>
      <c r="H1289" s="1795"/>
      <c r="I1289" s="1795"/>
      <c r="J1289" s="1795"/>
      <c r="K1289" s="1795"/>
      <c r="L1289" s="1795"/>
      <c r="M1289" s="1795"/>
      <c r="O1289" s="1788" t="s">
        <v>1948</v>
      </c>
      <c r="P1289" s="1700">
        <f>'Part VIII-Threshold Criteria'!P290</f>
        <v>0</v>
      </c>
      <c r="Q1289" s="1700"/>
    </row>
    <row r="1291" spans="1:17" ht="12.75" customHeight="1">
      <c r="A1291" s="1832"/>
      <c r="B1291" s="1789" t="s">
        <v>2068</v>
      </c>
      <c r="C1291" s="1792" t="s">
        <v>3047</v>
      </c>
      <c r="D1291" s="1629"/>
      <c r="E1291" s="1629"/>
      <c r="F1291" s="1629"/>
      <c r="G1291" s="1629"/>
      <c r="H1291" s="1629"/>
      <c r="I1291" s="1629"/>
      <c r="J1291" s="1629"/>
      <c r="K1291" s="1629"/>
      <c r="L1291" s="1629"/>
      <c r="M1291" s="1629"/>
      <c r="N1291" s="1629"/>
      <c r="O1291" s="1833" t="s">
        <v>2068</v>
      </c>
      <c r="P1291" s="1790" t="str">
        <f>'Part VIII-Threshold Criteria'!P292</f>
        <v>Agree</v>
      </c>
      <c r="Q1291" s="1790">
        <f>'Part VIII-Threshold Criteria'!Q292</f>
        <v>0</v>
      </c>
    </row>
    <row r="1292" spans="1:17" ht="12.75" customHeight="1">
      <c r="A1292" s="1832"/>
      <c r="B1292" s="1789" t="s">
        <v>2071</v>
      </c>
      <c r="C1292" s="1792" t="s">
        <v>3048</v>
      </c>
      <c r="D1292" s="1629"/>
      <c r="E1292" s="1629"/>
      <c r="F1292" s="1629"/>
      <c r="G1292" s="1629"/>
      <c r="H1292" s="1629"/>
      <c r="I1292" s="1629"/>
      <c r="J1292" s="1629"/>
      <c r="K1292" s="1629"/>
      <c r="L1292" s="1629"/>
      <c r="M1292" s="1629"/>
      <c r="N1292" s="1629"/>
      <c r="O1292" s="1833" t="s">
        <v>2071</v>
      </c>
      <c r="P1292" s="1790" t="str">
        <f>'Part VIII-Threshold Criteria'!P293</f>
        <v>Agree</v>
      </c>
      <c r="Q1292" s="1790">
        <f>'Part VIII-Threshold Criteria'!Q293</f>
        <v>0</v>
      </c>
    </row>
    <row r="1293" spans="1:17">
      <c r="B1293" s="1729" t="s">
        <v>1946</v>
      </c>
      <c r="D1293" s="1729"/>
      <c r="E1293" s="1729"/>
      <c r="F1293" s="1729"/>
      <c r="G1293" s="1729"/>
      <c r="H1293" s="1728"/>
      <c r="I1293" s="1787"/>
      <c r="J1293" s="1787"/>
      <c r="K1293" s="1787"/>
      <c r="L1293" s="1692"/>
      <c r="M1293" s="1692"/>
      <c r="N1293" s="1692"/>
      <c r="O1293" s="1692"/>
      <c r="P1293" s="1692"/>
      <c r="Q1293" s="1692"/>
    </row>
    <row r="1294" spans="1:17">
      <c r="A1294" s="1792">
        <f>'Part VIII-Threshold Criteria'!A295</f>
        <v>0</v>
      </c>
      <c r="B1294" s="1792"/>
      <c r="C1294" s="1792"/>
      <c r="D1294" s="1792"/>
      <c r="E1294" s="1792"/>
      <c r="F1294" s="1792"/>
      <c r="G1294" s="1792"/>
      <c r="H1294" s="1792"/>
      <c r="I1294" s="1792"/>
      <c r="J1294" s="1792"/>
      <c r="K1294" s="1792"/>
      <c r="L1294" s="1792"/>
      <c r="M1294" s="1792"/>
      <c r="N1294" s="1792"/>
      <c r="O1294" s="1792"/>
      <c r="P1294" s="1792"/>
      <c r="Q1294" s="1792"/>
    </row>
    <row r="1295" spans="1:17">
      <c r="B1295" s="1793" t="s">
        <v>1947</v>
      </c>
      <c r="C1295" s="1794"/>
      <c r="D1295" s="1795"/>
      <c r="E1295" s="1795"/>
      <c r="F1295" s="1795"/>
      <c r="G1295" s="1795"/>
      <c r="H1295" s="1795"/>
      <c r="I1295" s="1795"/>
      <c r="J1295" s="1795"/>
      <c r="K1295" s="1795"/>
      <c r="L1295" s="1795"/>
      <c r="M1295" s="1795"/>
      <c r="N1295" s="1795"/>
      <c r="O1295" s="1795"/>
      <c r="P1295" s="1795"/>
    </row>
    <row r="1296" spans="1:17">
      <c r="A1296" s="1792">
        <f>'Part VIII-Threshold Criteria'!A297</f>
        <v>0</v>
      </c>
      <c r="B1296" s="1792"/>
      <c r="C1296" s="1792"/>
      <c r="D1296" s="1792"/>
      <c r="E1296" s="1792"/>
      <c r="F1296" s="1792"/>
      <c r="G1296" s="1792"/>
      <c r="H1296" s="1792"/>
      <c r="I1296" s="1792"/>
      <c r="J1296" s="1792"/>
      <c r="K1296" s="1792"/>
      <c r="L1296" s="1792"/>
      <c r="M1296" s="1792"/>
      <c r="N1296" s="1792"/>
      <c r="O1296" s="1792"/>
      <c r="P1296" s="1792"/>
      <c r="Q1296" s="1792"/>
    </row>
    <row r="1297" spans="1:17">
      <c r="A1297" s="1681">
        <v>18</v>
      </c>
      <c r="B1297" s="1681" t="s">
        <v>2772</v>
      </c>
      <c r="C1297" s="1849"/>
      <c r="D1297" s="1850"/>
      <c r="E1297" s="1795"/>
      <c r="F1297" s="1795"/>
      <c r="G1297" s="1795"/>
      <c r="H1297" s="1795"/>
      <c r="I1297" s="1795"/>
      <c r="J1297" s="1795"/>
      <c r="K1297" s="1795"/>
      <c r="L1297" s="1795"/>
      <c r="M1297" s="1795"/>
      <c r="O1297" s="1788" t="s">
        <v>1948</v>
      </c>
      <c r="P1297" s="1700">
        <f>'Part VIII-Threshold Criteria'!P298</f>
        <v>0</v>
      </c>
      <c r="Q1297" s="1700"/>
    </row>
    <row r="1299" spans="1:17" ht="12.75" customHeight="1">
      <c r="B1299" s="1789" t="s">
        <v>2068</v>
      </c>
      <c r="C1299" s="1833" t="s">
        <v>1813</v>
      </c>
      <c r="D1299" s="1792" t="s">
        <v>3946</v>
      </c>
      <c r="E1299" s="1792"/>
      <c r="F1299" s="1792"/>
      <c r="G1299" s="1792"/>
      <c r="H1299" s="1792"/>
      <c r="I1299" s="1792"/>
      <c r="J1299" s="1792"/>
      <c r="K1299" s="1792"/>
      <c r="L1299" s="1792"/>
      <c r="M1299" s="1792"/>
      <c r="N1299" s="1792"/>
      <c r="O1299" s="1833" t="s">
        <v>2857</v>
      </c>
      <c r="P1299" s="1790" t="str">
        <f>'Part VIII-Threshold Criteria'!P300</f>
        <v>Yes</v>
      </c>
      <c r="Q1299" s="1790">
        <f>'Part VIII-Threshold Criteria'!Q300</f>
        <v>0</v>
      </c>
    </row>
    <row r="1300" spans="1:17" ht="12.75" customHeight="1">
      <c r="A1300" s="1832"/>
      <c r="B1300" s="1789"/>
      <c r="C1300" s="1833" t="s">
        <v>1814</v>
      </c>
      <c r="D1300" s="1792" t="s">
        <v>3871</v>
      </c>
      <c r="E1300" s="1792"/>
      <c r="F1300" s="1792"/>
      <c r="G1300" s="1792"/>
      <c r="H1300" s="1792"/>
      <c r="I1300" s="1792"/>
      <c r="J1300" s="1792"/>
      <c r="K1300" s="1792"/>
      <c r="L1300" s="1792"/>
      <c r="M1300" s="1792"/>
      <c r="N1300" s="1792"/>
      <c r="O1300" s="1833" t="s">
        <v>1814</v>
      </c>
      <c r="P1300" s="1790" t="str">
        <f>'Part VIII-Threshold Criteria'!P301</f>
        <v>Yes</v>
      </c>
      <c r="Q1300" s="1790">
        <f>'Part VIII-Threshold Criteria'!Q301</f>
        <v>0</v>
      </c>
    </row>
    <row r="1301" spans="1:17" ht="12.75" customHeight="1">
      <c r="A1301" s="518"/>
      <c r="B1301" s="1791"/>
      <c r="C1301" s="1765" t="s">
        <v>1815</v>
      </c>
      <c r="D1301" s="1757" t="s">
        <v>4307</v>
      </c>
      <c r="E1301" s="1757"/>
      <c r="F1301" s="1757"/>
      <c r="G1301" s="1757"/>
      <c r="H1301" s="1757"/>
      <c r="I1301" s="1757"/>
      <c r="J1301" s="1757"/>
      <c r="K1301" s="1757"/>
      <c r="L1301" s="1757"/>
      <c r="M1301" s="1757"/>
      <c r="N1301" s="1757"/>
      <c r="O1301" s="1765" t="s">
        <v>1815</v>
      </c>
      <c r="P1301" s="1790" t="str">
        <f>'Part VIII-Threshold Criteria'!P302</f>
        <v>Yes</v>
      </c>
      <c r="Q1301" s="1790">
        <f>'Part VIII-Threshold Criteria'!Q302</f>
        <v>0</v>
      </c>
    </row>
    <row r="1302" spans="1:17" ht="12.75" customHeight="1">
      <c r="A1302" s="518"/>
      <c r="B1302" s="1789" t="s">
        <v>2071</v>
      </c>
      <c r="C1302" s="1833" t="s">
        <v>1813</v>
      </c>
      <c r="D1302" s="1792" t="s">
        <v>4308</v>
      </c>
      <c r="E1302" s="1792"/>
      <c r="F1302" s="1792"/>
      <c r="G1302" s="1792"/>
      <c r="H1302" s="1792"/>
      <c r="I1302" s="1792"/>
      <c r="J1302" s="1792"/>
      <c r="K1302" s="1792"/>
      <c r="L1302" s="1792"/>
      <c r="M1302" s="1792"/>
      <c r="N1302" s="1792"/>
      <c r="O1302" s="1765" t="s">
        <v>4310</v>
      </c>
      <c r="P1302" s="1790" t="str">
        <f>'Part VIII-Threshold Criteria'!P303</f>
        <v>Yes</v>
      </c>
      <c r="Q1302" s="1790">
        <f>'Part VIII-Threshold Criteria'!Q303</f>
        <v>0</v>
      </c>
    </row>
    <row r="1303" spans="1:17" ht="12.75" customHeight="1">
      <c r="A1303" s="518"/>
      <c r="B1303" s="1789"/>
      <c r="C1303" s="1833"/>
      <c r="D1303" s="1792" t="s">
        <v>4309</v>
      </c>
      <c r="E1303" s="1792"/>
      <c r="F1303" s="1792"/>
      <c r="G1303" s="1792"/>
      <c r="H1303" s="1792"/>
      <c r="I1303" s="1792"/>
      <c r="J1303" s="1792"/>
      <c r="K1303" s="1792"/>
      <c r="L1303" s="1792"/>
      <c r="M1303" s="1792"/>
      <c r="N1303" s="1792"/>
      <c r="O1303" s="1765" t="s">
        <v>2205</v>
      </c>
      <c r="P1303" s="1790" t="str">
        <f>'Part VIII-Threshold Criteria'!P304</f>
        <v>Yes</v>
      </c>
      <c r="Q1303" s="1790">
        <f>'Part VIII-Threshold Criteria'!Q304</f>
        <v>0</v>
      </c>
    </row>
    <row r="1304" spans="1:17" ht="12.75" customHeight="1">
      <c r="A1304" s="518"/>
      <c r="B1304" s="1789"/>
      <c r="C1304" s="1833" t="s">
        <v>1814</v>
      </c>
      <c r="D1304" s="1792" t="s">
        <v>2856</v>
      </c>
      <c r="E1304" s="1792"/>
      <c r="F1304" s="1792"/>
      <c r="G1304" s="1792"/>
      <c r="H1304" s="1792"/>
      <c r="I1304" s="1792"/>
      <c r="J1304" s="1792"/>
      <c r="K1304" s="1792"/>
      <c r="L1304" s="1792"/>
      <c r="M1304" s="1792"/>
      <c r="N1304" s="1792"/>
      <c r="O1304" s="1765" t="s">
        <v>1814</v>
      </c>
      <c r="P1304" s="1790" t="str">
        <f>'Part VIII-Threshold Criteria'!P305</f>
        <v>Yes</v>
      </c>
      <c r="Q1304" s="1790">
        <f>'Part VIII-Threshold Criteria'!Q305</f>
        <v>0</v>
      </c>
    </row>
    <row r="1305" spans="1:17" ht="12.75" customHeight="1">
      <c r="A1305" s="518"/>
      <c r="B1305" s="1789" t="s">
        <v>786</v>
      </c>
      <c r="C1305" s="1792" t="s">
        <v>4312</v>
      </c>
      <c r="D1305" s="1792"/>
      <c r="E1305" s="1792"/>
      <c r="F1305" s="1792"/>
      <c r="G1305" s="1792"/>
      <c r="H1305" s="1792"/>
      <c r="I1305" s="1792"/>
      <c r="J1305" s="1792"/>
      <c r="K1305" s="1792"/>
      <c r="L1305" s="1792"/>
      <c r="M1305" s="1792"/>
      <c r="N1305" s="1792"/>
      <c r="O1305" s="1833" t="s">
        <v>786</v>
      </c>
      <c r="P1305" s="1790" t="str">
        <f>'Part VIII-Threshold Criteria'!P306</f>
        <v>Yes</v>
      </c>
      <c r="Q1305" s="1790">
        <f>'Part VIII-Threshold Criteria'!Q306</f>
        <v>0</v>
      </c>
    </row>
    <row r="1306" spans="1:17">
      <c r="A1306" s="518"/>
      <c r="B1306" s="1789"/>
      <c r="C1306" s="1815" t="s">
        <v>4313</v>
      </c>
      <c r="D1306" s="1815"/>
      <c r="E1306" s="1815"/>
      <c r="F1306" s="1815"/>
      <c r="G1306" s="1815"/>
      <c r="H1306" s="1815"/>
      <c r="I1306" s="1815"/>
      <c r="J1306" s="1815"/>
      <c r="K1306" s="1815"/>
      <c r="L1306" s="1815"/>
      <c r="M1306" s="1815"/>
      <c r="N1306" s="1815"/>
      <c r="O1306" s="1815"/>
      <c r="P1306" s="1815"/>
      <c r="Q1306" s="1815"/>
    </row>
    <row r="1307" spans="1:17" ht="12.75" customHeight="1">
      <c r="A1307" s="1832"/>
      <c r="B1307" s="1832"/>
      <c r="C1307" s="1833" t="s">
        <v>1813</v>
      </c>
      <c r="D1307" s="1792" t="s">
        <v>4311</v>
      </c>
      <c r="E1307" s="1792"/>
      <c r="F1307" s="1792"/>
      <c r="G1307" s="1792"/>
      <c r="H1307" s="1792"/>
      <c r="I1307" s="1792"/>
      <c r="J1307" s="1792"/>
      <c r="K1307" s="1792"/>
      <c r="L1307" s="1792"/>
      <c r="M1307" s="1792"/>
      <c r="N1307" s="1792"/>
      <c r="O1307" s="1833" t="s">
        <v>4316</v>
      </c>
      <c r="P1307" s="1790" t="str">
        <f>'Part VIII-Threshold Criteria'!P308</f>
        <v>Yes</v>
      </c>
      <c r="Q1307" s="1790">
        <f>'Part VIII-Threshold Criteria'!Q308</f>
        <v>0</v>
      </c>
    </row>
    <row r="1308" spans="1:17" ht="12.75" customHeight="1">
      <c r="A1308" s="1832"/>
      <c r="B1308" s="1789"/>
      <c r="C1308" s="1833" t="s">
        <v>1814</v>
      </c>
      <c r="D1308" s="1792" t="s">
        <v>4485</v>
      </c>
      <c r="E1308" s="1792"/>
      <c r="F1308" s="1792"/>
      <c r="G1308" s="1792"/>
      <c r="H1308" s="1792"/>
      <c r="I1308" s="1792"/>
      <c r="J1308" s="1792"/>
      <c r="K1308" s="1792"/>
      <c r="L1308" s="1792"/>
      <c r="M1308" s="1792"/>
      <c r="N1308" s="1792"/>
      <c r="O1308" s="1833" t="s">
        <v>4317</v>
      </c>
      <c r="P1308" s="1790" t="str">
        <f>'Part VIII-Threshold Criteria'!P309</f>
        <v>Yes</v>
      </c>
      <c r="Q1308" s="1790">
        <f>'Part VIII-Threshold Criteria'!Q309</f>
        <v>0</v>
      </c>
    </row>
    <row r="1309" spans="1:17" ht="12.75" customHeight="1">
      <c r="A1309" s="1832"/>
      <c r="B1309" s="1789"/>
      <c r="C1309" s="1833" t="s">
        <v>1815</v>
      </c>
      <c r="D1309" s="1792" t="s">
        <v>4314</v>
      </c>
      <c r="E1309" s="1792"/>
      <c r="F1309" s="1792"/>
      <c r="G1309" s="1792"/>
      <c r="H1309" s="1792"/>
      <c r="I1309" s="1792"/>
      <c r="J1309" s="1792"/>
      <c r="K1309" s="1792"/>
      <c r="L1309" s="1792"/>
      <c r="M1309" s="1792"/>
      <c r="N1309" s="1792"/>
      <c r="O1309" s="1833" t="s">
        <v>4318</v>
      </c>
      <c r="P1309" s="1790" t="str">
        <f>'Part VIII-Threshold Criteria'!P310</f>
        <v>Yes</v>
      </c>
      <c r="Q1309" s="1790">
        <f>'Part VIII-Threshold Criteria'!Q310</f>
        <v>0</v>
      </c>
    </row>
    <row r="1310" spans="1:17" ht="12.75" customHeight="1">
      <c r="A1310" s="1832"/>
      <c r="B1310" s="1789"/>
      <c r="C1310" s="1833" t="s">
        <v>2459</v>
      </c>
      <c r="D1310" s="1792" t="s">
        <v>4315</v>
      </c>
      <c r="E1310" s="1792"/>
      <c r="F1310" s="1792"/>
      <c r="G1310" s="1792"/>
      <c r="H1310" s="1792"/>
      <c r="I1310" s="1792"/>
      <c r="J1310" s="1792"/>
      <c r="K1310" s="1792"/>
      <c r="L1310" s="1792"/>
      <c r="M1310" s="1792"/>
      <c r="N1310" s="1792"/>
      <c r="O1310" s="1833" t="s">
        <v>4319</v>
      </c>
      <c r="P1310" s="1790" t="str">
        <f>'Part VIII-Threshold Criteria'!P311</f>
        <v>Yes</v>
      </c>
      <c r="Q1310" s="1790">
        <f>'Part VIII-Threshold Criteria'!Q311</f>
        <v>0</v>
      </c>
    </row>
    <row r="1311" spans="1:17">
      <c r="B1311" s="1729" t="s">
        <v>1946</v>
      </c>
      <c r="D1311" s="1729"/>
      <c r="E1311" s="1729"/>
      <c r="F1311" s="1729"/>
      <c r="G1311" s="1729"/>
      <c r="H1311" s="1728"/>
      <c r="I1311" s="1787"/>
      <c r="J1311" s="1787"/>
      <c r="K1311" s="1787"/>
      <c r="L1311" s="1692"/>
      <c r="M1311" s="1692"/>
      <c r="N1311" s="1692"/>
      <c r="O1311" s="1692"/>
      <c r="P1311" s="1692"/>
      <c r="Q1311" s="1692"/>
    </row>
    <row r="1312" spans="1:17">
      <c r="A1312" s="1792">
        <f>'Part VIII-Threshold Criteria'!A313</f>
        <v>0</v>
      </c>
      <c r="B1312" s="1792"/>
      <c r="C1312" s="1792"/>
      <c r="D1312" s="1792"/>
      <c r="E1312" s="1792"/>
      <c r="F1312" s="1792"/>
      <c r="G1312" s="1792"/>
      <c r="H1312" s="1792"/>
      <c r="I1312" s="1792"/>
      <c r="J1312" s="1792"/>
      <c r="K1312" s="1792"/>
      <c r="L1312" s="1792"/>
      <c r="M1312" s="1792"/>
      <c r="N1312" s="1792"/>
      <c r="O1312" s="1792"/>
      <c r="P1312" s="1792"/>
      <c r="Q1312" s="1792"/>
    </row>
    <row r="1313" spans="1:17">
      <c r="B1313" s="1793" t="s">
        <v>1947</v>
      </c>
      <c r="C1313" s="1794"/>
      <c r="D1313" s="1795"/>
      <c r="E1313" s="1795"/>
      <c r="F1313" s="1795"/>
      <c r="G1313" s="1795"/>
      <c r="H1313" s="1795"/>
      <c r="I1313" s="1795"/>
      <c r="J1313" s="1795"/>
      <c r="K1313" s="1795"/>
      <c r="L1313" s="1795"/>
      <c r="M1313" s="1795"/>
      <c r="N1313" s="1795"/>
      <c r="O1313" s="1795"/>
      <c r="P1313" s="1795"/>
    </row>
    <row r="1314" spans="1:17">
      <c r="A1314" s="1792">
        <f>'Part VIII-Threshold Criteria'!A315</f>
        <v>0</v>
      </c>
      <c r="B1314" s="1792"/>
      <c r="C1314" s="1792"/>
      <c r="D1314" s="1792"/>
      <c r="E1314" s="1792"/>
      <c r="F1314" s="1792"/>
      <c r="G1314" s="1792"/>
      <c r="H1314" s="1792"/>
      <c r="I1314" s="1792"/>
      <c r="J1314" s="1792"/>
      <c r="K1314" s="1792"/>
      <c r="L1314" s="1792"/>
      <c r="M1314" s="1792"/>
      <c r="N1314" s="1792"/>
      <c r="O1314" s="1792"/>
      <c r="P1314" s="1792"/>
      <c r="Q1314" s="1792"/>
    </row>
    <row r="1315" spans="1:17">
      <c r="A1315" s="1681">
        <v>19</v>
      </c>
      <c r="B1315" s="521" t="s">
        <v>2773</v>
      </c>
      <c r="C1315" s="521"/>
      <c r="D1315" s="521"/>
      <c r="E1315" s="521"/>
      <c r="F1315" s="521"/>
      <c r="G1315" s="521"/>
      <c r="H1315" s="1795"/>
      <c r="I1315" s="1795"/>
      <c r="J1315" s="1795"/>
      <c r="K1315" s="1795"/>
      <c r="L1315" s="1795"/>
      <c r="M1315" s="1795"/>
      <c r="O1315" s="1788" t="s">
        <v>1948</v>
      </c>
      <c r="P1315" s="1700">
        <f>'Part VIII-Threshold Criteria'!P316</f>
        <v>0</v>
      </c>
      <c r="Q1315" s="1700"/>
    </row>
    <row r="1316" spans="1:17">
      <c r="B1316" s="502" t="s">
        <v>2343</v>
      </c>
      <c r="P1316" s="1790" t="str">
        <f>'Part VIII-Threshold Criteria'!P317</f>
        <v>No</v>
      </c>
      <c r="Q1316" s="1790">
        <f>'Part VIII-Threshold Criteria'!Q317</f>
        <v>0</v>
      </c>
    </row>
    <row r="1317" spans="1:17">
      <c r="B1317" s="1841" t="s">
        <v>2300</v>
      </c>
      <c r="C1317" s="1841"/>
      <c r="D1317" s="1841"/>
      <c r="E1317" s="1841"/>
      <c r="F1317" s="1841"/>
      <c r="G1317" s="1841"/>
      <c r="H1317" s="1841"/>
      <c r="I1317" s="1841"/>
      <c r="J1317" s="1841"/>
      <c r="K1317" s="1841"/>
      <c r="L1317" s="1841"/>
      <c r="P1317" s="1790" t="str">
        <f>'Part VIII-Threshold Criteria'!P318</f>
        <v>Yes</v>
      </c>
      <c r="Q1317" s="1790">
        <f>'Part VIII-Threshold Criteria'!Q318</f>
        <v>0</v>
      </c>
    </row>
    <row r="1318" spans="1:17">
      <c r="B1318" s="1789" t="s">
        <v>2068</v>
      </c>
      <c r="C1318" s="1823" t="s">
        <v>4594</v>
      </c>
      <c r="D1318" s="1728"/>
      <c r="E1318" s="1728"/>
      <c r="F1318" s="1728"/>
      <c r="G1318" s="1728"/>
      <c r="H1318" s="1728"/>
      <c r="I1318" s="1728"/>
      <c r="J1318" s="1728"/>
      <c r="K1318" s="1728"/>
      <c r="L1318" s="1728"/>
      <c r="M1318" s="1728"/>
      <c r="N1318" s="1833"/>
    </row>
    <row r="1319" spans="1:17" ht="12.75" customHeight="1">
      <c r="A1319" s="1828"/>
      <c r="C1319" s="1792" t="s">
        <v>3159</v>
      </c>
      <c r="D1319" s="1792"/>
      <c r="E1319" s="1792"/>
      <c r="F1319" s="1792"/>
      <c r="G1319" s="1792"/>
      <c r="H1319" s="1792"/>
      <c r="I1319" s="1792"/>
      <c r="J1319" s="1792"/>
      <c r="K1319" s="1792"/>
      <c r="L1319" s="1792"/>
      <c r="M1319" s="1792"/>
      <c r="N1319" s="1792"/>
      <c r="O1319" s="1833" t="s">
        <v>2068</v>
      </c>
      <c r="P1319" s="1790">
        <f>'Part VIII-Threshold Criteria'!P320</f>
        <v>0</v>
      </c>
      <c r="Q1319" s="1790">
        <f>'Part VIII-Threshold Criteria'!Q320</f>
        <v>0</v>
      </c>
    </row>
    <row r="1320" spans="1:17" ht="12.75" customHeight="1">
      <c r="B1320" s="1789" t="s">
        <v>2071</v>
      </c>
      <c r="C1320" s="1829" t="s">
        <v>480</v>
      </c>
      <c r="D1320" s="1829"/>
      <c r="E1320" s="1829"/>
      <c r="F1320" s="1829"/>
      <c r="G1320" s="1829"/>
      <c r="H1320" s="1829"/>
      <c r="I1320" s="1829"/>
      <c r="J1320" s="1829"/>
      <c r="K1320" s="1829"/>
      <c r="L1320" s="1829"/>
      <c r="M1320" s="1829"/>
      <c r="O1320" s="1833" t="s">
        <v>2071</v>
      </c>
      <c r="P1320" s="1692"/>
      <c r="Q1320" s="1692"/>
    </row>
    <row r="1321" spans="1:17" ht="12.75" customHeight="1">
      <c r="A1321" s="1828"/>
      <c r="C1321" s="1834" t="s">
        <v>1813</v>
      </c>
      <c r="D1321" s="1815" t="s">
        <v>1177</v>
      </c>
      <c r="E1321" s="1832"/>
      <c r="F1321" s="1832"/>
      <c r="G1321" s="1792" t="str">
        <f>'Part VIII-Threshold Criteria'!G322</f>
        <v>Exterior wall faces will have an excess of 40% brick or stone on each total wall surface</v>
      </c>
      <c r="H1321" s="1629"/>
      <c r="I1321" s="1629"/>
      <c r="J1321" s="1629"/>
      <c r="K1321" s="1629"/>
      <c r="L1321" s="1629"/>
      <c r="M1321" s="1629"/>
      <c r="N1321" s="1629"/>
      <c r="O1321" s="1833" t="s">
        <v>1813</v>
      </c>
      <c r="P1321" s="1790" t="str">
        <f>'Part VIII-Threshold Criteria'!P322</f>
        <v>Yes</v>
      </c>
      <c r="Q1321" s="1790">
        <f>'Part VIII-Threshold Criteria'!Q322</f>
        <v>0</v>
      </c>
    </row>
    <row r="1322" spans="1:17" ht="12.75" customHeight="1">
      <c r="A1322" s="1828"/>
      <c r="C1322" s="1834" t="s">
        <v>1814</v>
      </c>
      <c r="D1322" s="1792" t="s">
        <v>1178</v>
      </c>
      <c r="E1322" s="1629"/>
      <c r="F1322" s="1629"/>
      <c r="G1322" s="1792" t="str">
        <f>'Part VIII-Threshold Criteria'!G323</f>
        <v xml:space="preserve">Fiber cement siding or other 40 year warranty product installed on all exterior wall surfaces not already required to be brick </v>
      </c>
      <c r="H1322" s="1629"/>
      <c r="I1322" s="1629"/>
      <c r="J1322" s="1629"/>
      <c r="K1322" s="1629"/>
      <c r="L1322" s="1629"/>
      <c r="M1322" s="1629"/>
      <c r="N1322" s="1629"/>
      <c r="O1322" s="1833" t="s">
        <v>1814</v>
      </c>
      <c r="P1322" s="1790" t="str">
        <f>'Part VIII-Threshold Criteria'!P323</f>
        <v>Yes</v>
      </c>
      <c r="Q1322" s="1790">
        <f>'Part VIII-Threshold Criteria'!Q323</f>
        <v>0</v>
      </c>
    </row>
    <row r="1323" spans="1:17">
      <c r="A1323" s="1692"/>
      <c r="B1323" s="1692"/>
      <c r="C1323" s="1692"/>
      <c r="D1323" s="1692"/>
      <c r="E1323" s="1692"/>
      <c r="F1323" s="1692"/>
      <c r="G1323" s="1692"/>
      <c r="H1323" s="1692"/>
      <c r="I1323" s="1692"/>
      <c r="J1323" s="1692"/>
      <c r="K1323" s="1692"/>
      <c r="L1323" s="1692"/>
      <c r="M1323" s="1692"/>
      <c r="N1323" s="1692"/>
      <c r="O1323" s="1692"/>
      <c r="P1323" s="1692"/>
      <c r="Q1323" s="1692"/>
    </row>
    <row r="1324" spans="1:17" ht="12.75" customHeight="1">
      <c r="A1324" s="1832"/>
      <c r="B1324" s="1789" t="s">
        <v>786</v>
      </c>
      <c r="C1324" s="1851" t="s">
        <v>4595</v>
      </c>
      <c r="D1324" s="1851"/>
      <c r="E1324" s="1851"/>
      <c r="F1324" s="1851"/>
      <c r="G1324" s="1851"/>
      <c r="H1324" s="1851"/>
      <c r="I1324" s="1851"/>
      <c r="J1324" s="1851"/>
      <c r="K1324" s="1851"/>
      <c r="L1324" s="1851"/>
      <c r="M1324" s="1851"/>
      <c r="N1324" s="1851"/>
      <c r="O1324" s="1835" t="s">
        <v>786</v>
      </c>
      <c r="P1324" s="1692"/>
      <c r="Q1324" s="1692"/>
    </row>
    <row r="1325" spans="1:17">
      <c r="A1325" s="1828"/>
      <c r="B1325" s="1832"/>
      <c r="C1325" s="1834" t="s">
        <v>1813</v>
      </c>
      <c r="D1325" s="1792">
        <f>'Part VIII-Threshold Criteria'!D326</f>
        <v>0</v>
      </c>
      <c r="E1325" s="1792"/>
      <c r="F1325" s="1792"/>
      <c r="G1325" s="1792"/>
      <c r="H1325" s="1792"/>
      <c r="I1325" s="1792"/>
      <c r="J1325" s="1792"/>
      <c r="K1325" s="1792"/>
      <c r="L1325" s="1792"/>
      <c r="M1325" s="1792"/>
      <c r="N1325" s="1792"/>
      <c r="O1325" s="1833" t="s">
        <v>1813</v>
      </c>
      <c r="P1325" s="1790">
        <f>'Part VIII-Threshold Criteria'!P326</f>
        <v>0</v>
      </c>
      <c r="Q1325" s="1790">
        <f>'Part VIII-Threshold Criteria'!Q326</f>
        <v>0</v>
      </c>
    </row>
    <row r="1326" spans="1:17">
      <c r="A1326" s="1828"/>
      <c r="B1326" s="1832"/>
      <c r="C1326" s="1834" t="s">
        <v>1814</v>
      </c>
      <c r="D1326" s="1792">
        <f>'Part VIII-Threshold Criteria'!D327</f>
        <v>0</v>
      </c>
      <c r="E1326" s="1792"/>
      <c r="F1326" s="1792"/>
      <c r="G1326" s="1792"/>
      <c r="H1326" s="1792"/>
      <c r="I1326" s="1792"/>
      <c r="J1326" s="1792"/>
      <c r="K1326" s="1792"/>
      <c r="L1326" s="1792"/>
      <c r="M1326" s="1792"/>
      <c r="N1326" s="1792"/>
      <c r="O1326" s="1833" t="s">
        <v>1814</v>
      </c>
      <c r="P1326" s="1790">
        <f>'Part VIII-Threshold Criteria'!P327</f>
        <v>0</v>
      </c>
      <c r="Q1326" s="1790">
        <f>'Part VIII-Threshold Criteria'!Q327</f>
        <v>0</v>
      </c>
    </row>
    <row r="1327" spans="1:17">
      <c r="A1327" s="1692"/>
      <c r="B1327" s="1692"/>
      <c r="C1327" s="1692"/>
      <c r="D1327" s="1692"/>
      <c r="E1327" s="1692"/>
      <c r="F1327" s="1692"/>
      <c r="G1327" s="1692"/>
      <c r="H1327" s="1692"/>
      <c r="I1327" s="1692"/>
      <c r="J1327" s="1692"/>
      <c r="K1327" s="1692"/>
      <c r="L1327" s="1692"/>
      <c r="M1327" s="1692"/>
      <c r="N1327" s="1692"/>
      <c r="O1327" s="1692"/>
      <c r="P1327" s="1692"/>
      <c r="Q1327" s="1692"/>
    </row>
    <row r="1328" spans="1:17">
      <c r="B1328" s="1729" t="s">
        <v>1946</v>
      </c>
      <c r="D1328" s="1729"/>
      <c r="E1328" s="1729"/>
      <c r="F1328" s="1729"/>
      <c r="G1328" s="1729"/>
      <c r="H1328" s="1728"/>
      <c r="I1328" s="1787"/>
      <c r="J1328" s="1787"/>
      <c r="K1328" s="1787"/>
      <c r="L1328" s="1692"/>
      <c r="M1328" s="1692"/>
      <c r="N1328" s="1692"/>
      <c r="O1328" s="1692"/>
      <c r="P1328" s="1692"/>
      <c r="Q1328" s="1692"/>
    </row>
    <row r="1329" spans="1:17">
      <c r="A1329" s="1792">
        <f>'Part VIII-Threshold Criteria'!A330</f>
        <v>0</v>
      </c>
      <c r="B1329" s="1792"/>
      <c r="C1329" s="1792"/>
      <c r="D1329" s="1792"/>
      <c r="E1329" s="1792"/>
      <c r="F1329" s="1792"/>
      <c r="G1329" s="1792"/>
      <c r="H1329" s="1792"/>
      <c r="I1329" s="1792"/>
      <c r="J1329" s="1792"/>
      <c r="K1329" s="1792"/>
      <c r="L1329" s="1792"/>
      <c r="M1329" s="1792"/>
      <c r="N1329" s="1792"/>
      <c r="O1329" s="1792"/>
      <c r="P1329" s="1792"/>
      <c r="Q1329" s="1792"/>
    </row>
    <row r="1330" spans="1:17">
      <c r="B1330" s="1793" t="s">
        <v>1947</v>
      </c>
      <c r="C1330" s="1794"/>
      <c r="D1330" s="1795"/>
      <c r="E1330" s="1795"/>
      <c r="F1330" s="1795"/>
      <c r="G1330" s="1795"/>
      <c r="H1330" s="1795"/>
      <c r="I1330" s="1795"/>
      <c r="J1330" s="1795"/>
      <c r="K1330" s="1795"/>
      <c r="L1330" s="1795"/>
      <c r="M1330" s="1795"/>
      <c r="N1330" s="1795"/>
      <c r="O1330" s="1795"/>
      <c r="P1330" s="1795"/>
    </row>
    <row r="1331" spans="1:17">
      <c r="A1331" s="1792">
        <f>'Part VIII-Threshold Criteria'!A332</f>
        <v>0</v>
      </c>
      <c r="B1331" s="1792"/>
      <c r="C1331" s="1792"/>
      <c r="D1331" s="1792"/>
      <c r="E1331" s="1792"/>
      <c r="F1331" s="1792"/>
      <c r="G1331" s="1792"/>
      <c r="H1331" s="1792"/>
      <c r="I1331" s="1792"/>
      <c r="J1331" s="1792"/>
      <c r="K1331" s="1792"/>
      <c r="L1331" s="1792"/>
      <c r="M1331" s="1792"/>
      <c r="N1331" s="1792"/>
      <c r="O1331" s="1792"/>
      <c r="P1331" s="1792"/>
      <c r="Q1331" s="1792"/>
    </row>
    <row r="1332" spans="1:17">
      <c r="A1332" s="1681">
        <v>20</v>
      </c>
      <c r="B1332" s="1681" t="s">
        <v>3164</v>
      </c>
      <c r="C1332" s="1681"/>
      <c r="D1332" s="1795"/>
      <c r="E1332" s="1795"/>
      <c r="F1332" s="1795"/>
      <c r="G1332" s="1795"/>
      <c r="H1332" s="1795"/>
      <c r="O1332" s="1788" t="s">
        <v>1948</v>
      </c>
      <c r="P1332" s="1700">
        <f>'Part VIII-Threshold Criteria'!P333</f>
        <v>0</v>
      </c>
      <c r="Q1332" s="1700"/>
    </row>
    <row r="1333" spans="1:17">
      <c r="B1333" s="502" t="s">
        <v>3165</v>
      </c>
      <c r="P1333" s="1790" t="str">
        <f>'Part VIII-Threshold Criteria'!P334</f>
        <v>Yes</v>
      </c>
      <c r="Q1333" s="1790">
        <f>'Part VIII-Threshold Criteria'!Q334</f>
        <v>0</v>
      </c>
    </row>
    <row r="1334" spans="1:17">
      <c r="B1334" s="502" t="s">
        <v>2442</v>
      </c>
      <c r="P1334" s="1790" t="str">
        <f>'Part VIII-Threshold Criteria'!P335</f>
        <v>No</v>
      </c>
      <c r="Q1334" s="1790">
        <f>'Part VIII-Threshold Criteria'!Q335</f>
        <v>0</v>
      </c>
    </row>
    <row r="1335" spans="1:17">
      <c r="B1335" s="502" t="s">
        <v>3166</v>
      </c>
      <c r="M1335" s="1739" t="str">
        <f>'Part VIII-Threshold Criteria'!M336</f>
        <v>Qualified w/out Conditions</v>
      </c>
      <c r="N1335" s="1739"/>
      <c r="O1335" s="1739"/>
    </row>
    <row r="1336" spans="1:17">
      <c r="B1336" s="1837" t="s">
        <v>2443</v>
      </c>
      <c r="M1336" s="1739" t="str">
        <f>'Part VIII-Threshold Criteria'!M337</f>
        <v>&lt;&lt; Select Designation &gt;&gt;</v>
      </c>
      <c r="N1336" s="1739"/>
      <c r="O1336" s="1739"/>
    </row>
    <row r="1337" spans="1:17">
      <c r="B1337" s="1729" t="s">
        <v>1946</v>
      </c>
      <c r="D1337" s="1729"/>
      <c r="E1337" s="1729"/>
      <c r="F1337" s="1729"/>
      <c r="G1337" s="1729"/>
      <c r="H1337" s="1728"/>
      <c r="I1337" s="1787"/>
      <c r="J1337" s="1787"/>
      <c r="K1337" s="1787"/>
      <c r="L1337" s="1692"/>
      <c r="M1337" s="1692"/>
      <c r="N1337" s="1692"/>
      <c r="O1337" s="1692"/>
      <c r="P1337" s="1692"/>
      <c r="Q1337" s="1692"/>
    </row>
    <row r="1338" spans="1:17" ht="202.5">
      <c r="A1338" s="1792" t="str">
        <f>'Part VIII-Threshold Criteria'!A339</f>
        <v>Applicant was deemed qualified without conditions on their pre-application qualification determination request.  The required documentation showing this change is included in Tab 20.</v>
      </c>
      <c r="B1338" s="1792"/>
      <c r="C1338" s="1792"/>
      <c r="D1338" s="1792"/>
      <c r="E1338" s="1792"/>
      <c r="F1338" s="1792"/>
      <c r="G1338" s="1792"/>
      <c r="H1338" s="1792"/>
      <c r="I1338" s="1792"/>
      <c r="J1338" s="1792"/>
      <c r="K1338" s="1792"/>
      <c r="L1338" s="1792"/>
      <c r="M1338" s="1792"/>
      <c r="N1338" s="1792"/>
      <c r="O1338" s="1792"/>
      <c r="P1338" s="1792"/>
      <c r="Q1338" s="1792"/>
    </row>
    <row r="1339" spans="1:17">
      <c r="B1339" s="1793" t="s">
        <v>1947</v>
      </c>
      <c r="C1339" s="1794"/>
      <c r="D1339" s="1795"/>
      <c r="E1339" s="1795"/>
      <c r="F1339" s="1795"/>
      <c r="G1339" s="1795"/>
      <c r="H1339" s="1795"/>
      <c r="I1339" s="1795"/>
      <c r="J1339" s="1795"/>
      <c r="K1339" s="1795"/>
      <c r="L1339" s="1795"/>
      <c r="M1339" s="1795"/>
      <c r="N1339" s="1795"/>
      <c r="O1339" s="1795"/>
      <c r="P1339" s="1795"/>
    </row>
    <row r="1340" spans="1:17">
      <c r="A1340" s="1792">
        <f>'Part VIII-Threshold Criteria'!A341</f>
        <v>0</v>
      </c>
      <c r="B1340" s="1792"/>
      <c r="C1340" s="1792"/>
      <c r="D1340" s="1792"/>
      <c r="E1340" s="1792"/>
      <c r="F1340" s="1792"/>
      <c r="G1340" s="1792"/>
      <c r="H1340" s="1792"/>
      <c r="I1340" s="1792"/>
      <c r="J1340" s="1792"/>
      <c r="K1340" s="1792"/>
      <c r="L1340" s="1792"/>
      <c r="M1340" s="1792"/>
      <c r="N1340" s="1792"/>
      <c r="O1340" s="1792"/>
      <c r="P1340" s="1792"/>
      <c r="Q1340" s="1792"/>
    </row>
    <row r="1341" spans="1:17">
      <c r="A1341" s="1681">
        <v>21</v>
      </c>
      <c r="B1341" s="521" t="s">
        <v>2774</v>
      </c>
      <c r="C1341" s="521"/>
      <c r="D1341" s="1786"/>
      <c r="E1341" s="1795"/>
      <c r="F1341" s="1795"/>
      <c r="G1341" s="1795"/>
      <c r="H1341" s="1795"/>
      <c r="I1341" s="1795"/>
      <c r="J1341" s="1795"/>
      <c r="K1341" s="1795"/>
      <c r="L1341" s="1795"/>
      <c r="M1341" s="1795"/>
      <c r="O1341" s="1788" t="s">
        <v>1948</v>
      </c>
      <c r="P1341" s="1700">
        <f>'Part VIII-Threshold Criteria'!P342</f>
        <v>0</v>
      </c>
      <c r="Q1341" s="1700"/>
    </row>
    <row r="1342" spans="1:17" ht="12.75" customHeight="1">
      <c r="B1342" s="1789" t="s">
        <v>2068</v>
      </c>
      <c r="C1342" s="1792" t="s">
        <v>4398</v>
      </c>
      <c r="D1342" s="1792"/>
      <c r="E1342" s="1792"/>
      <c r="F1342" s="1792"/>
      <c r="G1342" s="1792"/>
      <c r="H1342" s="1792"/>
      <c r="I1342" s="1792"/>
      <c r="J1342" s="1792"/>
      <c r="K1342" s="1792"/>
      <c r="L1342" s="1792"/>
      <c r="M1342" s="1792"/>
      <c r="N1342" s="1792"/>
      <c r="O1342" s="1833" t="s">
        <v>2068</v>
      </c>
      <c r="P1342" s="1790" t="str">
        <f>'Part VIII-Threshold Criteria'!P343</f>
        <v>No</v>
      </c>
      <c r="Q1342" s="1790">
        <f>'Part VIII-Threshold Criteria'!Q343</f>
        <v>0</v>
      </c>
    </row>
    <row r="1343" spans="1:17" ht="12.75" customHeight="1">
      <c r="B1343" s="1789" t="s">
        <v>2071</v>
      </c>
      <c r="C1343" s="1792" t="s">
        <v>4399</v>
      </c>
      <c r="D1343" s="1792"/>
      <c r="E1343" s="1792"/>
      <c r="F1343" s="1792"/>
      <c r="G1343" s="1792"/>
      <c r="H1343" s="1792"/>
      <c r="I1343" s="1792"/>
      <c r="J1343" s="1792"/>
      <c r="K1343" s="1792"/>
      <c r="L1343" s="1792"/>
      <c r="M1343" s="1792"/>
      <c r="N1343" s="1792"/>
      <c r="O1343" s="1833" t="s">
        <v>2071</v>
      </c>
      <c r="P1343" s="1790" t="str">
        <f>'Part VIII-Threshold Criteria'!P344</f>
        <v>No</v>
      </c>
      <c r="Q1343" s="1790">
        <f>'Part VIII-Threshold Criteria'!Q344</f>
        <v>0</v>
      </c>
    </row>
    <row r="1344" spans="1:17" ht="12.75" customHeight="1">
      <c r="B1344" s="1789" t="s">
        <v>786</v>
      </c>
      <c r="C1344" s="1792" t="s">
        <v>3947</v>
      </c>
      <c r="D1344" s="1792"/>
      <c r="E1344" s="1792"/>
      <c r="F1344" s="1792"/>
      <c r="G1344" s="1792"/>
      <c r="H1344" s="1792"/>
      <c r="I1344" s="1792"/>
      <c r="J1344" s="1792"/>
      <c r="K1344" s="1792"/>
      <c r="L1344" s="1792"/>
      <c r="M1344" s="1792"/>
      <c r="N1344" s="1792"/>
      <c r="O1344" s="1833" t="s">
        <v>786</v>
      </c>
      <c r="P1344" s="1790" t="str">
        <f>'Part VIII-Threshold Criteria'!P345</f>
        <v>Yes</v>
      </c>
      <c r="Q1344" s="1790">
        <f>'Part VIII-Threshold Criteria'!Q345</f>
        <v>0</v>
      </c>
    </row>
    <row r="1345" spans="1:17">
      <c r="B1345" s="1729" t="s">
        <v>1946</v>
      </c>
      <c r="D1345" s="1729"/>
      <c r="E1345" s="1729"/>
      <c r="F1345" s="1729"/>
      <c r="G1345" s="1729"/>
      <c r="H1345" s="1728"/>
      <c r="I1345" s="1787"/>
      <c r="J1345" s="1787"/>
      <c r="K1345" s="1787"/>
      <c r="L1345" s="1692"/>
      <c r="M1345" s="1692"/>
      <c r="N1345" s="1692"/>
      <c r="O1345" s="1692"/>
      <c r="P1345" s="1692"/>
      <c r="Q1345" s="1692"/>
    </row>
    <row r="1346" spans="1:17" ht="90">
      <c r="A1346" s="1792" t="str">
        <f>'Part VIII-Threshold Criteria'!A347</f>
        <v>The DCA Performance workbook is submitted with the HOME consent package.</v>
      </c>
      <c r="B1346" s="1792"/>
      <c r="C1346" s="1792"/>
      <c r="D1346" s="1792"/>
      <c r="E1346" s="1792"/>
      <c r="F1346" s="1792"/>
      <c r="G1346" s="1792"/>
      <c r="H1346" s="1792"/>
      <c r="I1346" s="1792"/>
      <c r="J1346" s="1792"/>
      <c r="K1346" s="1792"/>
      <c r="L1346" s="1792"/>
      <c r="M1346" s="1792"/>
      <c r="N1346" s="1792"/>
      <c r="O1346" s="1792"/>
      <c r="P1346" s="1792"/>
      <c r="Q1346" s="1792"/>
    </row>
    <row r="1347" spans="1:17">
      <c r="B1347" s="1793" t="s">
        <v>1947</v>
      </c>
      <c r="C1347" s="1794"/>
      <c r="D1347" s="1795"/>
      <c r="E1347" s="1795"/>
      <c r="F1347" s="1795"/>
      <c r="G1347" s="1795"/>
      <c r="H1347" s="1795"/>
      <c r="I1347" s="1795"/>
      <c r="J1347" s="1795"/>
      <c r="K1347" s="1795"/>
      <c r="L1347" s="1795"/>
      <c r="M1347" s="1795"/>
      <c r="N1347" s="1795"/>
      <c r="O1347" s="1795"/>
      <c r="P1347" s="1795"/>
    </row>
    <row r="1348" spans="1:17">
      <c r="A1348" s="1792">
        <f>'Part VIII-Threshold Criteria'!A349</f>
        <v>0</v>
      </c>
      <c r="B1348" s="1792"/>
      <c r="C1348" s="1792"/>
      <c r="D1348" s="1792"/>
      <c r="E1348" s="1792"/>
      <c r="F1348" s="1792"/>
      <c r="G1348" s="1792"/>
      <c r="H1348" s="1792"/>
      <c r="I1348" s="1792"/>
      <c r="J1348" s="1792"/>
      <c r="K1348" s="1792"/>
      <c r="L1348" s="1792"/>
      <c r="M1348" s="1792"/>
      <c r="N1348" s="1792"/>
      <c r="O1348" s="1792"/>
      <c r="P1348" s="1792"/>
      <c r="Q1348" s="1792"/>
    </row>
    <row r="1349" spans="1:17">
      <c r="A1349" s="1692"/>
      <c r="B1349" s="1787"/>
      <c r="C1349" s="1795"/>
      <c r="D1349" s="1795"/>
      <c r="E1349" s="1795"/>
      <c r="F1349" s="1795"/>
      <c r="G1349" s="1795"/>
      <c r="H1349" s="1795"/>
      <c r="I1349" s="1795"/>
      <c r="J1349" s="1795"/>
      <c r="K1349" s="1795"/>
      <c r="L1349" s="1795"/>
      <c r="M1349" s="1795"/>
      <c r="N1349" s="1795"/>
      <c r="O1349" s="1795"/>
      <c r="P1349" s="1795"/>
      <c r="Q1349" s="1692"/>
    </row>
    <row r="1350" spans="1:17">
      <c r="A1350" s="1681">
        <v>22</v>
      </c>
      <c r="B1350" s="521" t="s">
        <v>2795</v>
      </c>
      <c r="C1350" s="521"/>
      <c r="D1350" s="521"/>
      <c r="E1350" s="521"/>
      <c r="F1350" s="521"/>
      <c r="G1350" s="521"/>
      <c r="H1350" s="1795"/>
      <c r="I1350" s="1795"/>
      <c r="J1350" s="1795"/>
      <c r="K1350" s="1795"/>
      <c r="L1350" s="1795"/>
      <c r="M1350" s="1795"/>
      <c r="O1350" s="1788" t="s">
        <v>1948</v>
      </c>
      <c r="P1350" s="1700">
        <f>'Part VIII-Threshold Criteria'!P351</f>
        <v>0</v>
      </c>
      <c r="Q1350" s="1700"/>
    </row>
    <row r="1351" spans="1:17">
      <c r="B1351" s="1791" t="s">
        <v>2068</v>
      </c>
      <c r="C1351" s="519" t="s">
        <v>2793</v>
      </c>
      <c r="D1351" s="1517"/>
      <c r="E1351" s="1517"/>
      <c r="F1351" s="1517"/>
      <c r="G1351" s="1517"/>
      <c r="H1351" s="1517"/>
      <c r="I1351" s="518"/>
      <c r="J1351" s="1765" t="s">
        <v>2068</v>
      </c>
      <c r="K1351" s="1786">
        <f>'Part VIII-Threshold Criteria'!K352</f>
        <v>0</v>
      </c>
      <c r="L1351" s="1786"/>
      <c r="M1351" s="1786"/>
      <c r="N1351" s="1786"/>
      <c r="O1351" s="1786"/>
      <c r="P1351" s="1786"/>
      <c r="Q1351" s="1790">
        <f>'Part VIII-Threshold Criteria'!Q352</f>
        <v>0</v>
      </c>
    </row>
    <row r="1352" spans="1:17" ht="12.75" customHeight="1">
      <c r="B1352" s="1789" t="s">
        <v>2071</v>
      </c>
      <c r="C1352" s="1757" t="s">
        <v>4132</v>
      </c>
      <c r="D1352" s="1757"/>
      <c r="E1352" s="1757"/>
      <c r="F1352" s="1757"/>
      <c r="G1352" s="1757"/>
      <c r="H1352" s="1757"/>
      <c r="I1352" s="1757"/>
      <c r="J1352" s="1757"/>
      <c r="K1352" s="1757"/>
      <c r="L1352" s="1757"/>
      <c r="M1352" s="1757"/>
      <c r="N1352" s="1757"/>
      <c r="O1352" s="1833" t="s">
        <v>2071</v>
      </c>
      <c r="P1352" s="1790">
        <f>'Part VIII-Threshold Criteria'!P353</f>
        <v>0</v>
      </c>
      <c r="Q1352" s="1790">
        <f>'Part VIII-Threshold Criteria'!Q353</f>
        <v>0</v>
      </c>
    </row>
    <row r="1353" spans="1:17" ht="12.75" customHeight="1">
      <c r="B1353" s="1789" t="s">
        <v>786</v>
      </c>
      <c r="C1353" s="1792" t="s">
        <v>4133</v>
      </c>
      <c r="D1353" s="1792"/>
      <c r="E1353" s="1792"/>
      <c r="F1353" s="1792"/>
      <c r="G1353" s="1792"/>
      <c r="H1353" s="1792"/>
      <c r="I1353" s="1792"/>
      <c r="J1353" s="1792"/>
      <c r="K1353" s="1792"/>
      <c r="L1353" s="1792"/>
      <c r="M1353" s="1792"/>
      <c r="N1353" s="1792"/>
      <c r="O1353" s="1833" t="s">
        <v>786</v>
      </c>
      <c r="P1353" s="1790">
        <f>'Part VIII-Threshold Criteria'!P354</f>
        <v>0</v>
      </c>
      <c r="Q1353" s="1790">
        <f>'Part VIII-Threshold Criteria'!Q354</f>
        <v>0</v>
      </c>
    </row>
    <row r="1354" spans="1:17">
      <c r="B1354" s="1791" t="s">
        <v>2203</v>
      </c>
      <c r="C1354" s="519" t="s">
        <v>2794</v>
      </c>
      <c r="D1354" s="519"/>
      <c r="E1354" s="519"/>
      <c r="F1354" s="519"/>
      <c r="G1354" s="519"/>
      <c r="H1354" s="519"/>
      <c r="I1354" s="519"/>
      <c r="J1354" s="519"/>
      <c r="K1354" s="519"/>
      <c r="L1354" s="519"/>
      <c r="M1354" s="519"/>
      <c r="O1354" s="1765" t="s">
        <v>2203</v>
      </c>
      <c r="P1354" s="1790">
        <f>'Part VIII-Threshold Criteria'!P355</f>
        <v>0</v>
      </c>
      <c r="Q1354" s="1790">
        <f>'Part VIII-Threshold Criteria'!Q355</f>
        <v>0</v>
      </c>
    </row>
    <row r="1355" spans="1:17" ht="12.75" customHeight="1">
      <c r="A1355" s="1832"/>
      <c r="B1355" s="1789" t="s">
        <v>1811</v>
      </c>
      <c r="C1355" s="1792" t="s">
        <v>4134</v>
      </c>
      <c r="D1355" s="1792"/>
      <c r="E1355" s="1792"/>
      <c r="F1355" s="1792"/>
      <c r="G1355" s="1792"/>
      <c r="H1355" s="1792"/>
      <c r="I1355" s="1792"/>
      <c r="J1355" s="1792"/>
      <c r="K1355" s="1792"/>
      <c r="L1355" s="1792"/>
      <c r="M1355" s="1792"/>
      <c r="N1355" s="1792"/>
      <c r="O1355" s="1833" t="s">
        <v>1811</v>
      </c>
      <c r="P1355" s="1790">
        <f>'Part VIII-Threshold Criteria'!P356</f>
        <v>0</v>
      </c>
      <c r="Q1355" s="1790">
        <f>'Part VIII-Threshold Criteria'!Q356</f>
        <v>0</v>
      </c>
    </row>
    <row r="1356" spans="1:17" ht="12.75" customHeight="1">
      <c r="A1356" s="1832"/>
      <c r="B1356" s="1789" t="s">
        <v>1812</v>
      </c>
      <c r="C1356" s="1792" t="s">
        <v>2796</v>
      </c>
      <c r="D1356" s="1792"/>
      <c r="E1356" s="1792"/>
      <c r="F1356" s="1792"/>
      <c r="G1356" s="1792"/>
      <c r="H1356" s="1792"/>
      <c r="I1356" s="1792"/>
      <c r="J1356" s="1792"/>
      <c r="K1356" s="1792"/>
      <c r="L1356" s="1792"/>
      <c r="M1356" s="1792"/>
      <c r="N1356" s="1792"/>
      <c r="O1356" s="1833" t="s">
        <v>1812</v>
      </c>
      <c r="P1356" s="1790">
        <f>'Part VIII-Threshold Criteria'!P357</f>
        <v>0</v>
      </c>
      <c r="Q1356" s="1790">
        <f>'Part VIII-Threshold Criteria'!Q357</f>
        <v>0</v>
      </c>
    </row>
    <row r="1357" spans="1:17">
      <c r="A1357" s="1832"/>
      <c r="B1357" s="1789"/>
      <c r="C1357" s="1834" t="s">
        <v>1813</v>
      </c>
      <c r="D1357" s="1841" t="s">
        <v>4135</v>
      </c>
      <c r="E1357" s="1795"/>
      <c r="F1357" s="1795"/>
      <c r="G1357" s="1795"/>
      <c r="H1357" s="1795"/>
      <c r="I1357" s="1795"/>
      <c r="J1357" s="1795"/>
      <c r="K1357" s="1795"/>
      <c r="L1357" s="1795"/>
      <c r="M1357" s="1795"/>
      <c r="N1357" s="1795"/>
      <c r="O1357" s="1833"/>
      <c r="P1357" s="1790">
        <f>'Part VIII-Threshold Criteria'!P358</f>
        <v>0</v>
      </c>
      <c r="Q1357" s="1790">
        <f>'Part VIII-Threshold Criteria'!Q358</f>
        <v>0</v>
      </c>
    </row>
    <row r="1358" spans="1:17" ht="12.75" customHeight="1">
      <c r="B1358" s="1789" t="s">
        <v>2031</v>
      </c>
      <c r="C1358" s="1792" t="s">
        <v>4136</v>
      </c>
      <c r="D1358" s="1792"/>
      <c r="E1358" s="1792"/>
      <c r="F1358" s="1792"/>
      <c r="G1358" s="1792"/>
      <c r="H1358" s="1792"/>
      <c r="I1358" s="1792"/>
      <c r="J1358" s="1792"/>
      <c r="K1358" s="1792"/>
      <c r="L1358" s="1792"/>
      <c r="M1358" s="1792"/>
      <c r="N1358" s="1792"/>
      <c r="O1358" s="1833" t="s">
        <v>2031</v>
      </c>
      <c r="P1358" s="1790">
        <f>'Part VIII-Threshold Criteria'!P359</f>
        <v>0</v>
      </c>
      <c r="Q1358" s="1790">
        <f>'Part VIII-Threshold Criteria'!Q359</f>
        <v>0</v>
      </c>
    </row>
    <row r="1359" spans="1:17" ht="12.75" customHeight="1">
      <c r="B1359" s="1789" t="s">
        <v>3708</v>
      </c>
      <c r="C1359" s="1800" t="s">
        <v>4137</v>
      </c>
      <c r="D1359" s="1800"/>
      <c r="E1359" s="1800"/>
      <c r="F1359" s="1800"/>
      <c r="G1359" s="1800"/>
      <c r="H1359" s="1800"/>
      <c r="I1359" s="1800"/>
      <c r="J1359" s="1800"/>
      <c r="K1359" s="1800"/>
      <c r="L1359" s="1800"/>
      <c r="M1359" s="1800"/>
      <c r="N1359" s="1800"/>
      <c r="O1359" s="1833" t="s">
        <v>3708</v>
      </c>
      <c r="P1359" s="1790">
        <f>'Part VIII-Threshold Criteria'!P360</f>
        <v>0</v>
      </c>
      <c r="Q1359" s="1790">
        <f>'Part VIII-Threshold Criteria'!Q360</f>
        <v>0</v>
      </c>
    </row>
    <row r="1360" spans="1:17">
      <c r="B1360" s="1729" t="s">
        <v>1946</v>
      </c>
      <c r="D1360" s="1729"/>
      <c r="E1360" s="1729"/>
      <c r="F1360" s="1729"/>
      <c r="G1360" s="1729"/>
      <c r="H1360" s="1728"/>
      <c r="I1360" s="1787"/>
      <c r="J1360" s="1787"/>
      <c r="K1360" s="1787"/>
      <c r="L1360" s="1692"/>
      <c r="M1360" s="1692"/>
      <c r="N1360" s="1692"/>
      <c r="O1360" s="1692"/>
      <c r="P1360" s="1692"/>
      <c r="Q1360" s="1692"/>
    </row>
    <row r="1361" spans="1:17">
      <c r="A1361" s="1792" t="str">
        <f>'Part VIII-Threshold Criteria'!A362</f>
        <v>N/A</v>
      </c>
      <c r="B1361" s="1792"/>
      <c r="C1361" s="1792"/>
      <c r="D1361" s="1792"/>
      <c r="E1361" s="1792"/>
      <c r="F1361" s="1792"/>
      <c r="G1361" s="1792"/>
      <c r="H1361" s="1792"/>
      <c r="I1361" s="1792"/>
      <c r="J1361" s="1792"/>
      <c r="K1361" s="1792"/>
      <c r="L1361" s="1792"/>
      <c r="M1361" s="1792"/>
      <c r="N1361" s="1792"/>
      <c r="O1361" s="1792"/>
      <c r="P1361" s="1792"/>
      <c r="Q1361" s="1792"/>
    </row>
    <row r="1362" spans="1:17">
      <c r="B1362" s="1793" t="s">
        <v>1947</v>
      </c>
      <c r="C1362" s="1794"/>
      <c r="D1362" s="1795"/>
      <c r="E1362" s="1795"/>
      <c r="F1362" s="1795"/>
      <c r="G1362" s="1795"/>
      <c r="H1362" s="1795"/>
      <c r="I1362" s="1795"/>
      <c r="J1362" s="1795"/>
      <c r="K1362" s="1795"/>
      <c r="L1362" s="1795"/>
      <c r="M1362" s="1795"/>
      <c r="N1362" s="1795"/>
      <c r="O1362" s="1795"/>
      <c r="P1362" s="1795"/>
    </row>
    <row r="1363" spans="1:17">
      <c r="A1363" s="1792">
        <f>'Part VIII-Threshold Criteria'!A364</f>
        <v>0</v>
      </c>
      <c r="B1363" s="1792"/>
      <c r="C1363" s="1792"/>
      <c r="D1363" s="1792"/>
      <c r="E1363" s="1792"/>
      <c r="F1363" s="1792"/>
      <c r="G1363" s="1792"/>
      <c r="H1363" s="1792"/>
      <c r="I1363" s="1792"/>
      <c r="J1363" s="1792"/>
      <c r="K1363" s="1792"/>
      <c r="L1363" s="1792"/>
      <c r="M1363" s="1792"/>
      <c r="N1363" s="1792"/>
      <c r="O1363" s="1792"/>
      <c r="P1363" s="1792"/>
      <c r="Q1363" s="1792"/>
    </row>
    <row r="1364" spans="1:17">
      <c r="A1364" s="1692"/>
      <c r="B1364" s="1787"/>
      <c r="C1364" s="1795"/>
      <c r="D1364" s="1795"/>
      <c r="E1364" s="1795"/>
      <c r="F1364" s="1795"/>
      <c r="G1364" s="1795"/>
      <c r="H1364" s="1795"/>
      <c r="I1364" s="1795"/>
      <c r="J1364" s="1795"/>
      <c r="K1364" s="1795"/>
      <c r="L1364" s="1795"/>
      <c r="M1364" s="1795"/>
      <c r="Q1364" s="1692"/>
    </row>
    <row r="1365" spans="1:17">
      <c r="A1365" s="1681">
        <v>23</v>
      </c>
      <c r="B1365" s="521" t="s">
        <v>2797</v>
      </c>
      <c r="C1365" s="521"/>
      <c r="D1365" s="521"/>
      <c r="E1365" s="521"/>
      <c r="F1365" s="521"/>
      <c r="G1365" s="521"/>
      <c r="H1365" s="1795"/>
      <c r="I1365" s="1795"/>
      <c r="J1365" s="1795"/>
      <c r="O1365" s="1788" t="s">
        <v>1948</v>
      </c>
      <c r="P1365" s="1700">
        <f>'Part VIII-Threshold Criteria'!P366</f>
        <v>0</v>
      </c>
      <c r="Q1365" s="1700"/>
    </row>
    <row r="1366" spans="1:17">
      <c r="B1366" s="1791" t="s">
        <v>2068</v>
      </c>
      <c r="C1366" s="519" t="s">
        <v>1078</v>
      </c>
      <c r="E1366" s="1786">
        <f>'Part VIII-Threshold Criteria'!E367</f>
        <v>0</v>
      </c>
      <c r="F1366" s="1786"/>
      <c r="G1366" s="1786"/>
      <c r="H1366" s="1786"/>
      <c r="I1366" s="1786"/>
      <c r="J1366" s="519" t="s">
        <v>2778</v>
      </c>
      <c r="K1366" s="519"/>
      <c r="L1366" s="519"/>
      <c r="M1366" s="1786">
        <f>'Part VIII-Threshold Criteria'!M367</f>
        <v>0</v>
      </c>
      <c r="N1366" s="1786"/>
      <c r="O1366" s="1786"/>
      <c r="P1366" s="1786"/>
      <c r="Q1366" s="1786"/>
    </row>
    <row r="1367" spans="1:17">
      <c r="B1367" s="1791" t="s">
        <v>2071</v>
      </c>
      <c r="C1367" s="519" t="s">
        <v>3872</v>
      </c>
      <c r="D1367" s="519"/>
      <c r="E1367" s="519"/>
      <c r="F1367" s="519"/>
      <c r="G1367" s="519"/>
      <c r="H1367" s="519"/>
      <c r="I1367" s="519"/>
      <c r="J1367" s="519"/>
      <c r="K1367" s="519"/>
      <c r="L1367" s="1728"/>
      <c r="M1367" s="1728"/>
      <c r="O1367" s="1765" t="s">
        <v>2071</v>
      </c>
      <c r="P1367" s="1790">
        <f>'Part VIII-Threshold Criteria'!P368</f>
        <v>0</v>
      </c>
      <c r="Q1367" s="1790">
        <f>'Part VIII-Threshold Criteria'!Q368</f>
        <v>0</v>
      </c>
    </row>
    <row r="1368" spans="1:17" ht="12.75" customHeight="1">
      <c r="B1368" s="1789" t="s">
        <v>786</v>
      </c>
      <c r="C1368" s="1757" t="s">
        <v>3948</v>
      </c>
      <c r="D1368" s="1757"/>
      <c r="E1368" s="1757"/>
      <c r="F1368" s="1757"/>
      <c r="G1368" s="1757"/>
      <c r="H1368" s="1757"/>
      <c r="I1368" s="1757"/>
      <c r="J1368" s="1757"/>
      <c r="K1368" s="1757"/>
      <c r="L1368" s="1757"/>
      <c r="M1368" s="1757"/>
      <c r="N1368" s="1757"/>
      <c r="O1368" s="1765" t="s">
        <v>786</v>
      </c>
      <c r="P1368" s="1790">
        <f>'Part VIII-Threshold Criteria'!P369</f>
        <v>0</v>
      </c>
      <c r="Q1368" s="1790">
        <f>'Part VIII-Threshold Criteria'!Q369</f>
        <v>0</v>
      </c>
    </row>
    <row r="1369" spans="1:17">
      <c r="B1369" s="1791" t="s">
        <v>2203</v>
      </c>
      <c r="C1369" s="502" t="s">
        <v>4527</v>
      </c>
      <c r="G1369" s="1723"/>
      <c r="H1369" s="1723"/>
      <c r="I1369" s="1723"/>
      <c r="J1369" s="1728" t="s">
        <v>4528</v>
      </c>
      <c r="L1369" s="1723"/>
      <c r="M1369" s="1852">
        <f>'Part III-Sources of Funds'!E1009</f>
        <v>0</v>
      </c>
      <c r="N1369" s="1852"/>
      <c r="O1369" s="1765" t="s">
        <v>2203</v>
      </c>
      <c r="P1369" s="1790">
        <f>'Part VIII-Threshold Criteria'!P370</f>
        <v>0</v>
      </c>
      <c r="Q1369" s="1790">
        <f>'Part VIII-Threshold Criteria'!Q370</f>
        <v>0</v>
      </c>
    </row>
    <row r="1370" spans="1:17">
      <c r="B1370" s="1729" t="s">
        <v>1946</v>
      </c>
      <c r="D1370" s="1729"/>
      <c r="E1370" s="1729"/>
      <c r="F1370" s="1729"/>
      <c r="G1370" s="1729"/>
      <c r="H1370" s="1728"/>
      <c r="I1370" s="1787"/>
      <c r="J1370" s="1787"/>
      <c r="K1370" s="1787"/>
      <c r="L1370" s="1692"/>
      <c r="M1370" s="1692"/>
      <c r="N1370" s="1692"/>
      <c r="O1370" s="1692"/>
      <c r="P1370" s="1692"/>
      <c r="Q1370" s="1692"/>
    </row>
    <row r="1371" spans="1:17">
      <c r="A1371" s="1792" t="str">
        <f>'Part VIII-Threshold Criteria'!A372</f>
        <v>N/A</v>
      </c>
      <c r="B1371" s="1792"/>
      <c r="C1371" s="1792"/>
      <c r="D1371" s="1792"/>
      <c r="E1371" s="1792"/>
      <c r="F1371" s="1792"/>
      <c r="G1371" s="1792"/>
      <c r="H1371" s="1792"/>
      <c r="I1371" s="1792"/>
      <c r="J1371" s="1792"/>
      <c r="K1371" s="1792"/>
      <c r="L1371" s="1792"/>
      <c r="M1371" s="1792"/>
      <c r="N1371" s="1792"/>
      <c r="O1371" s="1792"/>
      <c r="P1371" s="1792"/>
      <c r="Q1371" s="1792"/>
    </row>
    <row r="1372" spans="1:17">
      <c r="B1372" s="1793" t="s">
        <v>1947</v>
      </c>
      <c r="C1372" s="1794"/>
      <c r="D1372" s="1795"/>
      <c r="E1372" s="1795"/>
      <c r="F1372" s="1795"/>
      <c r="G1372" s="1795"/>
      <c r="H1372" s="1795"/>
      <c r="I1372" s="1795"/>
      <c r="J1372" s="1795"/>
      <c r="K1372" s="1795"/>
      <c r="L1372" s="1795"/>
      <c r="M1372" s="1795"/>
      <c r="N1372" s="1795"/>
      <c r="O1372" s="1795"/>
      <c r="P1372" s="1795"/>
    </row>
    <row r="1373" spans="1:17">
      <c r="A1373" s="1792">
        <f>'Part VIII-Threshold Criteria'!A374</f>
        <v>0</v>
      </c>
      <c r="B1373" s="1792"/>
      <c r="C1373" s="1792"/>
      <c r="D1373" s="1792"/>
      <c r="E1373" s="1792"/>
      <c r="F1373" s="1792"/>
      <c r="G1373" s="1792"/>
      <c r="H1373" s="1792"/>
      <c r="I1373" s="1792"/>
      <c r="J1373" s="1792"/>
      <c r="K1373" s="1792"/>
      <c r="L1373" s="1792"/>
      <c r="M1373" s="1792"/>
      <c r="N1373" s="1792"/>
      <c r="O1373" s="1792"/>
      <c r="P1373" s="1792"/>
      <c r="Q1373" s="1792"/>
    </row>
    <row r="1374" spans="1:17">
      <c r="A1374" s="1692"/>
      <c r="B1374" s="1787"/>
      <c r="C1374" s="1795"/>
      <c r="D1374" s="1795"/>
      <c r="E1374" s="1795"/>
      <c r="F1374" s="1795"/>
      <c r="G1374" s="1795"/>
      <c r="H1374" s="1795"/>
      <c r="I1374" s="1795"/>
      <c r="J1374" s="1795"/>
      <c r="K1374" s="1795"/>
      <c r="L1374" s="1795"/>
      <c r="M1374" s="1795"/>
      <c r="Q1374" s="1692"/>
    </row>
    <row r="1375" spans="1:17">
      <c r="A1375" s="1681">
        <v>24</v>
      </c>
      <c r="B1375" s="521" t="s">
        <v>2775</v>
      </c>
      <c r="C1375" s="521"/>
      <c r="D1375" s="521"/>
      <c r="E1375" s="1795"/>
      <c r="G1375" s="1815" t="s">
        <v>736</v>
      </c>
      <c r="H1375" s="1795"/>
      <c r="I1375" s="1795"/>
      <c r="J1375" s="1795"/>
      <c r="K1375" s="1795"/>
      <c r="L1375" s="1795"/>
      <c r="M1375" s="1795"/>
      <c r="O1375" s="1788" t="s">
        <v>1948</v>
      </c>
      <c r="P1375" s="1700">
        <f>'Part VIII-Threshold Criteria'!P376</f>
        <v>0</v>
      </c>
      <c r="Q1375" s="1700"/>
    </row>
    <row r="1376" spans="1:17">
      <c r="A1376" s="1828"/>
      <c r="B1376" s="1791" t="s">
        <v>2068</v>
      </c>
      <c r="C1376" s="519" t="s">
        <v>2780</v>
      </c>
      <c r="D1376" s="1792"/>
      <c r="E1376" s="1792"/>
      <c r="H1376" s="1815"/>
      <c r="O1376" s="1765" t="s">
        <v>2068</v>
      </c>
      <c r="P1376" s="1790">
        <f>'Part VIII-Threshold Criteria'!P377</f>
        <v>0</v>
      </c>
      <c r="Q1376" s="1790">
        <f>'Part VIII-Threshold Criteria'!Q377</f>
        <v>0</v>
      </c>
    </row>
    <row r="1377" spans="1:17">
      <c r="A1377" s="1828"/>
      <c r="B1377" s="1791" t="s">
        <v>2071</v>
      </c>
      <c r="C1377" s="519" t="s">
        <v>4138</v>
      </c>
      <c r="D1377" s="1792"/>
      <c r="E1377" s="1792"/>
      <c r="O1377" s="1765" t="s">
        <v>2071</v>
      </c>
      <c r="P1377" s="1790">
        <f>'Part VIII-Threshold Criteria'!P378</f>
        <v>0</v>
      </c>
      <c r="Q1377" s="1790">
        <f>'Part VIII-Threshold Criteria'!Q378</f>
        <v>0</v>
      </c>
    </row>
    <row r="1378" spans="1:17">
      <c r="A1378" s="1828"/>
      <c r="B1378" s="1791" t="s">
        <v>786</v>
      </c>
      <c r="C1378" s="519" t="s">
        <v>4139</v>
      </c>
      <c r="D1378" s="1792"/>
      <c r="E1378" s="1792"/>
      <c r="O1378" s="1765" t="s">
        <v>786</v>
      </c>
      <c r="P1378" s="1790">
        <f>'Part VIII-Threshold Criteria'!P379</f>
        <v>0</v>
      </c>
      <c r="Q1378" s="1790">
        <f>'Part VIII-Threshold Criteria'!Q379</f>
        <v>0</v>
      </c>
    </row>
    <row r="1379" spans="1:17">
      <c r="A1379" s="1828"/>
      <c r="B1379" s="1791" t="s">
        <v>2203</v>
      </c>
      <c r="C1379" s="519" t="s">
        <v>4140</v>
      </c>
      <c r="E1379" s="1815"/>
      <c r="O1379" s="1765" t="s">
        <v>2203</v>
      </c>
      <c r="P1379" s="1790">
        <f>'Part VIII-Threshold Criteria'!P380</f>
        <v>0</v>
      </c>
      <c r="Q1379" s="1790">
        <f>'Part VIII-Threshold Criteria'!Q380</f>
        <v>0</v>
      </c>
    </row>
    <row r="1380" spans="1:17">
      <c r="B1380" s="1791" t="s">
        <v>1811</v>
      </c>
      <c r="C1380" s="519" t="s">
        <v>2167</v>
      </c>
      <c r="E1380" s="1815"/>
      <c r="G1380" s="1765" t="s">
        <v>1811</v>
      </c>
      <c r="H1380" s="1757">
        <f>'Part VIII-Threshold Criteria'!H381</f>
        <v>0</v>
      </c>
      <c r="I1380" s="1757"/>
      <c r="J1380" s="1757"/>
      <c r="K1380" s="1757"/>
      <c r="L1380" s="1757"/>
      <c r="M1380" s="1757"/>
      <c r="N1380" s="1757"/>
      <c r="O1380" s="1757"/>
      <c r="P1380" s="1790">
        <f>'Part VIII-Threshold Criteria'!P381</f>
        <v>0</v>
      </c>
      <c r="Q1380" s="1790">
        <f>'Part VIII-Threshold Criteria'!Q381</f>
        <v>0</v>
      </c>
    </row>
    <row r="1381" spans="1:17">
      <c r="B1381" s="1729" t="s">
        <v>1946</v>
      </c>
      <c r="D1381" s="1729"/>
      <c r="E1381" s="1729"/>
      <c r="F1381" s="1729"/>
      <c r="G1381" s="1729"/>
      <c r="H1381" s="1728"/>
      <c r="I1381" s="1787"/>
      <c r="J1381" s="1787"/>
      <c r="K1381" s="1787"/>
      <c r="L1381" s="1692"/>
      <c r="M1381" s="1692"/>
      <c r="N1381" s="1692"/>
      <c r="O1381" s="1692"/>
      <c r="P1381" s="1692"/>
      <c r="Q1381" s="1692"/>
    </row>
    <row r="1382" spans="1:17" ht="33.75">
      <c r="A1382" s="1792" t="str">
        <f>'Part VIII-Threshold Criteria'!A383</f>
        <v>No legal opinions required.</v>
      </c>
      <c r="B1382" s="1792"/>
      <c r="C1382" s="1792"/>
      <c r="D1382" s="1792"/>
      <c r="E1382" s="1792"/>
      <c r="F1382" s="1792"/>
      <c r="G1382" s="1792"/>
      <c r="H1382" s="1792"/>
      <c r="I1382" s="1792"/>
      <c r="J1382" s="1792"/>
      <c r="K1382" s="1792"/>
      <c r="L1382" s="1792"/>
      <c r="M1382" s="1792"/>
      <c r="N1382" s="1792"/>
      <c r="O1382" s="1792"/>
      <c r="P1382" s="1792"/>
      <c r="Q1382" s="1792"/>
    </row>
    <row r="1383" spans="1:17">
      <c r="B1383" s="1793" t="s">
        <v>1947</v>
      </c>
      <c r="C1383" s="1794"/>
      <c r="D1383" s="1795"/>
      <c r="E1383" s="1795"/>
      <c r="F1383" s="1795"/>
      <c r="G1383" s="1795"/>
      <c r="H1383" s="1795"/>
      <c r="I1383" s="1795"/>
      <c r="J1383" s="1795"/>
      <c r="K1383" s="1795"/>
      <c r="L1383" s="1795"/>
      <c r="M1383" s="1795"/>
      <c r="N1383" s="1795"/>
      <c r="O1383" s="1795"/>
      <c r="P1383" s="1795"/>
    </row>
    <row r="1384" spans="1:17">
      <c r="A1384" s="1792">
        <f>'Part VIII-Threshold Criteria'!A385</f>
        <v>0</v>
      </c>
      <c r="B1384" s="1792"/>
      <c r="C1384" s="1792"/>
      <c r="D1384" s="1792"/>
      <c r="E1384" s="1792"/>
      <c r="F1384" s="1792"/>
      <c r="G1384" s="1792"/>
      <c r="H1384" s="1792"/>
      <c r="I1384" s="1792"/>
      <c r="J1384" s="1792"/>
      <c r="K1384" s="1792"/>
      <c r="L1384" s="1792"/>
      <c r="M1384" s="1792"/>
      <c r="N1384" s="1792"/>
      <c r="O1384" s="1792"/>
      <c r="P1384" s="1792"/>
      <c r="Q1384" s="1792"/>
    </row>
    <row r="1385" spans="1:17">
      <c r="A1385" s="1692"/>
      <c r="B1385" s="1787"/>
      <c r="C1385" s="1795"/>
      <c r="D1385" s="1795"/>
      <c r="E1385" s="1795"/>
      <c r="F1385" s="1795"/>
      <c r="G1385" s="1795"/>
      <c r="H1385" s="1795"/>
      <c r="I1385" s="1795"/>
      <c r="J1385" s="1795"/>
      <c r="K1385" s="1795"/>
      <c r="L1385" s="1795"/>
      <c r="M1385" s="1795"/>
      <c r="N1385" s="1795"/>
      <c r="O1385" s="1795"/>
      <c r="P1385" s="1795"/>
      <c r="Q1385" s="1692"/>
    </row>
    <row r="1386" spans="1:17">
      <c r="A1386" s="1681">
        <v>25</v>
      </c>
      <c r="B1386" s="521" t="s">
        <v>2776</v>
      </c>
      <c r="C1386" s="521"/>
      <c r="D1386" s="521"/>
      <c r="E1386" s="521"/>
      <c r="F1386" s="521"/>
      <c r="G1386" s="521"/>
      <c r="H1386" s="1795"/>
      <c r="I1386" s="1795"/>
      <c r="J1386" s="1795"/>
      <c r="K1386" s="1795"/>
      <c r="L1386" s="1795"/>
      <c r="M1386" s="1795"/>
      <c r="O1386" s="1788" t="s">
        <v>1948</v>
      </c>
      <c r="P1386" s="1700">
        <f>'Part VIII-Threshold Criteria'!P387</f>
        <v>0</v>
      </c>
      <c r="Q1386" s="1700"/>
    </row>
    <row r="1387" spans="1:17">
      <c r="A1387" s="518"/>
      <c r="B1387" s="1791" t="s">
        <v>2068</v>
      </c>
      <c r="C1387" s="519" t="s">
        <v>789</v>
      </c>
      <c r="D1387" s="518"/>
      <c r="E1387" s="518"/>
      <c r="F1387" s="518"/>
      <c r="G1387" s="518"/>
      <c r="H1387" s="518"/>
      <c r="I1387" s="518"/>
      <c r="J1387" s="518"/>
      <c r="K1387" s="518"/>
      <c r="L1387" s="518"/>
      <c r="M1387" s="518"/>
      <c r="N1387" s="518"/>
      <c r="O1387" s="1765" t="s">
        <v>2068</v>
      </c>
      <c r="P1387" s="1790" t="str">
        <f>'Part VIII-Threshold Criteria'!P388</f>
        <v>No</v>
      </c>
      <c r="Q1387" s="1790">
        <f>'Part VIII-Threshold Criteria'!Q388</f>
        <v>0</v>
      </c>
    </row>
    <row r="1388" spans="1:17">
      <c r="A1388" s="518"/>
      <c r="B1388" s="1791" t="s">
        <v>2071</v>
      </c>
      <c r="C1388" s="519" t="s">
        <v>3952</v>
      </c>
      <c r="D1388" s="518"/>
      <c r="E1388" s="518"/>
      <c r="F1388" s="518"/>
      <c r="G1388" s="518"/>
      <c r="H1388" s="518"/>
      <c r="I1388" s="518"/>
      <c r="J1388" s="518"/>
      <c r="K1388" s="518"/>
      <c r="L1388" s="518"/>
      <c r="M1388" s="518"/>
      <c r="N1388" s="518"/>
      <c r="O1388" s="1765" t="s">
        <v>1510</v>
      </c>
      <c r="P1388" s="1790" t="str">
        <f>'Part VIII-Threshold Criteria'!P389</f>
        <v>No</v>
      </c>
      <c r="Q1388" s="1790">
        <f>'Part VIII-Threshold Criteria'!Q389</f>
        <v>0</v>
      </c>
    </row>
    <row r="1389" spans="1:17">
      <c r="A1389" s="518"/>
      <c r="B1389" s="1791"/>
      <c r="C1389" s="519" t="s">
        <v>1549</v>
      </c>
      <c r="D1389" s="519"/>
      <c r="E1389" s="519"/>
      <c r="F1389" s="519"/>
      <c r="G1389" s="519"/>
      <c r="H1389" s="519"/>
      <c r="I1389" s="519"/>
      <c r="J1389" s="519"/>
      <c r="K1389" s="519"/>
      <c r="L1389" s="519"/>
      <c r="M1389" s="519"/>
      <c r="N1389" s="518"/>
    </row>
    <row r="1390" spans="1:17">
      <c r="A1390" s="518"/>
      <c r="B1390" s="1791"/>
      <c r="C1390" s="519" t="s">
        <v>1814</v>
      </c>
      <c r="D1390" s="519" t="s">
        <v>3949</v>
      </c>
      <c r="E1390" s="519"/>
      <c r="F1390" s="519"/>
      <c r="G1390" s="519"/>
      <c r="H1390" s="519"/>
      <c r="I1390" s="519"/>
      <c r="J1390" s="519"/>
      <c r="K1390" s="519"/>
      <c r="L1390" s="519"/>
      <c r="M1390" s="519"/>
      <c r="N1390" s="518"/>
      <c r="O1390" s="1765" t="s">
        <v>1814</v>
      </c>
      <c r="P1390" s="1790">
        <f>'Part VIII-Threshold Criteria'!P391</f>
        <v>0</v>
      </c>
      <c r="Q1390" s="1790">
        <f>'Part VIII-Threshold Criteria'!Q391</f>
        <v>0</v>
      </c>
    </row>
    <row r="1391" spans="1:17">
      <c r="A1391" s="518"/>
      <c r="B1391" s="1791"/>
      <c r="C1391" s="519" t="s">
        <v>4099</v>
      </c>
      <c r="D1391" s="519" t="s">
        <v>4100</v>
      </c>
      <c r="E1391" s="519"/>
      <c r="F1391" s="519"/>
      <c r="G1391" s="519"/>
      <c r="H1391" s="519"/>
      <c r="I1391" s="519"/>
      <c r="J1391" s="519"/>
      <c r="K1391" s="519"/>
      <c r="L1391" s="519"/>
      <c r="M1391" s="519"/>
      <c r="N1391" s="518"/>
      <c r="O1391" s="1765" t="s">
        <v>1815</v>
      </c>
      <c r="P1391" s="1790">
        <f>'Part VIII-Threshold Criteria'!P392</f>
        <v>0</v>
      </c>
      <c r="Q1391" s="1790">
        <f>'Part VIII-Threshold Criteria'!Q392</f>
        <v>0</v>
      </c>
    </row>
    <row r="1392" spans="1:17" ht="12.75" customHeight="1">
      <c r="A1392" s="518"/>
      <c r="B1392" s="1791" t="s">
        <v>786</v>
      </c>
      <c r="C1392" s="1757" t="s">
        <v>2290</v>
      </c>
      <c r="D1392" s="1757"/>
      <c r="E1392" s="1757"/>
      <c r="F1392" s="1757"/>
      <c r="G1392" s="1757"/>
      <c r="H1392" s="1757"/>
      <c r="I1392" s="1757"/>
      <c r="J1392" s="1757"/>
      <c r="K1392" s="1757"/>
      <c r="L1392" s="1757"/>
      <c r="M1392" s="1757"/>
      <c r="N1392" s="1757"/>
      <c r="O1392" s="1765" t="s">
        <v>786</v>
      </c>
      <c r="P1392" s="1790">
        <f>'Part VIII-Threshold Criteria'!P393</f>
        <v>0</v>
      </c>
      <c r="Q1392" s="1790">
        <f>'Part VIII-Threshold Criteria'!Q393</f>
        <v>0</v>
      </c>
    </row>
    <row r="1393" spans="1:17">
      <c r="A1393" s="518"/>
      <c r="B1393" s="1791" t="s">
        <v>2203</v>
      </c>
      <c r="C1393" s="1728" t="s">
        <v>3049</v>
      </c>
      <c r="D1393" s="1728"/>
      <c r="E1393" s="1728"/>
      <c r="F1393" s="1728"/>
      <c r="G1393" s="1728"/>
      <c r="H1393" s="1728"/>
      <c r="I1393" s="1728"/>
      <c r="J1393" s="1728"/>
      <c r="K1393" s="1728"/>
      <c r="L1393" s="1728"/>
      <c r="M1393" s="1728"/>
      <c r="N1393" s="518"/>
      <c r="O1393" s="1765"/>
      <c r="P1393" s="518"/>
      <c r="Q1393" s="518"/>
    </row>
    <row r="1394" spans="1:17">
      <c r="A1394" s="518"/>
      <c r="B1394" s="1791"/>
      <c r="C1394" s="519" t="s">
        <v>2291</v>
      </c>
      <c r="D1394" s="519"/>
      <c r="E1394" s="518"/>
      <c r="F1394" s="1728"/>
      <c r="G1394" s="1692">
        <f>'Part VIII-Threshold Criteria'!G395</f>
        <v>0</v>
      </c>
      <c r="H1394" s="1515">
        <f>'Part VIII-Threshold Criteria'!H395</f>
        <v>0</v>
      </c>
      <c r="J1394" s="519" t="s">
        <v>2294</v>
      </c>
      <c r="K1394" s="1728"/>
      <c r="N1394" s="1692">
        <f>'Part VIII-Threshold Criteria'!N395</f>
        <v>0</v>
      </c>
      <c r="O1394" s="1515">
        <f>'Part VIII-Threshold Criteria'!O395</f>
        <v>0</v>
      </c>
    </row>
    <row r="1395" spans="1:17">
      <c r="A1395" s="518"/>
      <c r="B1395" s="1791"/>
      <c r="C1395" s="519" t="s">
        <v>2292</v>
      </c>
      <c r="D1395" s="519"/>
      <c r="E1395" s="518"/>
      <c r="F1395" s="1728"/>
      <c r="G1395" s="1692">
        <f>'Part VIII-Threshold Criteria'!G396</f>
        <v>0</v>
      </c>
      <c r="H1395" s="1515">
        <f>'Part VIII-Threshold Criteria'!H396</f>
        <v>0</v>
      </c>
      <c r="J1395" s="519" t="s">
        <v>2295</v>
      </c>
      <c r="K1395" s="1728"/>
      <c r="N1395" s="1692">
        <f>'Part VIII-Threshold Criteria'!N396</f>
        <v>0</v>
      </c>
      <c r="O1395" s="1515">
        <f>'Part VIII-Threshold Criteria'!O396</f>
        <v>0</v>
      </c>
    </row>
    <row r="1396" spans="1:17">
      <c r="A1396" s="518"/>
      <c r="B1396" s="1791"/>
      <c r="C1396" s="519" t="s">
        <v>2293</v>
      </c>
      <c r="D1396" s="519"/>
      <c r="E1396" s="518"/>
      <c r="F1396" s="1728"/>
      <c r="G1396" s="1692">
        <f>'Part VIII-Threshold Criteria'!G397</f>
        <v>0</v>
      </c>
      <c r="H1396" s="1515">
        <f>'Part VIII-Threshold Criteria'!H397</f>
        <v>0</v>
      </c>
      <c r="K1396" s="1728"/>
      <c r="L1396" s="1728"/>
      <c r="M1396" s="1728"/>
      <c r="N1396" s="518"/>
      <c r="O1396" s="1765"/>
    </row>
    <row r="1397" spans="1:17">
      <c r="A1397" s="518"/>
      <c r="B1397" s="1791" t="s">
        <v>1811</v>
      </c>
      <c r="C1397" s="1728" t="s">
        <v>2481</v>
      </c>
      <c r="D1397" s="1728"/>
      <c r="E1397" s="1728"/>
      <c r="F1397" s="1728"/>
      <c r="G1397" s="1728"/>
      <c r="J1397" s="518"/>
      <c r="K1397" s="1728"/>
      <c r="L1397" s="1728"/>
      <c r="M1397" s="1728"/>
      <c r="N1397" s="518"/>
      <c r="O1397" s="1765"/>
      <c r="P1397" s="1765"/>
      <c r="Q1397" s="1765"/>
    </row>
    <row r="1398" spans="1:17">
      <c r="A1398" s="518"/>
      <c r="B1398" s="1791"/>
      <c r="C1398" s="502" t="s">
        <v>2296</v>
      </c>
      <c r="D1398" s="1728"/>
      <c r="E1398" s="1728"/>
      <c r="F1398" s="1728"/>
      <c r="G1398" s="1790">
        <f>'Part VIII-Threshold Criteria'!G399</f>
        <v>0</v>
      </c>
      <c r="H1398" s="1790">
        <f>'Part VIII-Threshold Criteria'!H399</f>
        <v>0</v>
      </c>
      <c r="J1398" s="502" t="s">
        <v>1232</v>
      </c>
      <c r="K1398" s="1728"/>
      <c r="N1398" s="1790">
        <f>'Part VIII-Threshold Criteria'!N399</f>
        <v>0</v>
      </c>
      <c r="O1398" s="1790">
        <f>'Part VIII-Threshold Criteria'!O399</f>
        <v>0</v>
      </c>
    </row>
    <row r="1399" spans="1:17">
      <c r="A1399" s="518"/>
      <c r="B1399" s="1791"/>
      <c r="C1399" s="502" t="s">
        <v>1231</v>
      </c>
      <c r="D1399" s="1728"/>
      <c r="E1399" s="1728"/>
      <c r="F1399" s="1728"/>
      <c r="G1399" s="1790">
        <f>'Part VIII-Threshold Criteria'!G400</f>
        <v>0</v>
      </c>
      <c r="H1399" s="1790">
        <f>'Part VIII-Threshold Criteria'!H400</f>
        <v>0</v>
      </c>
      <c r="J1399" s="502" t="s">
        <v>2344</v>
      </c>
      <c r="N1399" s="1750">
        <f>'Part VIII-Threshold Criteria'!N400</f>
        <v>0</v>
      </c>
      <c r="O1399" s="1750"/>
      <c r="P1399" s="1750"/>
      <c r="Q1399" s="1750"/>
    </row>
    <row r="1400" spans="1:17">
      <c r="B1400" s="1729" t="s">
        <v>1946</v>
      </c>
      <c r="D1400" s="1729"/>
      <c r="E1400" s="1729"/>
      <c r="F1400" s="1729"/>
      <c r="G1400" s="1729"/>
      <c r="H1400" s="1728"/>
      <c r="I1400" s="1787"/>
      <c r="J1400" s="1787"/>
      <c r="K1400" s="1787"/>
      <c r="P1400" s="1692"/>
      <c r="Q1400" s="1692"/>
    </row>
    <row r="1401" spans="1:17" ht="56.25">
      <c r="A1401" s="1792" t="str">
        <f>'Part VIII-Threshold Criteria'!A402</f>
        <v>The site is currently undeveloped and vacant.</v>
      </c>
      <c r="B1401" s="1792"/>
      <c r="C1401" s="1792"/>
      <c r="D1401" s="1792"/>
      <c r="E1401" s="1792"/>
      <c r="F1401" s="1792"/>
      <c r="G1401" s="1792"/>
      <c r="H1401" s="1792"/>
      <c r="I1401" s="1792"/>
      <c r="J1401" s="1792"/>
      <c r="K1401" s="1792"/>
      <c r="L1401" s="1792"/>
      <c r="M1401" s="1792"/>
      <c r="N1401" s="1792"/>
      <c r="O1401" s="1792"/>
      <c r="P1401" s="1792"/>
      <c r="Q1401" s="1792"/>
    </row>
    <row r="1402" spans="1:17">
      <c r="B1402" s="1793" t="s">
        <v>1947</v>
      </c>
      <c r="C1402" s="1794"/>
      <c r="D1402" s="1795"/>
      <c r="E1402" s="1795"/>
      <c r="F1402" s="1795"/>
      <c r="G1402" s="1795"/>
      <c r="H1402" s="1795"/>
      <c r="I1402" s="1795"/>
      <c r="J1402" s="1795"/>
      <c r="K1402" s="1795"/>
      <c r="L1402" s="1795"/>
      <c r="M1402" s="1795"/>
      <c r="N1402" s="1795"/>
      <c r="O1402" s="1795"/>
      <c r="P1402" s="1795"/>
    </row>
    <row r="1403" spans="1:17">
      <c r="A1403" s="1792">
        <f>'Part VIII-Threshold Criteria'!A404</f>
        <v>0</v>
      </c>
      <c r="B1403" s="1792"/>
      <c r="C1403" s="1792"/>
      <c r="D1403" s="1792"/>
      <c r="E1403" s="1792"/>
      <c r="F1403" s="1792"/>
      <c r="G1403" s="1792"/>
      <c r="H1403" s="1792"/>
      <c r="I1403" s="1792"/>
      <c r="J1403" s="1792"/>
      <c r="K1403" s="1792"/>
      <c r="L1403" s="1792"/>
      <c r="M1403" s="1792"/>
      <c r="N1403" s="1792"/>
      <c r="O1403" s="1792"/>
      <c r="P1403" s="1792"/>
      <c r="Q1403" s="1792"/>
    </row>
    <row r="1404" spans="1:17">
      <c r="A1404" s="1692"/>
      <c r="B1404" s="1787"/>
      <c r="C1404" s="1795"/>
      <c r="D1404" s="1795"/>
      <c r="E1404" s="1795"/>
      <c r="F1404" s="1795"/>
      <c r="G1404" s="1795"/>
      <c r="H1404" s="1795"/>
      <c r="I1404" s="1795"/>
      <c r="J1404" s="1795"/>
      <c r="K1404" s="1795"/>
      <c r="L1404" s="1795"/>
      <c r="M1404" s="1795"/>
      <c r="Q1404" s="1692"/>
    </row>
    <row r="1405" spans="1:17">
      <c r="A1405" s="1681">
        <v>26</v>
      </c>
      <c r="B1405" s="521" t="s">
        <v>3050</v>
      </c>
      <c r="C1405" s="521"/>
      <c r="D1405" s="1786"/>
      <c r="E1405" s="1795"/>
      <c r="F1405" s="1795"/>
      <c r="G1405" s="1795"/>
      <c r="H1405" s="1795"/>
      <c r="O1405" s="1788" t="s">
        <v>1948</v>
      </c>
      <c r="P1405" s="1700">
        <f>'Part VIII-Threshold Criteria'!P406</f>
        <v>0</v>
      </c>
      <c r="Q1405" s="1700"/>
    </row>
    <row r="1406" spans="1:17">
      <c r="A1406" s="1681"/>
      <c r="B1406" s="1786" t="s">
        <v>3710</v>
      </c>
      <c r="C1406" s="521"/>
      <c r="D1406" s="1786"/>
      <c r="E1406" s="1795"/>
      <c r="F1406" s="1795"/>
      <c r="G1406" s="1795"/>
      <c r="H1406" s="1795"/>
    </row>
    <row r="1407" spans="1:17" ht="12.75" customHeight="1">
      <c r="A1407" s="1832"/>
      <c r="B1407" s="1789" t="s">
        <v>2068</v>
      </c>
      <c r="C1407" s="1792" t="s">
        <v>3711</v>
      </c>
      <c r="D1407" s="1792"/>
      <c r="E1407" s="1792"/>
      <c r="F1407" s="1792"/>
      <c r="G1407" s="1792"/>
      <c r="H1407" s="1792"/>
      <c r="I1407" s="1792"/>
      <c r="J1407" s="1792"/>
      <c r="K1407" s="1792"/>
      <c r="L1407" s="1792"/>
      <c r="M1407" s="1792"/>
      <c r="N1407" s="1792"/>
      <c r="O1407" s="1833" t="s">
        <v>2068</v>
      </c>
      <c r="P1407" s="1790" t="str">
        <f>'Part VIII-Threshold Criteria'!P408</f>
        <v>Agree</v>
      </c>
      <c r="Q1407" s="1790">
        <f>'Part VIII-Threshold Criteria'!Q408</f>
        <v>0</v>
      </c>
    </row>
    <row r="1408" spans="1:17" ht="12.75" customHeight="1">
      <c r="A1408" s="1832"/>
      <c r="B1408" s="1789" t="s">
        <v>2071</v>
      </c>
      <c r="C1408" s="1792" t="s">
        <v>3950</v>
      </c>
      <c r="D1408" s="1792"/>
      <c r="E1408" s="1792"/>
      <c r="F1408" s="1792"/>
      <c r="G1408" s="1792"/>
      <c r="H1408" s="1792"/>
      <c r="I1408" s="1792"/>
      <c r="J1408" s="1792"/>
      <c r="K1408" s="1792"/>
      <c r="L1408" s="1792"/>
      <c r="M1408" s="1792"/>
      <c r="N1408" s="1792"/>
      <c r="O1408" s="1833" t="s">
        <v>2071</v>
      </c>
      <c r="P1408" s="1790" t="str">
        <f>'Part VIII-Threshold Criteria'!P409</f>
        <v>Agree</v>
      </c>
      <c r="Q1408" s="1790">
        <f>'Part VIII-Threshold Criteria'!Q409</f>
        <v>0</v>
      </c>
    </row>
    <row r="1409" spans="1:17" ht="12.75" customHeight="1">
      <c r="A1409" s="1832"/>
      <c r="B1409" s="1789" t="s">
        <v>786</v>
      </c>
      <c r="C1409" s="1792" t="s">
        <v>3951</v>
      </c>
      <c r="D1409" s="1792"/>
      <c r="E1409" s="1792"/>
      <c r="F1409" s="1792"/>
      <c r="G1409" s="1792"/>
      <c r="H1409" s="1792"/>
      <c r="I1409" s="1792"/>
      <c r="J1409" s="1792"/>
      <c r="K1409" s="1792"/>
      <c r="L1409" s="1792"/>
      <c r="M1409" s="1792"/>
      <c r="N1409" s="1792"/>
      <c r="O1409" s="1833" t="s">
        <v>786</v>
      </c>
      <c r="P1409" s="1790" t="str">
        <f>'Part VIII-Threshold Criteria'!P410</f>
        <v>Agree</v>
      </c>
      <c r="Q1409" s="1790">
        <f>'Part VIII-Threshold Criteria'!Q410</f>
        <v>0</v>
      </c>
    </row>
    <row r="1410" spans="1:17" ht="12.75" customHeight="1">
      <c r="A1410" s="1832"/>
      <c r="B1410" s="1789" t="s">
        <v>2203</v>
      </c>
      <c r="C1410" s="1792" t="s">
        <v>3712</v>
      </c>
      <c r="D1410" s="1792"/>
      <c r="E1410" s="1792"/>
      <c r="F1410" s="1792"/>
      <c r="G1410" s="1792"/>
      <c r="H1410" s="1792"/>
      <c r="I1410" s="1792"/>
      <c r="J1410" s="1792"/>
      <c r="K1410" s="1792"/>
      <c r="L1410" s="1792"/>
      <c r="M1410" s="1792"/>
      <c r="N1410" s="1792"/>
      <c r="O1410" s="1833" t="s">
        <v>2203</v>
      </c>
      <c r="P1410" s="1790" t="str">
        <f>'Part VIII-Threshold Criteria'!P411</f>
        <v>Agree</v>
      </c>
      <c r="Q1410" s="1790">
        <f>'Part VIII-Threshold Criteria'!Q411</f>
        <v>0</v>
      </c>
    </row>
    <row r="1411" spans="1:17" ht="12.75" customHeight="1">
      <c r="A1411" s="1832"/>
      <c r="B1411" s="1789" t="s">
        <v>1811</v>
      </c>
      <c r="C1411" s="1792" t="s">
        <v>3713</v>
      </c>
      <c r="D1411" s="1792"/>
      <c r="E1411" s="1792"/>
      <c r="F1411" s="1792"/>
      <c r="G1411" s="1792"/>
      <c r="H1411" s="1792"/>
      <c r="I1411" s="1792"/>
      <c r="J1411" s="1792"/>
      <c r="K1411" s="1792"/>
      <c r="L1411" s="1792"/>
      <c r="M1411" s="1792"/>
      <c r="N1411" s="1792"/>
      <c r="O1411" s="1833" t="s">
        <v>1811</v>
      </c>
      <c r="P1411" s="1790" t="str">
        <f>'Part VIII-Threshold Criteria'!P412</f>
        <v>Agree</v>
      </c>
      <c r="Q1411" s="1790">
        <f>'Part VIII-Threshold Criteria'!Q412</f>
        <v>0</v>
      </c>
    </row>
    <row r="1412" spans="1:17" ht="12.75" customHeight="1">
      <c r="A1412" s="1832"/>
      <c r="B1412" s="1789" t="s">
        <v>1812</v>
      </c>
      <c r="C1412" s="1792" t="s">
        <v>3714</v>
      </c>
      <c r="D1412" s="1792"/>
      <c r="E1412" s="1792"/>
      <c r="F1412" s="1792"/>
      <c r="G1412" s="1792"/>
      <c r="H1412" s="1792"/>
      <c r="I1412" s="1792"/>
      <c r="J1412" s="1792"/>
      <c r="K1412" s="1792"/>
      <c r="L1412" s="1792"/>
      <c r="M1412" s="1792"/>
      <c r="N1412" s="1792"/>
      <c r="O1412" s="1833" t="s">
        <v>1812</v>
      </c>
      <c r="P1412" s="1790" t="str">
        <f>'Part VIII-Threshold Criteria'!P413</f>
        <v>Agree</v>
      </c>
      <c r="Q1412" s="1790">
        <f>'Part VIII-Threshold Criteria'!Q413</f>
        <v>0</v>
      </c>
    </row>
    <row r="1413" spans="1:17" ht="12.75" customHeight="1">
      <c r="A1413" s="1832"/>
      <c r="B1413" s="1789" t="s">
        <v>2031</v>
      </c>
      <c r="C1413" s="1792" t="s">
        <v>3953</v>
      </c>
      <c r="D1413" s="1792"/>
      <c r="E1413" s="1792"/>
      <c r="F1413" s="1792"/>
      <c r="G1413" s="1792"/>
      <c r="H1413" s="1792"/>
      <c r="I1413" s="1792"/>
      <c r="J1413" s="1792"/>
      <c r="K1413" s="1792"/>
      <c r="L1413" s="1792"/>
      <c r="M1413" s="1792"/>
      <c r="N1413" s="1792"/>
      <c r="O1413" s="1833" t="s">
        <v>2031</v>
      </c>
      <c r="P1413" s="1790" t="str">
        <f>'Part VIII-Threshold Criteria'!P414</f>
        <v>Agree</v>
      </c>
      <c r="Q1413" s="1790">
        <f>'Part VIII-Threshold Criteria'!Q414</f>
        <v>0</v>
      </c>
    </row>
    <row r="1414" spans="1:17">
      <c r="B1414" s="1729" t="s">
        <v>1946</v>
      </c>
      <c r="D1414" s="1729"/>
      <c r="E1414" s="1729"/>
      <c r="F1414" s="1729"/>
      <c r="G1414" s="1729"/>
      <c r="H1414" s="1728"/>
      <c r="I1414" s="1787"/>
      <c r="J1414" s="1787"/>
      <c r="K1414" s="1787"/>
      <c r="L1414" s="1692"/>
      <c r="M1414" s="1692"/>
      <c r="N1414" s="1692"/>
      <c r="O1414" s="1692"/>
      <c r="P1414" s="1692"/>
      <c r="Q1414" s="1692"/>
    </row>
    <row r="1415" spans="1:17">
      <c r="A1415" s="1792">
        <f>'Part VIII-Threshold Criteria'!A416</f>
        <v>0</v>
      </c>
      <c r="B1415" s="1792"/>
      <c r="C1415" s="1792"/>
      <c r="D1415" s="1792"/>
      <c r="E1415" s="1792"/>
      <c r="F1415" s="1792"/>
      <c r="G1415" s="1792"/>
      <c r="H1415" s="1792"/>
      <c r="I1415" s="1792"/>
      <c r="J1415" s="1792"/>
      <c r="K1415" s="1792"/>
      <c r="L1415" s="1792"/>
      <c r="M1415" s="1792"/>
      <c r="N1415" s="1792"/>
      <c r="O1415" s="1792"/>
      <c r="P1415" s="1792"/>
      <c r="Q1415" s="1792"/>
    </row>
    <row r="1416" spans="1:17">
      <c r="B1416" s="1793" t="s">
        <v>1947</v>
      </c>
      <c r="C1416" s="1794"/>
      <c r="D1416" s="1795"/>
      <c r="E1416" s="1795"/>
      <c r="F1416" s="1795"/>
      <c r="G1416" s="1795"/>
      <c r="H1416" s="1795"/>
      <c r="I1416" s="1795"/>
      <c r="J1416" s="1795"/>
      <c r="K1416" s="1795"/>
      <c r="L1416" s="1795"/>
      <c r="M1416" s="1795"/>
      <c r="N1416" s="1795"/>
      <c r="O1416" s="1795"/>
      <c r="P1416" s="1795"/>
    </row>
    <row r="1417" spans="1:17">
      <c r="A1417" s="1792">
        <f>'Part VIII-Threshold Criteria'!A418</f>
        <v>0</v>
      </c>
      <c r="B1417" s="1792"/>
      <c r="C1417" s="1792"/>
      <c r="D1417" s="1792"/>
      <c r="E1417" s="1792"/>
      <c r="F1417" s="1792"/>
      <c r="G1417" s="1792"/>
      <c r="H1417" s="1792"/>
      <c r="I1417" s="1792"/>
      <c r="J1417" s="1792"/>
      <c r="K1417" s="1792"/>
      <c r="L1417" s="1792"/>
      <c r="M1417" s="1792"/>
      <c r="N1417" s="1792"/>
      <c r="O1417" s="1792"/>
      <c r="P1417" s="1792"/>
      <c r="Q1417" s="1792"/>
    </row>
    <row r="1418" spans="1:17">
      <c r="A1418" s="1692"/>
      <c r="B1418" s="1787"/>
      <c r="C1418" s="1795"/>
      <c r="D1418" s="1795"/>
      <c r="E1418" s="1795"/>
      <c r="F1418" s="1795"/>
      <c r="G1418" s="1795"/>
      <c r="H1418" s="1795"/>
      <c r="I1418" s="1795"/>
      <c r="J1418" s="1795"/>
      <c r="K1418" s="1795"/>
      <c r="L1418" s="1795"/>
      <c r="M1418" s="1795"/>
      <c r="Q1418" s="1692"/>
    </row>
    <row r="1419" spans="1:17">
      <c r="A1419" s="1681">
        <v>27</v>
      </c>
      <c r="B1419" s="521" t="s">
        <v>2777</v>
      </c>
      <c r="C1419" s="521"/>
      <c r="D1419" s="1786"/>
      <c r="E1419" s="1795"/>
      <c r="F1419" s="1795"/>
      <c r="G1419" s="1795"/>
      <c r="H1419" s="1795"/>
      <c r="I1419" s="1795"/>
      <c r="J1419" s="1795"/>
      <c r="K1419" s="1795"/>
      <c r="L1419" s="1795"/>
      <c r="M1419" s="1795"/>
      <c r="O1419" s="1788" t="s">
        <v>1948</v>
      </c>
      <c r="P1419" s="1700">
        <f>'Part VIII-Threshold Criteria'!P420</f>
        <v>0</v>
      </c>
      <c r="Q1419" s="1700"/>
    </row>
    <row r="1420" spans="1:17">
      <c r="A1420" s="1681"/>
      <c r="B1420" s="1729" t="s">
        <v>1946</v>
      </c>
      <c r="D1420" s="1729"/>
      <c r="E1420" s="1729"/>
      <c r="F1420" s="1729"/>
      <c r="G1420" s="1729"/>
      <c r="H1420" s="1728"/>
      <c r="I1420" s="1787"/>
      <c r="J1420" s="1787"/>
      <c r="K1420" s="1787"/>
      <c r="L1420" s="1692"/>
      <c r="M1420" s="1692"/>
      <c r="N1420" s="1692"/>
      <c r="O1420" s="1692"/>
      <c r="P1420" s="1692"/>
      <c r="Q1420" s="1692"/>
    </row>
    <row r="1421" spans="1:17" ht="33.75">
      <c r="A1421" s="1792" t="str">
        <f>'Part VIII-Threshold Criteria'!A422</f>
        <v>The project is shovel ready.</v>
      </c>
      <c r="B1421" s="1792"/>
      <c r="C1421" s="1792"/>
      <c r="D1421" s="1792"/>
      <c r="E1421" s="1792"/>
      <c r="F1421" s="1792"/>
      <c r="G1421" s="1792"/>
      <c r="H1421" s="1792"/>
      <c r="I1421" s="1792"/>
      <c r="J1421" s="1792"/>
      <c r="K1421" s="1792"/>
      <c r="L1421" s="1792"/>
      <c r="M1421" s="1792"/>
      <c r="N1421" s="1792"/>
      <c r="O1421" s="1792"/>
      <c r="P1421" s="1792"/>
      <c r="Q1421" s="1792"/>
    </row>
    <row r="1422" spans="1:17">
      <c r="B1422" s="1793" t="s">
        <v>1947</v>
      </c>
      <c r="C1422" s="1794"/>
      <c r="D1422" s="1795"/>
      <c r="E1422" s="1795"/>
      <c r="F1422" s="1795"/>
      <c r="G1422" s="1795"/>
      <c r="H1422" s="1795"/>
      <c r="I1422" s="1795"/>
      <c r="J1422" s="1795"/>
      <c r="K1422" s="1795"/>
      <c r="L1422" s="1795"/>
      <c r="M1422" s="1795"/>
      <c r="N1422" s="1795"/>
      <c r="O1422" s="1795"/>
      <c r="P1422" s="1795"/>
    </row>
    <row r="1423" spans="1:17">
      <c r="A1423" s="1792">
        <f>'Part VIII-Threshold Criteria'!A424</f>
        <v>0</v>
      </c>
      <c r="B1423" s="1792"/>
      <c r="C1423" s="1792"/>
      <c r="D1423" s="1792"/>
      <c r="E1423" s="1792"/>
      <c r="F1423" s="1792"/>
      <c r="G1423" s="1792"/>
      <c r="H1423" s="1792"/>
      <c r="I1423" s="1792"/>
      <c r="J1423" s="1792"/>
      <c r="K1423" s="1792"/>
      <c r="L1423" s="1792"/>
      <c r="M1423" s="1792"/>
      <c r="N1423" s="1792"/>
      <c r="O1423" s="1792"/>
      <c r="P1423" s="1792"/>
      <c r="Q1423" s="1792"/>
    </row>
    <row r="1432" spans="1:19">
      <c r="A1432" s="521" t="str">
        <f>CONCATENATE("PART NINE - SCORING CRITERIA","  -  ",'Part I-Project Information'!$O$4," ",'Part I-Project Information'!$F$24,", ",'Part I-Project Information'!F1459,", ",'Part I-Project Information'!J1460," County")</f>
        <v>PART NINE - SCORING CRITERIA  -  2016-508 Gateway Capitol View, ,  County</v>
      </c>
      <c r="B1432" s="521"/>
      <c r="C1432" s="521"/>
      <c r="D1432" s="521"/>
      <c r="E1432" s="521"/>
      <c r="F1432" s="521"/>
      <c r="G1432" s="521"/>
      <c r="H1432" s="521"/>
      <c r="I1432" s="521"/>
      <c r="J1432" s="521"/>
      <c r="K1432" s="521"/>
      <c r="L1432" s="521"/>
      <c r="M1432" s="521"/>
      <c r="N1432" s="521"/>
      <c r="O1432" s="521"/>
      <c r="P1432" s="521"/>
    </row>
    <row r="1433" spans="1:19">
      <c r="A1433" s="519"/>
      <c r="B1433" s="519"/>
      <c r="C1433" s="1853"/>
      <c r="D1433" s="519"/>
      <c r="E1433" s="519"/>
      <c r="F1433" s="519"/>
      <c r="G1433" s="519"/>
      <c r="H1433" s="519"/>
      <c r="I1433" s="519"/>
      <c r="J1433" s="519"/>
      <c r="K1433" s="519"/>
      <c r="L1433" s="519"/>
      <c r="M1433" s="1787"/>
      <c r="N1433" s="1512"/>
      <c r="O1433" s="1687"/>
      <c r="P1433" s="1687"/>
    </row>
    <row r="1434" spans="1:19" ht="12.75" customHeight="1">
      <c r="A1434" s="1697" t="s">
        <v>4298</v>
      </c>
      <c r="B1434" s="1697"/>
      <c r="C1434" s="1697"/>
      <c r="D1434" s="1697"/>
      <c r="E1434" s="1697"/>
      <c r="F1434" s="1697"/>
      <c r="G1434" s="1697"/>
      <c r="H1434" s="1697"/>
      <c r="I1434" s="1697"/>
      <c r="J1434" s="1697"/>
      <c r="K1434" s="1697"/>
      <c r="L1434" s="1697"/>
      <c r="M1434" s="1854" t="s">
        <v>2308</v>
      </c>
      <c r="N1434" s="1512"/>
      <c r="O1434" s="1687" t="s">
        <v>2307</v>
      </c>
      <c r="P1434" s="1520" t="s">
        <v>269</v>
      </c>
    </row>
    <row r="1435" spans="1:19" ht="14.25">
      <c r="A1435" s="1697"/>
      <c r="B1435" s="1697"/>
      <c r="C1435" s="1697"/>
      <c r="D1435" s="1697"/>
      <c r="E1435" s="1697"/>
      <c r="F1435" s="1697"/>
      <c r="G1435" s="1697"/>
      <c r="H1435" s="1697"/>
      <c r="I1435" s="1697"/>
      <c r="J1435" s="1697"/>
      <c r="K1435" s="1697"/>
      <c r="L1435" s="1697"/>
      <c r="M1435" s="1854" t="s">
        <v>95</v>
      </c>
      <c r="N1435" s="521"/>
      <c r="O1435" s="1687" t="s">
        <v>2308</v>
      </c>
      <c r="P1435" s="1520" t="s">
        <v>2308</v>
      </c>
      <c r="Q1435" s="1855"/>
      <c r="R1435" s="1855"/>
      <c r="S1435" s="1855"/>
    </row>
    <row r="1436" spans="1:19" ht="14.25">
      <c r="A1436" s="518"/>
      <c r="B1436" s="518"/>
      <c r="C1436" s="518"/>
      <c r="D1436" s="518"/>
      <c r="E1436" s="518"/>
      <c r="F1436" s="518"/>
      <c r="G1436" s="518"/>
      <c r="H1436" s="518"/>
      <c r="I1436" s="518"/>
      <c r="J1436" s="518"/>
      <c r="K1436" s="518"/>
      <c r="L1436" s="1855"/>
      <c r="M1436" s="1854"/>
      <c r="N1436" s="521"/>
      <c r="O1436" s="1687"/>
      <c r="P1436" s="1520"/>
      <c r="Q1436" s="1855"/>
      <c r="R1436" s="1855"/>
      <c r="S1436" s="1855"/>
    </row>
    <row r="1437" spans="1:19" ht="15.75">
      <c r="A1437" s="518"/>
      <c r="B1437" s="518"/>
      <c r="C1437" s="518"/>
      <c r="D1437" s="518"/>
      <c r="E1437" s="518"/>
      <c r="F1437" s="518"/>
      <c r="G1437" s="518"/>
      <c r="H1437" s="518"/>
      <c r="I1437" s="518"/>
      <c r="J1437" s="518"/>
      <c r="K1437" s="1855"/>
      <c r="L1437" s="1856" t="s">
        <v>1279</v>
      </c>
      <c r="M1437" s="1857">
        <f>M1835</f>
        <v>103</v>
      </c>
      <c r="N1437" s="1753"/>
      <c r="O1437" s="1857">
        <f>O1835</f>
        <v>24</v>
      </c>
      <c r="P1437" s="1857">
        <f>P1835</f>
        <v>24</v>
      </c>
      <c r="Q1437" s="1855"/>
      <c r="R1437" s="1855"/>
      <c r="S1437" s="1855"/>
    </row>
    <row r="1438" spans="1:19" ht="14.25">
      <c r="A1438" s="518"/>
      <c r="B1438" s="518"/>
      <c r="C1438" s="518"/>
      <c r="D1438" s="518"/>
      <c r="E1438" s="518"/>
      <c r="F1438" s="518"/>
      <c r="G1438" s="518"/>
      <c r="H1438" s="518"/>
      <c r="I1438" s="518"/>
      <c r="J1438" s="518"/>
      <c r="K1438" s="518"/>
      <c r="L1438" s="1855"/>
      <c r="M1438" s="1854"/>
      <c r="N1438" s="521"/>
      <c r="O1438" s="1687"/>
      <c r="P1438" s="1520"/>
      <c r="Q1438" s="1855"/>
      <c r="R1438" s="1855"/>
      <c r="S1438" s="1855"/>
    </row>
    <row r="1439" spans="1:19">
      <c r="A1439" s="1858" t="s">
        <v>2072</v>
      </c>
      <c r="B1439" s="1859" t="s">
        <v>3013</v>
      </c>
      <c r="C1439" s="521"/>
      <c r="D1439" s="521"/>
      <c r="E1439" s="521"/>
      <c r="F1439" s="521"/>
      <c r="G1439" s="518"/>
      <c r="H1439" s="1756" t="s">
        <v>4596</v>
      </c>
      <c r="I1439" s="518"/>
      <c r="J1439" s="518"/>
      <c r="K1439" s="518"/>
      <c r="L1439" s="518"/>
      <c r="M1439" s="1687">
        <v>10</v>
      </c>
      <c r="N1439" s="1860"/>
      <c r="O1439" s="1857">
        <f>'Part IX A-Scoring Criteria'!O8</f>
        <v>10</v>
      </c>
      <c r="P1439" s="1857">
        <f>'Part IX A-Scoring Criteria'!P8</f>
        <v>10</v>
      </c>
      <c r="Q1439" s="1687" t="s">
        <v>459</v>
      </c>
      <c r="R1439" s="518"/>
      <c r="S1439" s="518"/>
    </row>
    <row r="1440" spans="1:19" ht="15">
      <c r="A1440" s="518"/>
      <c r="B1440" s="1791"/>
      <c r="C1440" s="519"/>
      <c r="D1440" s="522"/>
      <c r="E1440" s="522"/>
      <c r="F1440" s="522"/>
      <c r="G1440" s="522"/>
      <c r="H1440" s="522"/>
      <c r="I1440" s="522"/>
      <c r="J1440" s="522"/>
      <c r="K1440" s="522"/>
      <c r="L1440" s="518"/>
      <c r="M1440" s="1512"/>
      <c r="N1440" s="1518"/>
      <c r="O1440" s="1857"/>
      <c r="P1440" s="1687"/>
      <c r="Q1440" s="1861"/>
      <c r="R1440" s="518"/>
      <c r="S1440" s="518"/>
    </row>
    <row r="1441" spans="1:19">
      <c r="A1441" s="1711" t="s">
        <v>2068</v>
      </c>
      <c r="B1441" s="1700" t="s">
        <v>1949</v>
      </c>
      <c r="C1441" s="518"/>
      <c r="D1441" s="522"/>
      <c r="E1441" s="522"/>
      <c r="F1441" s="1787" t="s">
        <v>2683</v>
      </c>
      <c r="G1441" s="1728">
        <f>F1446</f>
        <v>0</v>
      </c>
      <c r="H1441" s="1532" t="s">
        <v>4320</v>
      </c>
      <c r="I1441" s="518"/>
      <c r="J1441" s="518"/>
      <c r="K1441" s="518"/>
      <c r="L1441" s="518"/>
      <c r="M1441" s="1512"/>
      <c r="N1441" s="1765" t="s">
        <v>2068</v>
      </c>
      <c r="O1441" s="1696">
        <f>'Part IX A-Scoring Criteria'!O10</f>
        <v>0</v>
      </c>
      <c r="P1441" s="1696">
        <f>F1446</f>
        <v>0</v>
      </c>
      <c r="Q1441" s="518"/>
      <c r="R1441" s="518"/>
      <c r="S1441" s="518"/>
    </row>
    <row r="1442" spans="1:19" ht="15">
      <c r="A1442" s="1711"/>
      <c r="B1442" s="522" t="s">
        <v>2201</v>
      </c>
      <c r="C1442" s="1861"/>
      <c r="D1442" s="522"/>
      <c r="E1442" s="522"/>
      <c r="F1442" s="1787" t="s">
        <v>2683</v>
      </c>
      <c r="G1442" s="1728">
        <f>J1446</f>
        <v>0</v>
      </c>
      <c r="H1442" s="1532" t="s">
        <v>2970</v>
      </c>
      <c r="I1442" s="1861"/>
      <c r="J1442" s="1756"/>
      <c r="K1442" s="1861"/>
      <c r="L1442" s="1861"/>
      <c r="M1442" s="1512">
        <v>1</v>
      </c>
      <c r="N1442" s="1765"/>
      <c r="O1442" s="1696">
        <f>'Part IX A-Scoring Criteria'!O11</f>
        <v>0</v>
      </c>
      <c r="P1442" s="1696">
        <f>J1446</f>
        <v>0</v>
      </c>
      <c r="Q1442" s="1861"/>
      <c r="R1442" s="1861"/>
      <c r="S1442" s="1861"/>
    </row>
    <row r="1443" spans="1:19">
      <c r="A1443" s="1711" t="s">
        <v>2071</v>
      </c>
      <c r="B1443" s="1700" t="s">
        <v>763</v>
      </c>
      <c r="C1443" s="518"/>
      <c r="D1443" s="522"/>
      <c r="E1443" s="522"/>
      <c r="F1443" s="1787" t="s">
        <v>2683</v>
      </c>
      <c r="G1443" s="1728">
        <f>O1446</f>
        <v>0</v>
      </c>
      <c r="H1443" s="1532" t="s">
        <v>4597</v>
      </c>
      <c r="I1443" s="518"/>
      <c r="J1443" s="1756"/>
      <c r="K1443" s="518"/>
      <c r="L1443" s="518"/>
      <c r="M1443" s="1512"/>
      <c r="N1443" s="1765" t="s">
        <v>2071</v>
      </c>
      <c r="O1443" s="1696">
        <f>'Part IX A-Scoring Criteria'!O12</f>
        <v>0</v>
      </c>
      <c r="P1443" s="1696">
        <f>O1446</f>
        <v>0</v>
      </c>
      <c r="Q1443" s="1687"/>
      <c r="R1443" s="518"/>
      <c r="S1443" s="518"/>
    </row>
    <row r="1444" spans="1:19" ht="20.25">
      <c r="A1444" s="1756" t="s">
        <v>1947</v>
      </c>
      <c r="B1444" s="518"/>
      <c r="C1444" s="518"/>
      <c r="D1444" s="518"/>
      <c r="E1444" s="518"/>
      <c r="F1444" s="1787" t="s">
        <v>1790</v>
      </c>
      <c r="G1444" s="518"/>
      <c r="H1444" s="518"/>
      <c r="I1444" s="518"/>
      <c r="J1444" s="518"/>
      <c r="K1444" s="1787" t="s">
        <v>1790</v>
      </c>
      <c r="L1444" s="518"/>
      <c r="M1444" s="518"/>
      <c r="N1444" s="518"/>
      <c r="O1444" s="518"/>
      <c r="P1444" s="1765" t="s">
        <v>1790</v>
      </c>
      <c r="Q1444" s="518"/>
      <c r="R1444" s="1862"/>
      <c r="S1444" s="1863"/>
    </row>
    <row r="1445" spans="1:19" ht="20.25">
      <c r="A1445" s="1786" t="s">
        <v>4148</v>
      </c>
      <c r="B1445" s="1786"/>
      <c r="C1445" s="1786"/>
      <c r="D1445" s="1786"/>
      <c r="E1445" s="1786"/>
      <c r="F1445" s="518"/>
      <c r="G1445" s="518"/>
      <c r="H1445" s="518"/>
      <c r="I1445" s="518"/>
      <c r="J1445" s="518"/>
      <c r="K1445" s="1787"/>
      <c r="L1445" s="518"/>
      <c r="M1445" s="518"/>
      <c r="N1445" s="518"/>
      <c r="O1445" s="518"/>
      <c r="P1445" s="1765"/>
      <c r="Q1445" s="518"/>
      <c r="R1445" s="1862"/>
      <c r="S1445" s="1863"/>
    </row>
    <row r="1446" spans="1:19" ht="20.25" customHeight="1">
      <c r="A1446" s="1786" t="s">
        <v>4147</v>
      </c>
      <c r="B1446" s="1786"/>
      <c r="C1446" s="1786"/>
      <c r="D1446" s="1786"/>
      <c r="E1446" s="1765" t="s">
        <v>533</v>
      </c>
      <c r="F1446" s="1687">
        <f>SUM(F1447:F1458)</f>
        <v>0</v>
      </c>
      <c r="G1446" s="1829" t="s">
        <v>4141</v>
      </c>
      <c r="H1446" s="1829"/>
      <c r="I1446" s="1829"/>
      <c r="J1446" s="1687">
        <f>SUM(J1447:J1458)</f>
        <v>0</v>
      </c>
      <c r="K1446" s="1786" t="s">
        <v>3715</v>
      </c>
      <c r="L1446" s="1786"/>
      <c r="M1446" s="1786"/>
      <c r="N1446" s="1765" t="s">
        <v>533</v>
      </c>
      <c r="O1446" s="521">
        <f>SUM(O1447:O1458)</f>
        <v>0</v>
      </c>
      <c r="P1446" s="521"/>
      <c r="Q1446" s="1862"/>
      <c r="R1446" s="1863"/>
      <c r="S1446" s="518"/>
    </row>
    <row r="1447" spans="1:19" ht="20.25">
      <c r="A1447" s="1604">
        <f>'Part IX A-Scoring Criteria'!A16</f>
        <v>1</v>
      </c>
      <c r="B1447" s="1604"/>
      <c r="C1447" s="1604"/>
      <c r="D1447" s="1604"/>
      <c r="E1447" s="1604"/>
      <c r="F1447" s="1864">
        <f>'Part IX A-Scoring Criteria'!F16</f>
        <v>0</v>
      </c>
      <c r="G1447" s="1604">
        <f>'Part IX A-Scoring Criteria'!G16</f>
        <v>1</v>
      </c>
      <c r="H1447" s="1604"/>
      <c r="I1447" s="1604"/>
      <c r="J1447" s="1865" t="s">
        <v>1809</v>
      </c>
      <c r="K1447" s="1604">
        <f>'Part IX A-Scoring Criteria'!K16</f>
        <v>1</v>
      </c>
      <c r="L1447" s="1604"/>
      <c r="M1447" s="1604"/>
      <c r="N1447" s="1604"/>
      <c r="O1447" s="1851" t="s">
        <v>1809</v>
      </c>
      <c r="P1447" s="1851"/>
      <c r="Q1447" s="1866" t="s">
        <v>1308</v>
      </c>
      <c r="R1447" s="1863"/>
      <c r="S1447" s="518"/>
    </row>
    <row r="1448" spans="1:19" ht="20.25">
      <c r="A1448" s="1604">
        <f>'Part IX A-Scoring Criteria'!A17</f>
        <v>2</v>
      </c>
      <c r="B1448" s="1604"/>
      <c r="C1448" s="1604"/>
      <c r="D1448" s="1604"/>
      <c r="E1448" s="1604"/>
      <c r="F1448" s="1864">
        <f>'Part IX A-Scoring Criteria'!F17</f>
        <v>0</v>
      </c>
      <c r="G1448" s="1604">
        <f>'Part IX A-Scoring Criteria'!G17</f>
        <v>2</v>
      </c>
      <c r="H1448" s="1604"/>
      <c r="I1448" s="1604"/>
      <c r="J1448" s="1864">
        <f>'Part IX A-Scoring Criteria'!J17</f>
        <v>0</v>
      </c>
      <c r="K1448" s="1604">
        <f>'Part IX A-Scoring Criteria'!K17</f>
        <v>2</v>
      </c>
      <c r="L1448" s="1604"/>
      <c r="M1448" s="1604"/>
      <c r="N1448" s="1604"/>
      <c r="O1448" s="1867">
        <f>'Part IX A-Scoring Criteria'!O17</f>
        <v>0</v>
      </c>
      <c r="P1448" s="1867"/>
      <c r="Q1448" s="1866"/>
      <c r="R1448" s="1863"/>
      <c r="S1448" s="518"/>
    </row>
    <row r="1449" spans="1:19" ht="22.5">
      <c r="A1449" s="1604">
        <f>'Part IX A-Scoring Criteria'!A18</f>
        <v>3</v>
      </c>
      <c r="B1449" s="1604"/>
      <c r="C1449" s="1604"/>
      <c r="D1449" s="1604"/>
      <c r="E1449" s="1604"/>
      <c r="F1449" s="1864">
        <f>'Part IX A-Scoring Criteria'!F18</f>
        <v>0</v>
      </c>
      <c r="G1449" s="1604">
        <f>'Part IX A-Scoring Criteria'!G18</f>
        <v>3</v>
      </c>
      <c r="H1449" s="1604"/>
      <c r="I1449" s="1604"/>
      <c r="J1449" s="1865" t="s">
        <v>3195</v>
      </c>
      <c r="K1449" s="1604">
        <f>'Part IX A-Scoring Criteria'!K18</f>
        <v>3</v>
      </c>
      <c r="L1449" s="1604"/>
      <c r="M1449" s="1604"/>
      <c r="N1449" s="1604"/>
      <c r="O1449" s="1851" t="s">
        <v>3195</v>
      </c>
      <c r="P1449" s="1851"/>
      <c r="Q1449" s="1866"/>
      <c r="R1449" s="1863"/>
      <c r="S1449" s="518"/>
    </row>
    <row r="1450" spans="1:19" ht="20.25" customHeight="1">
      <c r="A1450" s="1604">
        <f>'Part IX A-Scoring Criteria'!A19</f>
        <v>4</v>
      </c>
      <c r="B1450" s="1604"/>
      <c r="C1450" s="1604"/>
      <c r="D1450" s="1604"/>
      <c r="E1450" s="1604"/>
      <c r="F1450" s="1864">
        <f>'Part IX A-Scoring Criteria'!F19</f>
        <v>0</v>
      </c>
      <c r="G1450" s="1604">
        <f>'Part IX A-Scoring Criteria'!G19</f>
        <v>4</v>
      </c>
      <c r="H1450" s="1604"/>
      <c r="I1450" s="1604"/>
      <c r="J1450" s="1864">
        <f>'Part IX A-Scoring Criteria'!J19</f>
        <v>0</v>
      </c>
      <c r="K1450" s="1604">
        <f>'Part IX A-Scoring Criteria'!K19</f>
        <v>4</v>
      </c>
      <c r="L1450" s="1604"/>
      <c r="M1450" s="1604"/>
      <c r="N1450" s="1604"/>
      <c r="O1450" s="1851" t="s">
        <v>3195</v>
      </c>
      <c r="P1450" s="1851"/>
      <c r="Q1450" s="1866"/>
      <c r="R1450" s="1863"/>
      <c r="S1450" s="518"/>
    </row>
    <row r="1451" spans="1:19" ht="22.5">
      <c r="A1451" s="1604">
        <f>'Part IX A-Scoring Criteria'!A20</f>
        <v>5</v>
      </c>
      <c r="B1451" s="1604"/>
      <c r="C1451" s="1604"/>
      <c r="D1451" s="1604"/>
      <c r="E1451" s="1604"/>
      <c r="F1451" s="1864">
        <f>'Part IX A-Scoring Criteria'!F20</f>
        <v>0</v>
      </c>
      <c r="G1451" s="1604">
        <f>'Part IX A-Scoring Criteria'!G20</f>
        <v>5</v>
      </c>
      <c r="H1451" s="1604"/>
      <c r="I1451" s="1604"/>
      <c r="J1451" s="1865" t="s">
        <v>4143</v>
      </c>
      <c r="K1451" s="1604">
        <f>'Part IX A-Scoring Criteria'!K20</f>
        <v>5</v>
      </c>
      <c r="L1451" s="1604"/>
      <c r="M1451" s="1604"/>
      <c r="N1451" s="1604"/>
      <c r="O1451" s="1867">
        <f>'Part IX A-Scoring Criteria'!O20</f>
        <v>0</v>
      </c>
      <c r="P1451" s="1867"/>
      <c r="Q1451" s="1863"/>
      <c r="R1451" s="1863"/>
      <c r="S1451" s="518"/>
    </row>
    <row r="1452" spans="1:19" ht="20.25">
      <c r="A1452" s="1604">
        <f>'Part IX A-Scoring Criteria'!A21</f>
        <v>6</v>
      </c>
      <c r="B1452" s="1604"/>
      <c r="C1452" s="1604"/>
      <c r="D1452" s="1604"/>
      <c r="E1452" s="1604"/>
      <c r="F1452" s="1864">
        <f>'Part IX A-Scoring Criteria'!F21</f>
        <v>0</v>
      </c>
      <c r="G1452" s="1604">
        <f>'Part IX A-Scoring Criteria'!G21</f>
        <v>6</v>
      </c>
      <c r="H1452" s="1604"/>
      <c r="I1452" s="1604"/>
      <c r="J1452" s="1864">
        <f>'Part IX A-Scoring Criteria'!J21</f>
        <v>0</v>
      </c>
      <c r="K1452" s="1604">
        <f>'Part IX A-Scoring Criteria'!K21</f>
        <v>6</v>
      </c>
      <c r="L1452" s="1604"/>
      <c r="M1452" s="1604"/>
      <c r="N1452" s="1604"/>
      <c r="O1452" s="1867">
        <f>'Part IX A-Scoring Criteria'!O21</f>
        <v>0</v>
      </c>
      <c r="P1452" s="1867"/>
      <c r="Q1452" s="1863"/>
      <c r="R1452" s="1863"/>
      <c r="S1452" s="518"/>
    </row>
    <row r="1453" spans="1:19" ht="22.5">
      <c r="A1453" s="1604">
        <f>'Part IX A-Scoring Criteria'!A22</f>
        <v>7</v>
      </c>
      <c r="B1453" s="1604"/>
      <c r="C1453" s="1604"/>
      <c r="D1453" s="1604"/>
      <c r="E1453" s="1604"/>
      <c r="F1453" s="1864">
        <f>'Part IX A-Scoring Criteria'!F22</f>
        <v>0</v>
      </c>
      <c r="G1453" s="1604">
        <f>'Part IX A-Scoring Criteria'!G22</f>
        <v>7</v>
      </c>
      <c r="H1453" s="1604"/>
      <c r="I1453" s="1604"/>
      <c r="J1453" s="1865" t="s">
        <v>4144</v>
      </c>
      <c r="K1453" s="1604">
        <f>'Part IX A-Scoring Criteria'!K22</f>
        <v>7</v>
      </c>
      <c r="L1453" s="1604"/>
      <c r="M1453" s="1604"/>
      <c r="N1453" s="1604"/>
      <c r="O1453" s="1867">
        <f>'Part IX A-Scoring Criteria'!O22</f>
        <v>0</v>
      </c>
      <c r="P1453" s="1867"/>
      <c r="Q1453" s="1863"/>
      <c r="R1453" s="1863"/>
      <c r="S1453" s="518"/>
    </row>
    <row r="1454" spans="1:19" ht="20.25">
      <c r="A1454" s="1604">
        <f>'Part IX A-Scoring Criteria'!A23</f>
        <v>8</v>
      </c>
      <c r="B1454" s="1604"/>
      <c r="C1454" s="1604"/>
      <c r="D1454" s="1604"/>
      <c r="E1454" s="1604"/>
      <c r="F1454" s="1864">
        <f>'Part IX A-Scoring Criteria'!F23</f>
        <v>0</v>
      </c>
      <c r="G1454" s="1604">
        <f>'Part IX A-Scoring Criteria'!G23</f>
        <v>8</v>
      </c>
      <c r="H1454" s="1604"/>
      <c r="I1454" s="1604"/>
      <c r="J1454" s="1864">
        <f>'Part IX A-Scoring Criteria'!J23</f>
        <v>0</v>
      </c>
      <c r="K1454" s="1604">
        <f>'Part IX A-Scoring Criteria'!K23</f>
        <v>8</v>
      </c>
      <c r="L1454" s="1604"/>
      <c r="M1454" s="1604"/>
      <c r="N1454" s="1604"/>
      <c r="O1454" s="1867">
        <f>'Part IX A-Scoring Criteria'!O23</f>
        <v>0</v>
      </c>
      <c r="P1454" s="1867"/>
      <c r="Q1454" s="1863"/>
      <c r="R1454" s="1863"/>
      <c r="S1454" s="518"/>
    </row>
    <row r="1455" spans="1:19" ht="22.5">
      <c r="A1455" s="1604">
        <f>'Part IX A-Scoring Criteria'!A24</f>
        <v>9</v>
      </c>
      <c r="B1455" s="1604"/>
      <c r="C1455" s="1604"/>
      <c r="D1455" s="1604"/>
      <c r="E1455" s="1604"/>
      <c r="F1455" s="1864">
        <f>'Part IX A-Scoring Criteria'!F24</f>
        <v>0</v>
      </c>
      <c r="G1455" s="1604">
        <f>'Part IX A-Scoring Criteria'!G24</f>
        <v>9</v>
      </c>
      <c r="H1455" s="1604"/>
      <c r="I1455" s="1604"/>
      <c r="J1455" s="1865" t="s">
        <v>4145</v>
      </c>
      <c r="K1455" s="1604">
        <f>'Part IX A-Scoring Criteria'!K24</f>
        <v>9</v>
      </c>
      <c r="L1455" s="1604"/>
      <c r="M1455" s="1604"/>
      <c r="N1455" s="1604"/>
      <c r="O1455" s="1867">
        <f>'Part IX A-Scoring Criteria'!O24</f>
        <v>0</v>
      </c>
      <c r="P1455" s="1867"/>
      <c r="Q1455" s="1863"/>
      <c r="R1455" s="1863"/>
      <c r="S1455" s="518"/>
    </row>
    <row r="1456" spans="1:19" ht="20.25">
      <c r="A1456" s="1604">
        <f>'Part IX A-Scoring Criteria'!A25</f>
        <v>10</v>
      </c>
      <c r="B1456" s="1604"/>
      <c r="C1456" s="1604"/>
      <c r="D1456" s="1604"/>
      <c r="E1456" s="1604"/>
      <c r="F1456" s="1864">
        <f>'Part IX A-Scoring Criteria'!F25</f>
        <v>0</v>
      </c>
      <c r="G1456" s="1604">
        <f>'Part IX A-Scoring Criteria'!G25</f>
        <v>10</v>
      </c>
      <c r="H1456" s="1604"/>
      <c r="I1456" s="1604"/>
      <c r="J1456" s="1864">
        <f>'Part IX A-Scoring Criteria'!J25</f>
        <v>0</v>
      </c>
      <c r="K1456" s="1604">
        <f>'Part IX A-Scoring Criteria'!K25</f>
        <v>10</v>
      </c>
      <c r="L1456" s="1604"/>
      <c r="M1456" s="1604"/>
      <c r="N1456" s="1604"/>
      <c r="O1456" s="1867">
        <f>'Part IX A-Scoring Criteria'!O25</f>
        <v>0</v>
      </c>
      <c r="P1456" s="1867"/>
      <c r="Q1456" s="1863"/>
      <c r="R1456" s="1863"/>
      <c r="S1456" s="518"/>
    </row>
    <row r="1457" spans="1:19" ht="22.5">
      <c r="A1457" s="1604">
        <f>'Part IX A-Scoring Criteria'!A26</f>
        <v>11</v>
      </c>
      <c r="B1457" s="1604"/>
      <c r="C1457" s="1604"/>
      <c r="D1457" s="1604"/>
      <c r="E1457" s="1604"/>
      <c r="F1457" s="1864">
        <f>'Part IX A-Scoring Criteria'!F26</f>
        <v>0</v>
      </c>
      <c r="G1457" s="1604">
        <f>'Part IX A-Scoring Criteria'!G26</f>
        <v>11</v>
      </c>
      <c r="H1457" s="1604"/>
      <c r="I1457" s="1604"/>
      <c r="J1457" s="1865" t="s">
        <v>4146</v>
      </c>
      <c r="K1457" s="1604">
        <f>'Part IX A-Scoring Criteria'!K26</f>
        <v>11</v>
      </c>
      <c r="L1457" s="1604"/>
      <c r="M1457" s="1604"/>
      <c r="N1457" s="1604"/>
      <c r="O1457" s="1867">
        <f>'Part IX A-Scoring Criteria'!O26</f>
        <v>0</v>
      </c>
      <c r="P1457" s="1867"/>
      <c r="Q1457" s="1863"/>
      <c r="R1457" s="1863"/>
      <c r="S1457" s="518"/>
    </row>
    <row r="1458" spans="1:19">
      <c r="A1458" s="1604">
        <f>'Part IX A-Scoring Criteria'!A27</f>
        <v>12</v>
      </c>
      <c r="B1458" s="1604"/>
      <c r="C1458" s="1604"/>
      <c r="D1458" s="1604"/>
      <c r="E1458" s="1604"/>
      <c r="F1458" s="1864">
        <f>'Part IX A-Scoring Criteria'!F27</f>
        <v>0</v>
      </c>
      <c r="G1458" s="1604">
        <f>'Part IX A-Scoring Criteria'!G27</f>
        <v>12</v>
      </c>
      <c r="H1458" s="1604"/>
      <c r="I1458" s="1604"/>
      <c r="J1458" s="1864">
        <f>'Part IX A-Scoring Criteria'!J27</f>
        <v>0</v>
      </c>
      <c r="K1458" s="1604">
        <f>'Part IX A-Scoring Criteria'!K27</f>
        <v>12</v>
      </c>
      <c r="L1458" s="1604"/>
      <c r="M1458" s="1604"/>
      <c r="N1458" s="1604"/>
      <c r="O1458" s="1867">
        <f>'Part IX A-Scoring Criteria'!O27</f>
        <v>0</v>
      </c>
      <c r="P1458" s="1867"/>
      <c r="Q1458" s="518"/>
      <c r="R1458" s="518"/>
      <c r="S1458" s="518"/>
    </row>
    <row r="1459" spans="1:19" ht="15">
      <c r="A1459" s="1861"/>
      <c r="B1459" s="1861"/>
      <c r="C1459" s="1861"/>
      <c r="D1459" s="519"/>
      <c r="E1459" s="519"/>
      <c r="F1459" s="1687"/>
      <c r="G1459" s="1687"/>
      <c r="H1459" s="1687"/>
      <c r="I1459" s="1687"/>
      <c r="J1459" s="1728"/>
      <c r="K1459" s="1728"/>
      <c r="L1459" s="1728"/>
      <c r="M1459" s="1787"/>
      <c r="N1459" s="1687"/>
      <c r="O1459" s="1520"/>
      <c r="P1459" s="1857"/>
      <c r="Q1459" s="1861"/>
      <c r="R1459" s="1861"/>
      <c r="S1459" s="1861"/>
    </row>
    <row r="1460" spans="1:19" ht="15">
      <c r="A1460" s="1868" t="s">
        <v>2074</v>
      </c>
      <c r="B1460" s="1869" t="s">
        <v>4149</v>
      </c>
      <c r="C1460" s="1861"/>
      <c r="D1460" s="1861"/>
      <c r="E1460" s="519"/>
      <c r="F1460" s="1861"/>
      <c r="G1460" s="1750"/>
      <c r="H1460" s="519"/>
      <c r="I1460" s="1870" t="s">
        <v>3986</v>
      </c>
      <c r="J1460" s="1861"/>
      <c r="K1460" s="1861"/>
      <c r="L1460" s="1861"/>
      <c r="M1460" s="1687">
        <v>3</v>
      </c>
      <c r="N1460" s="1512"/>
      <c r="O1460" s="1857">
        <f>'Part IX A-Scoring Criteria'!O29</f>
        <v>0</v>
      </c>
      <c r="P1460" s="1857">
        <f>'Part IX A-Scoring Criteria'!P29</f>
        <v>0</v>
      </c>
      <c r="Q1460" s="1687" t="s">
        <v>459</v>
      </c>
      <c r="R1460" s="1871" t="str">
        <f>IF(OR($O1460=$M1460,$O1460=0,$O1460=""),"","* * Check Score! * *")</f>
        <v/>
      </c>
      <c r="S1460" s="1861"/>
    </row>
    <row r="1461" spans="1:19" ht="15">
      <c r="A1461" s="1868"/>
      <c r="B1461" s="1869"/>
      <c r="C1461" s="1861"/>
      <c r="D1461" s="1861"/>
      <c r="E1461" s="519"/>
      <c r="F1461" s="1861"/>
      <c r="G1461" s="1750"/>
      <c r="H1461" s="519"/>
      <c r="I1461" s="1870"/>
      <c r="J1461" s="1861"/>
      <c r="K1461" s="1798"/>
      <c r="L1461" s="1872"/>
      <c r="M1461" s="1687"/>
      <c r="N1461" s="1512"/>
      <c r="O1461" s="1857"/>
      <c r="P1461" s="1857"/>
      <c r="Q1461" s="1687"/>
      <c r="R1461" s="1871"/>
      <c r="S1461" s="1861"/>
    </row>
    <row r="1462" spans="1:19" ht="15" customHeight="1">
      <c r="A1462" s="1711" t="s">
        <v>2068</v>
      </c>
      <c r="B1462" s="1873" t="s">
        <v>2725</v>
      </c>
      <c r="C1462" s="1861"/>
      <c r="D1462" s="1861"/>
      <c r="E1462" s="519"/>
      <c r="F1462" s="1861"/>
      <c r="G1462" s="1750"/>
      <c r="H1462" s="1673" t="s">
        <v>4150</v>
      </c>
      <c r="I1462" s="1673"/>
      <c r="J1462" s="1872">
        <f>'Part VI-Revenues &amp; Expenses'!$O$60</f>
        <v>162</v>
      </c>
      <c r="K1462" s="1874"/>
      <c r="L1462" s="1861"/>
      <c r="M1462" s="1687"/>
      <c r="N1462" s="1512"/>
      <c r="O1462" s="1861"/>
      <c r="P1462" s="1861"/>
      <c r="Q1462" s="1512"/>
      <c r="R1462" s="1871"/>
      <c r="S1462" s="1861"/>
    </row>
    <row r="1463" spans="1:19" ht="15" customHeight="1">
      <c r="A1463" s="1711"/>
      <c r="B1463" s="1757" t="s">
        <v>4151</v>
      </c>
      <c r="C1463" s="1757"/>
      <c r="D1463" s="1757"/>
      <c r="E1463" s="1757"/>
      <c r="F1463" s="1757"/>
      <c r="G1463" s="1829"/>
      <c r="H1463" s="1875" t="s">
        <v>4152</v>
      </c>
      <c r="I1463" s="1875" t="s">
        <v>4153</v>
      </c>
      <c r="J1463" s="1829"/>
      <c r="K1463" s="519" t="s">
        <v>3717</v>
      </c>
      <c r="L1463" s="519"/>
      <c r="M1463" s="1687"/>
      <c r="N1463" s="1512"/>
      <c r="O1463" s="1876"/>
      <c r="P1463" s="1876"/>
      <c r="Q1463" s="1512"/>
      <c r="R1463" s="1871"/>
      <c r="S1463" s="1876"/>
    </row>
    <row r="1464" spans="1:19" ht="15" customHeight="1">
      <c r="A1464" s="1876"/>
      <c r="B1464" s="1757"/>
      <c r="C1464" s="1757"/>
      <c r="D1464" s="1757"/>
      <c r="E1464" s="1757"/>
      <c r="F1464" s="1757"/>
      <c r="G1464" s="1876"/>
      <c r="H1464" s="1757" t="s">
        <v>4321</v>
      </c>
      <c r="I1464" s="1757"/>
      <c r="J1464" s="1877"/>
      <c r="K1464" s="1875" t="s">
        <v>4152</v>
      </c>
      <c r="L1464" s="1875" t="s">
        <v>4153</v>
      </c>
      <c r="M1464" s="1512"/>
      <c r="N1464" s="1878" t="s">
        <v>2068</v>
      </c>
      <c r="O1464" s="1879">
        <f>SUM(O1465:O1466)</f>
        <v>0</v>
      </c>
      <c r="P1464" s="1879">
        <f>SUM(P1465:P1466)</f>
        <v>0</v>
      </c>
      <c r="Q1464" s="1876"/>
      <c r="R1464" s="1876"/>
      <c r="S1464" s="1876"/>
    </row>
    <row r="1465" spans="1:19" ht="15">
      <c r="A1465" s="1880"/>
      <c r="B1465" s="1881" t="s">
        <v>2072</v>
      </c>
      <c r="C1465" s="1882">
        <v>0.15</v>
      </c>
      <c r="D1465" s="1815" t="s">
        <v>3716</v>
      </c>
      <c r="E1465" s="1883"/>
      <c r="F1465" s="1883"/>
      <c r="G1465" s="1883"/>
      <c r="H1465" s="1884">
        <f>'Part IX A-Scoring Criteria'!H34</f>
        <v>0</v>
      </c>
      <c r="I1465" s="1884">
        <f>'Part IX A-Scoring Criteria'!I34</f>
        <v>0</v>
      </c>
      <c r="J1465" s="1883"/>
      <c r="K1465" s="1885">
        <f>IF(OR('Part VI-Revenues &amp; Expenses'!$O$60="", 'Part VI-Revenues &amp; Expenses'!$O$60=0),0,H1465/'Part VI-Revenues &amp; Expenses'!$O$60)</f>
        <v>0</v>
      </c>
      <c r="L1465" s="1885">
        <f>IF(OR('Part VI-Revenues &amp; Expenses'!$O$60="", 'Part VI-Revenues &amp; Expenses'!$O$60=0),0,I1465/'Part VI-Revenues &amp; Expenses'!$O$60)</f>
        <v>0</v>
      </c>
      <c r="M1465" s="1512">
        <v>1</v>
      </c>
      <c r="N1465" s="1878" t="s">
        <v>2072</v>
      </c>
      <c r="O1465" s="1879">
        <f>'Part IX A-Scoring Criteria'!O34</f>
        <v>0</v>
      </c>
      <c r="P1465" s="1879">
        <f>'Part IX A-Scoring Criteria'!P34</f>
        <v>0</v>
      </c>
      <c r="Q1465" s="1883"/>
      <c r="R1465" s="1883"/>
      <c r="S1465" s="1883"/>
    </row>
    <row r="1466" spans="1:19" ht="15">
      <c r="A1466" s="1790" t="s">
        <v>3673</v>
      </c>
      <c r="B1466" s="1881" t="s">
        <v>2074</v>
      </c>
      <c r="C1466" s="1882">
        <v>0.2</v>
      </c>
      <c r="D1466" s="1815" t="s">
        <v>3716</v>
      </c>
      <c r="E1466" s="1883"/>
      <c r="F1466" s="1883"/>
      <c r="G1466" s="1883"/>
      <c r="H1466" s="1884">
        <f>'Part IX A-Scoring Criteria'!H35</f>
        <v>0</v>
      </c>
      <c r="I1466" s="1884">
        <f>'Part IX A-Scoring Criteria'!I35</f>
        <v>0</v>
      </c>
      <c r="J1466" s="1883"/>
      <c r="K1466" s="1885">
        <f>IF(OR('Part VI-Revenues &amp; Expenses'!$O$60="", 'Part VI-Revenues &amp; Expenses'!$O$60=0),0,H1466/'Part VI-Revenues &amp; Expenses'!$O$60)</f>
        <v>0</v>
      </c>
      <c r="L1466" s="1885">
        <f>IF(OR('Part VI-Revenues &amp; Expenses'!$O$60="", 'Part VI-Revenues &amp; Expenses'!$O$60=0),0,I1466/'Part VI-Revenues &amp; Expenses'!$O$60)</f>
        <v>0</v>
      </c>
      <c r="M1466" s="1512">
        <v>2</v>
      </c>
      <c r="N1466" s="1878" t="s">
        <v>2074</v>
      </c>
      <c r="O1466" s="1879">
        <f>'Part IX A-Scoring Criteria'!O35</f>
        <v>0</v>
      </c>
      <c r="P1466" s="1879">
        <f>'Part IX A-Scoring Criteria'!P35</f>
        <v>0</v>
      </c>
      <c r="Q1466" s="1883"/>
      <c r="R1466" s="1883"/>
      <c r="S1466" s="1883"/>
    </row>
    <row r="1467" spans="1:19" ht="15">
      <c r="A1467" s="1790"/>
      <c r="B1467" s="1881"/>
      <c r="C1467" s="1882"/>
      <c r="D1467" s="1815"/>
      <c r="E1467" s="1883"/>
      <c r="F1467" s="1883"/>
      <c r="G1467" s="1883"/>
      <c r="H1467" s="1883"/>
      <c r="I1467" s="1883"/>
      <c r="J1467" s="1883"/>
      <c r="K1467" s="1885"/>
      <c r="L1467" s="1885"/>
      <c r="M1467" s="1512"/>
      <c r="N1467" s="1878"/>
      <c r="O1467" s="1879"/>
      <c r="P1467" s="1879"/>
      <c r="Q1467" s="1883"/>
      <c r="R1467" s="1883"/>
      <c r="S1467" s="1883"/>
    </row>
    <row r="1468" spans="1:19" ht="15" customHeight="1">
      <c r="A1468" s="1711" t="s">
        <v>2071</v>
      </c>
      <c r="B1468" s="1873" t="s">
        <v>4598</v>
      </c>
      <c r="C1468" s="1883"/>
      <c r="D1468" s="1883"/>
      <c r="E1468" s="1844"/>
      <c r="F1468" s="1883"/>
      <c r="G1468" s="1883"/>
      <c r="H1468" s="1757" t="s">
        <v>4328</v>
      </c>
      <c r="I1468" s="1757"/>
      <c r="J1468" s="1883"/>
      <c r="K1468" s="1883"/>
      <c r="L1468" s="1883"/>
      <c r="M1468" s="1512"/>
      <c r="N1468" s="1833" t="s">
        <v>2071</v>
      </c>
      <c r="O1468" s="1879">
        <f>SUM(O1469:O1470)</f>
        <v>0</v>
      </c>
      <c r="P1468" s="1879">
        <f>SUM(P1469:P1470)</f>
        <v>0</v>
      </c>
      <c r="Q1468" s="1883"/>
      <c r="R1468" s="1883"/>
      <c r="S1468" s="1883"/>
    </row>
    <row r="1469" spans="1:19" ht="15">
      <c r="A1469" s="1880"/>
      <c r="B1469" s="1881" t="s">
        <v>2072</v>
      </c>
      <c r="C1469" s="1882">
        <v>0.15</v>
      </c>
      <c r="D1469" s="1815" t="s">
        <v>4327</v>
      </c>
      <c r="E1469" s="1844"/>
      <c r="F1469" s="1886"/>
      <c r="G1469" s="1883"/>
      <c r="H1469" s="1884">
        <f>'Part IX A-Scoring Criteria'!H38</f>
        <v>0</v>
      </c>
      <c r="I1469" s="1884">
        <f>'Part IX A-Scoring Criteria'!I38</f>
        <v>0</v>
      </c>
      <c r="J1469" s="1884"/>
      <c r="K1469" s="1885">
        <f>IF(OR('Part VI-Revenues &amp; Expenses'!$O$60="", 'Part VI-Revenues &amp; Expenses'!$O$60=0),0,H1469/'Part VI-Revenues &amp; Expenses'!$O$60)</f>
        <v>0</v>
      </c>
      <c r="L1469" s="1885">
        <f>IF(OR('Part VI-Revenues &amp; Expenses'!$O$60="", 'Part VI-Revenues &amp; Expenses'!$O$60=0),0,I1469/'Part VI-Revenues &amp; Expenses'!$O$60)</f>
        <v>0</v>
      </c>
      <c r="M1469" s="1512">
        <v>2</v>
      </c>
      <c r="N1469" s="1878" t="s">
        <v>2072</v>
      </c>
      <c r="O1469" s="1879">
        <f>'Part IX A-Scoring Criteria'!O38</f>
        <v>0</v>
      </c>
      <c r="P1469" s="1879">
        <f>'Part IX A-Scoring Criteria'!P38</f>
        <v>0</v>
      </c>
      <c r="Q1469" s="1883"/>
      <c r="R1469" s="1883"/>
      <c r="S1469" s="1883"/>
    </row>
    <row r="1470" spans="1:19" ht="15.75">
      <c r="A1470" s="1790" t="s">
        <v>3673</v>
      </c>
      <c r="B1470" s="1881" t="s">
        <v>2074</v>
      </c>
      <c r="C1470" s="1886" t="s">
        <v>4330</v>
      </c>
      <c r="D1470" s="1883"/>
      <c r="E1470" s="1887">
        <v>3</v>
      </c>
      <c r="F1470" s="1886" t="s">
        <v>4329</v>
      </c>
      <c r="G1470" s="1883"/>
      <c r="H1470" s="1883"/>
      <c r="I1470" s="1853" t="s">
        <v>4331</v>
      </c>
      <c r="J1470" s="1883"/>
      <c r="K1470" s="1888">
        <f>O1540</f>
        <v>0</v>
      </c>
      <c r="L1470" s="1888">
        <f>P1540</f>
        <v>0</v>
      </c>
      <c r="M1470" s="1512">
        <v>1</v>
      </c>
      <c r="N1470" s="1878" t="s">
        <v>2074</v>
      </c>
      <c r="O1470" s="1879">
        <f>'Part IX A-Scoring Criteria'!O39</f>
        <v>0</v>
      </c>
      <c r="P1470" s="1857">
        <f>'Part IX A-Scoring Criteria'!P39</f>
        <v>0</v>
      </c>
      <c r="Q1470" s="1883"/>
      <c r="R1470" s="1883"/>
      <c r="S1470" s="1883"/>
    </row>
    <row r="1471" spans="1:19" ht="15">
      <c r="A1471" s="518"/>
      <c r="B1471" s="1756" t="s">
        <v>1947</v>
      </c>
      <c r="C1471" s="1883"/>
      <c r="D1471" s="1793"/>
      <c r="E1471" s="1795"/>
      <c r="F1471" s="1795"/>
      <c r="G1471" s="1795"/>
      <c r="H1471" s="1795"/>
      <c r="I1471" s="1795"/>
      <c r="J1471" s="1795"/>
      <c r="K1471" s="1795"/>
      <c r="L1471" s="1795"/>
      <c r="M1471" s="1795"/>
      <c r="N1471" s="1889"/>
      <c r="O1471" s="1864"/>
      <c r="P1471" s="1687"/>
      <c r="Q1471" s="1883"/>
      <c r="R1471" s="1861"/>
      <c r="S1471" s="1861"/>
    </row>
    <row r="1472" spans="1:19" ht="15.75">
      <c r="A1472" s="1792">
        <f>'Part IX A-Scoring Criteria'!A41</f>
        <v>0</v>
      </c>
      <c r="B1472" s="1792"/>
      <c r="C1472" s="1792"/>
      <c r="D1472" s="1792"/>
      <c r="E1472" s="1792"/>
      <c r="F1472" s="1792"/>
      <c r="G1472" s="1792"/>
      <c r="H1472" s="1792"/>
      <c r="I1472" s="1792"/>
      <c r="J1472" s="1792"/>
      <c r="K1472" s="1792"/>
      <c r="L1472" s="1792"/>
      <c r="M1472" s="1792"/>
      <c r="N1472" s="1792"/>
      <c r="O1472" s="1792"/>
      <c r="P1472" s="1792"/>
      <c r="Q1472" s="1866" t="s">
        <v>1308</v>
      </c>
      <c r="R1472" s="1861"/>
      <c r="S1472" s="1861"/>
    </row>
    <row r="1473" spans="1:19">
      <c r="N1473" s="1518"/>
      <c r="O1473" s="1520"/>
      <c r="P1473" s="1520"/>
    </row>
    <row r="1474" spans="1:19" ht="15" customHeight="1">
      <c r="A1474" s="1858" t="s">
        <v>2634</v>
      </c>
      <c r="B1474" s="1859" t="s">
        <v>1955</v>
      </c>
      <c r="C1474" s="1861"/>
      <c r="D1474" s="1890"/>
      <c r="E1474" s="1861"/>
      <c r="F1474" s="1861"/>
      <c r="G1474" s="1861"/>
      <c r="H1474" s="1861"/>
      <c r="I1474" s="1861"/>
      <c r="J1474" s="1673" t="s">
        <v>625</v>
      </c>
      <c r="K1474" s="1673"/>
      <c r="L1474" s="1673"/>
      <c r="M1474" s="1687">
        <v>13</v>
      </c>
      <c r="N1474" s="1765"/>
      <c r="O1474" s="1857">
        <f>'Part IX A-Scoring Criteria'!O43</f>
        <v>0</v>
      </c>
      <c r="P1474" s="1857">
        <f>'Part IX A-Scoring Criteria'!P43</f>
        <v>0</v>
      </c>
      <c r="Q1474" s="1687" t="s">
        <v>459</v>
      </c>
      <c r="R1474" s="1861"/>
      <c r="S1474" s="1861"/>
    </row>
    <row r="1475" spans="1:19" ht="15">
      <c r="A1475" s="518"/>
      <c r="B1475" s="1861"/>
      <c r="C1475" s="1861"/>
      <c r="D1475" s="519"/>
      <c r="E1475" s="519"/>
      <c r="F1475" s="1687"/>
      <c r="G1475" s="1687"/>
      <c r="H1475" s="1861"/>
      <c r="I1475" s="1861"/>
      <c r="J1475" s="1673"/>
      <c r="K1475" s="1673"/>
      <c r="L1475" s="1673"/>
      <c r="M1475" s="1787"/>
      <c r="N1475" s="1687"/>
      <c r="O1475" s="1520"/>
      <c r="P1475" s="1857"/>
      <c r="Q1475" s="1861"/>
      <c r="R1475" s="1861"/>
      <c r="S1475" s="1861"/>
    </row>
    <row r="1476" spans="1:19" ht="15">
      <c r="A1476" s="1711" t="s">
        <v>2068</v>
      </c>
      <c r="B1476" s="1700" t="s">
        <v>1956</v>
      </c>
      <c r="C1476" s="521"/>
      <c r="D1476" s="521"/>
      <c r="E1476" s="1532" t="s">
        <v>2848</v>
      </c>
      <c r="F1476" s="1511"/>
      <c r="G1476" s="1511"/>
      <c r="H1476" s="1861"/>
      <c r="I1476" s="1861"/>
      <c r="J1476" s="1673"/>
      <c r="K1476" s="1673"/>
      <c r="L1476" s="1673"/>
      <c r="M1476" s="1512">
        <v>12</v>
      </c>
      <c r="N1476" s="1891" t="s">
        <v>2068</v>
      </c>
      <c r="O1476" s="1857">
        <f>'Part IX A-Scoring Criteria'!O45</f>
        <v>0</v>
      </c>
      <c r="P1476" s="1857">
        <f>'Part IX A-Scoring Criteria'!P45</f>
        <v>0</v>
      </c>
      <c r="Q1476" s="1732" t="s">
        <v>2834</v>
      </c>
      <c r="R1476" s="1871"/>
      <c r="S1476" s="1861"/>
    </row>
    <row r="1477" spans="1:19" ht="15">
      <c r="A1477" s="1711" t="s">
        <v>2071</v>
      </c>
      <c r="B1477" s="1700" t="s">
        <v>3779</v>
      </c>
      <c r="C1477" s="521"/>
      <c r="D1477" s="521"/>
      <c r="E1477" s="1861"/>
      <c r="F1477" s="1532" t="s">
        <v>3800</v>
      </c>
      <c r="G1477" s="1861"/>
      <c r="H1477" s="1511"/>
      <c r="I1477" s="1532" t="s">
        <v>3801</v>
      </c>
      <c r="J1477" s="1861"/>
      <c r="K1477" s="1861"/>
      <c r="L1477" s="1892" t="s">
        <v>3780</v>
      </c>
      <c r="M1477" s="1512">
        <v>1</v>
      </c>
      <c r="N1477" s="1765" t="s">
        <v>2071</v>
      </c>
      <c r="O1477" s="1857">
        <f>'Part IX A-Scoring Criteria'!O46</f>
        <v>0</v>
      </c>
      <c r="P1477" s="1857">
        <f>'Part IX A-Scoring Criteria'!P46</f>
        <v>0</v>
      </c>
      <c r="Q1477" s="1732" t="s">
        <v>2834</v>
      </c>
      <c r="R1477" s="1871"/>
      <c r="S1477" s="1861"/>
    </row>
    <row r="1478" spans="1:19" ht="15" customHeight="1">
      <c r="A1478" s="1711"/>
      <c r="B1478" s="1673" t="s">
        <v>4332</v>
      </c>
      <c r="C1478" s="1673"/>
      <c r="D1478" s="1673"/>
      <c r="E1478" s="1673"/>
      <c r="F1478" s="1532" t="str">
        <f>'Part IX A-Scoring Criteria'!F47</f>
        <v>&lt;&lt;Select Desirable Category&gt;&gt;</v>
      </c>
      <c r="G1478" s="1532"/>
      <c r="H1478" s="1532"/>
      <c r="I1478" s="1532">
        <f>'Part IX A-Scoring Criteria'!I47</f>
        <v>0</v>
      </c>
      <c r="J1478" s="1532"/>
      <c r="K1478" s="1532"/>
      <c r="L1478" s="1893">
        <f>'Part IX A-Scoring Criteria'!L47</f>
        <v>0</v>
      </c>
      <c r="M1478" s="1512"/>
      <c r="N1478" s="1891"/>
      <c r="O1478" s="1891"/>
      <c r="P1478" s="1891"/>
      <c r="Q1478" s="1732"/>
      <c r="R1478" s="1871"/>
      <c r="S1478" s="1861"/>
    </row>
    <row r="1479" spans="1:19" ht="15">
      <c r="A1479" s="1711"/>
      <c r="B1479" s="1673"/>
      <c r="C1479" s="1673"/>
      <c r="D1479" s="1673"/>
      <c r="E1479" s="1673"/>
      <c r="F1479" s="1532" t="str">
        <f>'Part IX A-Scoring Criteria'!F48</f>
        <v>&lt;&lt;Select Desirable Category&gt;&gt;</v>
      </c>
      <c r="G1479" s="1532"/>
      <c r="H1479" s="1532"/>
      <c r="I1479" s="1532">
        <f>'Part IX A-Scoring Criteria'!I48</f>
        <v>0</v>
      </c>
      <c r="J1479" s="1532"/>
      <c r="K1479" s="1532"/>
      <c r="L1479" s="1893">
        <f>'Part IX A-Scoring Criteria'!L48</f>
        <v>0</v>
      </c>
      <c r="M1479" s="1512"/>
      <c r="N1479" s="1891"/>
      <c r="O1479" s="1891"/>
      <c r="P1479" s="1891"/>
      <c r="Q1479" s="1732"/>
      <c r="R1479" s="1871"/>
      <c r="S1479" s="1861"/>
    </row>
    <row r="1480" spans="1:19" ht="15">
      <c r="A1480" s="1711"/>
      <c r="B1480" s="1673"/>
      <c r="C1480" s="1673"/>
      <c r="D1480" s="1673"/>
      <c r="E1480" s="1673"/>
      <c r="F1480" s="1532" t="str">
        <f>'Part IX A-Scoring Criteria'!F49</f>
        <v>&lt;&lt;Select Desirable Category&gt;&gt;</v>
      </c>
      <c r="G1480" s="1532"/>
      <c r="H1480" s="1532"/>
      <c r="I1480" s="1532">
        <f>'Part IX A-Scoring Criteria'!I49</f>
        <v>0</v>
      </c>
      <c r="J1480" s="1532"/>
      <c r="K1480" s="1532"/>
      <c r="L1480" s="1893">
        <f>'Part IX A-Scoring Criteria'!L49</f>
        <v>0</v>
      </c>
      <c r="M1480" s="1512"/>
      <c r="N1480" s="1891"/>
      <c r="O1480" s="1891"/>
      <c r="P1480" s="1891"/>
      <c r="Q1480" s="1732"/>
      <c r="R1480" s="1871"/>
      <c r="S1480" s="1861"/>
    </row>
    <row r="1481" spans="1:19" ht="16.5">
      <c r="A1481" s="1711" t="s">
        <v>786</v>
      </c>
      <c r="B1481" s="1700" t="s">
        <v>1957</v>
      </c>
      <c r="C1481" s="1861"/>
      <c r="D1481" s="1890"/>
      <c r="E1481" s="1532" t="s">
        <v>443</v>
      </c>
      <c r="F1481" s="1894"/>
      <c r="G1481" s="1894"/>
      <c r="H1481" s="1894"/>
      <c r="I1481" s="1861"/>
      <c r="J1481" s="1861"/>
      <c r="K1481" s="1861"/>
      <c r="L1481" s="1861"/>
      <c r="M1481" s="1787" t="s">
        <v>1292</v>
      </c>
      <c r="N1481" s="1765" t="s">
        <v>786</v>
      </c>
      <c r="O1481" s="1857">
        <f>'Part IX A-Scoring Criteria'!O50</f>
        <v>0</v>
      </c>
      <c r="P1481" s="1857">
        <f>'Part IX A-Scoring Criteria'!P50</f>
        <v>0</v>
      </c>
      <c r="Q1481" s="1732" t="s">
        <v>2834</v>
      </c>
      <c r="R1481" s="1871"/>
      <c r="S1481" s="1861"/>
    </row>
    <row r="1482" spans="1:19" ht="15">
      <c r="A1482" s="518"/>
      <c r="B1482" s="1756" t="s">
        <v>268</v>
      </c>
      <c r="C1482" s="518"/>
      <c r="D1482" s="522"/>
      <c r="E1482" s="522"/>
      <c r="F1482" s="522"/>
      <c r="G1482" s="522"/>
      <c r="H1482" s="519"/>
      <c r="I1482" s="519"/>
      <c r="J1482" s="519"/>
      <c r="K1482" s="519"/>
      <c r="L1482" s="1861"/>
      <c r="M1482" s="1512"/>
      <c r="N1482" s="1518"/>
      <c r="O1482" s="1857"/>
      <c r="P1482" s="1520"/>
      <c r="Q1482" s="1861"/>
      <c r="R1482" s="1861"/>
      <c r="S1482" s="1861"/>
    </row>
    <row r="1483" spans="1:19" ht="15.75">
      <c r="A1483" s="1792">
        <f>'Part IX A-Scoring Criteria'!A52</f>
        <v>0</v>
      </c>
      <c r="B1483" s="1792"/>
      <c r="C1483" s="1792"/>
      <c r="D1483" s="1792"/>
      <c r="E1483" s="1792"/>
      <c r="F1483" s="1792"/>
      <c r="G1483" s="1792"/>
      <c r="H1483" s="1792"/>
      <c r="I1483" s="1792"/>
      <c r="J1483" s="1792"/>
      <c r="K1483" s="1792"/>
      <c r="L1483" s="1792"/>
      <c r="M1483" s="1792"/>
      <c r="N1483" s="1792"/>
      <c r="O1483" s="1792"/>
      <c r="P1483" s="1792"/>
      <c r="Q1483" s="1866" t="s">
        <v>1308</v>
      </c>
      <c r="R1483" s="1866"/>
      <c r="S1483" s="1861"/>
    </row>
    <row r="1484" spans="1:19" ht="15">
      <c r="A1484" s="518"/>
      <c r="B1484" s="1756" t="s">
        <v>1947</v>
      </c>
      <c r="C1484" s="518"/>
      <c r="D1484" s="1793"/>
      <c r="E1484" s="1795"/>
      <c r="F1484" s="1795"/>
      <c r="G1484" s="1795"/>
      <c r="H1484" s="1795"/>
      <c r="I1484" s="1795"/>
      <c r="J1484" s="1795"/>
      <c r="K1484" s="1795"/>
      <c r="L1484" s="1795"/>
      <c r="M1484" s="1795"/>
      <c r="N1484" s="1889"/>
      <c r="O1484" s="1864"/>
      <c r="P1484" s="1687"/>
      <c r="Q1484" s="1883"/>
      <c r="R1484" s="1883"/>
      <c r="S1484" s="1861"/>
    </row>
    <row r="1485" spans="1:19" ht="15.75">
      <c r="A1485" s="1792">
        <f>'Part IX A-Scoring Criteria'!A54</f>
        <v>0</v>
      </c>
      <c r="B1485" s="1792"/>
      <c r="C1485" s="1792"/>
      <c r="D1485" s="1792"/>
      <c r="E1485" s="1792"/>
      <c r="F1485" s="1792"/>
      <c r="G1485" s="1792"/>
      <c r="H1485" s="1792"/>
      <c r="I1485" s="1792"/>
      <c r="J1485" s="1792"/>
      <c r="K1485" s="1792"/>
      <c r="L1485" s="1792"/>
      <c r="M1485" s="1792"/>
      <c r="N1485" s="1792"/>
      <c r="O1485" s="1792"/>
      <c r="P1485" s="1792"/>
      <c r="Q1485" s="1866" t="s">
        <v>1308</v>
      </c>
      <c r="R1485" s="1866"/>
      <c r="S1485" s="1861"/>
    </row>
    <row r="1486" spans="1:19">
      <c r="M1486" s="518"/>
      <c r="N1486" s="1512"/>
      <c r="O1486" s="1687"/>
      <c r="P1486" s="1687"/>
    </row>
    <row r="1487" spans="1:19" ht="15">
      <c r="A1487" s="1858" t="s">
        <v>1277</v>
      </c>
      <c r="B1487" s="1859" t="s">
        <v>2735</v>
      </c>
      <c r="C1487" s="1861"/>
      <c r="D1487" s="1890"/>
      <c r="E1487" s="1861"/>
      <c r="F1487" s="1861"/>
      <c r="G1487" s="1861"/>
      <c r="H1487" s="1870" t="s">
        <v>2790</v>
      </c>
      <c r="I1487" s="1756" t="s">
        <v>1963</v>
      </c>
      <c r="J1487" s="522"/>
      <c r="K1487" s="522"/>
      <c r="L1487" s="1861"/>
      <c r="M1487" s="1687">
        <v>5</v>
      </c>
      <c r="N1487" s="1765"/>
      <c r="O1487" s="1857">
        <f>'Part IX A-Scoring Criteria'!O56</f>
        <v>0</v>
      </c>
      <c r="P1487" s="1857">
        <f>'Part IX A-Scoring Criteria'!P56</f>
        <v>0</v>
      </c>
      <c r="Q1487" s="1687" t="s">
        <v>459</v>
      </c>
      <c r="R1487" s="1861"/>
      <c r="S1487" s="1861"/>
    </row>
    <row r="1488" spans="1:19" ht="15">
      <c r="A1488" s="1858"/>
      <c r="B1488" s="519" t="s">
        <v>4599</v>
      </c>
      <c r="C1488" s="1861"/>
      <c r="D1488" s="1890"/>
      <c r="E1488" s="1861"/>
      <c r="F1488" s="1861"/>
      <c r="G1488" s="1861"/>
      <c r="H1488" s="1870"/>
      <c r="I1488" s="1756"/>
      <c r="J1488" s="522"/>
      <c r="K1488" s="522"/>
      <c r="L1488" s="1861"/>
      <c r="M1488" s="1687"/>
      <c r="N1488" s="1765"/>
      <c r="O1488" s="1895" t="s">
        <v>4161</v>
      </c>
      <c r="P1488" s="1895" t="s">
        <v>4162</v>
      </c>
      <c r="Q1488" s="1687"/>
      <c r="R1488" s="1861"/>
      <c r="S1488" s="1861"/>
    </row>
    <row r="1489" spans="1:19" ht="15">
      <c r="A1489" s="1858"/>
      <c r="B1489" s="1896" t="s">
        <v>2072</v>
      </c>
      <c r="C1489" s="502" t="s">
        <v>4155</v>
      </c>
      <c r="D1489" s="1890"/>
      <c r="E1489" s="1861"/>
      <c r="F1489" s="1861"/>
      <c r="G1489" s="1861"/>
      <c r="H1489" s="1870"/>
      <c r="I1489" s="1756"/>
      <c r="J1489" s="522"/>
      <c r="K1489" s="522"/>
      <c r="L1489" s="1861"/>
      <c r="M1489" s="1687"/>
      <c r="N1489" s="1765"/>
      <c r="O1489" s="1790">
        <f>'Part IX A-Scoring Criteria'!O58</f>
        <v>0</v>
      </c>
      <c r="P1489" s="1790">
        <f>'Part IX A-Scoring Criteria'!P58</f>
        <v>0</v>
      </c>
      <c r="Q1489" s="1687"/>
      <c r="R1489" s="1861"/>
      <c r="S1489" s="1861"/>
    </row>
    <row r="1490" spans="1:19" ht="15">
      <c r="A1490" s="1858"/>
      <c r="B1490" s="1896" t="s">
        <v>2074</v>
      </c>
      <c r="C1490" s="502" t="s">
        <v>4156</v>
      </c>
      <c r="D1490" s="1890"/>
      <c r="E1490" s="1861"/>
      <c r="F1490" s="1861"/>
      <c r="G1490" s="1861"/>
      <c r="H1490" s="1870"/>
      <c r="I1490" s="1756"/>
      <c r="J1490" s="522"/>
      <c r="K1490" s="522"/>
      <c r="L1490" s="1861"/>
      <c r="M1490" s="1687"/>
      <c r="N1490" s="1765"/>
      <c r="O1490" s="1765"/>
      <c r="P1490" s="1790">
        <f>'Part IX A-Scoring Criteria'!P59</f>
        <v>0</v>
      </c>
      <c r="Q1490" s="1687"/>
      <c r="R1490" s="1861"/>
      <c r="S1490" s="1861"/>
    </row>
    <row r="1491" spans="1:19" ht="15">
      <c r="A1491" s="1858"/>
      <c r="B1491" s="1896" t="s">
        <v>2634</v>
      </c>
      <c r="C1491" s="502" t="s">
        <v>4157</v>
      </c>
      <c r="D1491" s="1890"/>
      <c r="E1491" s="1861"/>
      <c r="F1491" s="1861"/>
      <c r="G1491" s="1861"/>
      <c r="H1491" s="1870"/>
      <c r="I1491" s="1756"/>
      <c r="J1491" s="522"/>
      <c r="K1491" s="522"/>
      <c r="L1491" s="1861"/>
      <c r="M1491" s="1687"/>
      <c r="N1491" s="1765"/>
      <c r="O1491" s="1790">
        <f>'Part IX A-Scoring Criteria'!O60</f>
        <v>0</v>
      </c>
      <c r="P1491" s="1790">
        <f>'Part IX A-Scoring Criteria'!P60</f>
        <v>0</v>
      </c>
      <c r="Q1491" s="1687"/>
      <c r="R1491" s="1861"/>
      <c r="S1491" s="1861"/>
    </row>
    <row r="1492" spans="1:19" ht="15" customHeight="1">
      <c r="A1492" s="1858"/>
      <c r="B1492" s="1896" t="s">
        <v>1277</v>
      </c>
      <c r="C1492" s="1800" t="s">
        <v>4158</v>
      </c>
      <c r="D1492" s="1800"/>
      <c r="E1492" s="1800"/>
      <c r="F1492" s="1800"/>
      <c r="G1492" s="1800"/>
      <c r="H1492" s="1800"/>
      <c r="I1492" s="1800"/>
      <c r="J1492" s="1800"/>
      <c r="K1492" s="1800"/>
      <c r="L1492" s="1800"/>
      <c r="M1492" s="1800"/>
      <c r="N1492" s="1765"/>
      <c r="O1492" s="1790">
        <f>'Part IX A-Scoring Criteria'!O61</f>
        <v>0</v>
      </c>
      <c r="P1492" s="1790">
        <f>'Part IX A-Scoring Criteria'!P61</f>
        <v>0</v>
      </c>
      <c r="Q1492" s="1687"/>
      <c r="R1492" s="1861"/>
      <c r="S1492" s="1861"/>
    </row>
    <row r="1493" spans="1:19" ht="15">
      <c r="A1493" s="1858"/>
      <c r="B1493" s="1896" t="s">
        <v>1278</v>
      </c>
      <c r="C1493" s="502" t="s">
        <v>4159</v>
      </c>
      <c r="D1493" s="1890"/>
      <c r="E1493" s="1861"/>
      <c r="F1493" s="1861"/>
      <c r="G1493" s="1861"/>
      <c r="H1493" s="1870"/>
      <c r="I1493" s="1756"/>
      <c r="J1493" s="522"/>
      <c r="K1493" s="522"/>
      <c r="L1493" s="1861"/>
      <c r="M1493" s="1687"/>
      <c r="N1493" s="1765"/>
      <c r="O1493" s="1790">
        <f>'Part IX A-Scoring Criteria'!O62</f>
        <v>0</v>
      </c>
      <c r="P1493" s="1790">
        <f>'Part IX A-Scoring Criteria'!P62</f>
        <v>0</v>
      </c>
      <c r="Q1493" s="1687"/>
      <c r="R1493" s="1861"/>
      <c r="S1493" s="1861"/>
    </row>
    <row r="1494" spans="1:19" ht="15">
      <c r="A1494" s="1858"/>
      <c r="B1494" s="1896" t="s">
        <v>1965</v>
      </c>
      <c r="C1494" s="502" t="s">
        <v>4160</v>
      </c>
      <c r="D1494" s="1890"/>
      <c r="E1494" s="1861"/>
      <c r="F1494" s="1861"/>
      <c r="G1494" s="1861"/>
      <c r="H1494" s="1870"/>
      <c r="I1494" s="1756"/>
      <c r="J1494" s="522"/>
      <c r="K1494" s="522"/>
      <c r="L1494" s="1861"/>
      <c r="M1494" s="1687"/>
      <c r="N1494" s="1765"/>
      <c r="O1494" s="1790">
        <f>'Part IX A-Scoring Criteria'!O63</f>
        <v>0</v>
      </c>
      <c r="P1494" s="1790">
        <f>'Part IX A-Scoring Criteria'!P63</f>
        <v>0</v>
      </c>
      <c r="Q1494" s="1687"/>
      <c r="R1494" s="1861"/>
      <c r="S1494" s="1861"/>
    </row>
    <row r="1495" spans="1:19" ht="15">
      <c r="A1495" s="1858"/>
      <c r="B1495" s="1859"/>
      <c r="C1495" s="1861"/>
      <c r="D1495" s="1890"/>
      <c r="E1495" s="1861"/>
      <c r="F1495" s="1861"/>
      <c r="G1495" s="1861"/>
      <c r="H1495" s="1870"/>
      <c r="I1495" s="1756"/>
      <c r="J1495" s="522"/>
      <c r="K1495" s="522"/>
      <c r="L1495" s="1861"/>
      <c r="M1495" s="1687"/>
      <c r="N1495" s="1765"/>
      <c r="O1495" s="1857"/>
      <c r="P1495" s="1857"/>
      <c r="Q1495" s="1687"/>
      <c r="R1495" s="1861"/>
      <c r="S1495" s="1861"/>
    </row>
    <row r="1496" spans="1:19" ht="15">
      <c r="A1496" s="1897" t="s">
        <v>3014</v>
      </c>
      <c r="B1496" s="1859"/>
      <c r="C1496" s="1861"/>
      <c r="D1496" s="1890"/>
      <c r="E1496" s="1861"/>
      <c r="F1496" s="1861"/>
      <c r="G1496" s="1861"/>
      <c r="H1496" s="1700" t="s">
        <v>3023</v>
      </c>
      <c r="I1496" s="1735"/>
      <c r="J1496" s="1700" t="str">
        <f>'Part I-Project Information'!$H$90</f>
        <v>&lt;&lt;Select Pool&gt;&gt;</v>
      </c>
      <c r="K1496" s="1861"/>
      <c r="M1496" s="1687"/>
      <c r="N1496" s="1687"/>
      <c r="O1496" s="1687"/>
      <c r="P1496" s="1687"/>
      <c r="Q1496" s="1687"/>
      <c r="R1496" s="1861"/>
      <c r="S1496" s="1861"/>
    </row>
    <row r="1497" spans="1:19" ht="15" customHeight="1">
      <c r="A1497" s="1828" t="s">
        <v>2068</v>
      </c>
      <c r="B1497" s="1634" t="s">
        <v>4600</v>
      </c>
      <c r="C1497" s="1634"/>
      <c r="D1497" s="1634"/>
      <c r="E1497" s="1634"/>
      <c r="F1497" s="1634"/>
      <c r="G1497" s="1634"/>
      <c r="H1497" s="1634"/>
      <c r="I1497" s="1673" t="s">
        <v>4601</v>
      </c>
      <c r="J1497" s="1673"/>
      <c r="K1497" s="1673"/>
      <c r="L1497" s="1673"/>
      <c r="M1497" s="1898">
        <v>5</v>
      </c>
      <c r="N1497" s="1878" t="s">
        <v>2068</v>
      </c>
      <c r="O1497" s="1857">
        <f>'Part IX A-Scoring Criteria'!O66</f>
        <v>0</v>
      </c>
      <c r="P1497" s="1857">
        <f>'Part IX A-Scoring Criteria'!P66</f>
        <v>0</v>
      </c>
      <c r="Q1497" s="1899" t="str">
        <f>IF(OR($O1497=$M1497,$O1497=0,$O1497=""),"","* * Check Score! * *")</f>
        <v/>
      </c>
      <c r="R1497" s="1732" t="s">
        <v>2834</v>
      </c>
      <c r="S1497" s="1900"/>
    </row>
    <row r="1498" spans="1:19" ht="15">
      <c r="A1498" s="1828" t="s">
        <v>2071</v>
      </c>
      <c r="B1498" s="1901" t="s">
        <v>4602</v>
      </c>
      <c r="C1498" s="1901"/>
      <c r="D1498" s="1901"/>
      <c r="E1498" s="1901"/>
      <c r="F1498" s="1901"/>
      <c r="G1498" s="1901"/>
      <c r="H1498" s="1901"/>
      <c r="I1498" s="1454" t="str">
        <f>'Part IX A-Scoring Criteria'!I67</f>
        <v>&lt;&lt; Enter transit agency name here &gt;&gt;</v>
      </c>
      <c r="J1498" s="1454"/>
      <c r="K1498" s="1454"/>
      <c r="L1498" s="1902" t="str">
        <f>'Part IX A-Scoring Criteria'!L67</f>
        <v>&lt;&lt; Enter Agency phone here &gt;&gt;</v>
      </c>
      <c r="M1498" s="1898">
        <v>4</v>
      </c>
      <c r="N1498" s="1833" t="s">
        <v>2071</v>
      </c>
      <c r="O1498" s="1857">
        <f>'Part IX A-Scoring Criteria'!O67</f>
        <v>0</v>
      </c>
      <c r="P1498" s="1857">
        <f>'Part IX A-Scoring Criteria'!P67</f>
        <v>0</v>
      </c>
      <c r="Q1498" s="1899" t="str">
        <f>IF(OR($O1498=$M1498,$O1498=0,$O1498=""),"","* * Check Score! * *")</f>
        <v/>
      </c>
      <c r="R1498" s="1732" t="s">
        <v>2834</v>
      </c>
      <c r="S1498" s="1900"/>
    </row>
    <row r="1499" spans="1:19" ht="15" customHeight="1">
      <c r="A1499" s="1711" t="s">
        <v>786</v>
      </c>
      <c r="B1499" s="522" t="s">
        <v>4603</v>
      </c>
      <c r="C1499" s="1901"/>
      <c r="D1499" s="1901"/>
      <c r="E1499" s="1901"/>
      <c r="F1499" s="1901"/>
      <c r="G1499" s="1901"/>
      <c r="H1499" s="1901"/>
      <c r="I1499" s="1604" t="str">
        <f>'Part IX A-Scoring Criteria'!I68</f>
        <v>&lt;&lt; Enter specific URL/webpage showing established schedule from transit agency website here &gt;&gt;</v>
      </c>
      <c r="J1499" s="1604"/>
      <c r="K1499" s="1604"/>
      <c r="L1499" s="1604"/>
      <c r="M1499" s="1898">
        <v>3</v>
      </c>
      <c r="N1499" s="1891" t="s">
        <v>786</v>
      </c>
      <c r="O1499" s="1857">
        <f>'Part IX A-Scoring Criteria'!O68</f>
        <v>0</v>
      </c>
      <c r="P1499" s="1857">
        <f>'Part IX A-Scoring Criteria'!P68</f>
        <v>0</v>
      </c>
      <c r="Q1499" s="1899" t="str">
        <f>IF(OR($O1499=$M1499,$O1499=0,$O1499=""),"","* * Check Score! * *")</f>
        <v/>
      </c>
      <c r="R1499" s="1732" t="s">
        <v>2834</v>
      </c>
      <c r="S1499" s="1900"/>
    </row>
    <row r="1500" spans="1:19" ht="15">
      <c r="A1500" s="1711" t="s">
        <v>2203</v>
      </c>
      <c r="B1500" s="522" t="s">
        <v>4604</v>
      </c>
      <c r="C1500" s="1861"/>
      <c r="D1500" s="1861"/>
      <c r="E1500" s="1890"/>
      <c r="F1500" s="1861"/>
      <c r="G1500" s="1861"/>
      <c r="H1500" s="1861"/>
      <c r="I1500" s="1604"/>
      <c r="J1500" s="1604"/>
      <c r="K1500" s="1604"/>
      <c r="L1500" s="1604"/>
      <c r="M1500" s="1512">
        <v>2</v>
      </c>
      <c r="N1500" s="1891" t="s">
        <v>2203</v>
      </c>
      <c r="O1500" s="1857">
        <f>'Part IX A-Scoring Criteria'!O69</f>
        <v>0</v>
      </c>
      <c r="P1500" s="1857">
        <f>'Part IX A-Scoring Criteria'!P69</f>
        <v>0</v>
      </c>
      <c r="Q1500" s="1871" t="str">
        <f>IF(OR($O1500=$M1500,$O1500=0,$O1500=""),"","* * Check Score! * *")</f>
        <v/>
      </c>
      <c r="R1500" s="1732" t="s">
        <v>2834</v>
      </c>
      <c r="S1500" s="1861"/>
    </row>
    <row r="1501" spans="1:19" ht="15" customHeight="1">
      <c r="A1501" s="1711" t="s">
        <v>1811</v>
      </c>
      <c r="B1501" s="1901" t="s">
        <v>4605</v>
      </c>
      <c r="C1501" s="1861"/>
      <c r="D1501" s="1861"/>
      <c r="E1501" s="1890"/>
      <c r="F1501" s="1861"/>
      <c r="G1501" s="1861"/>
      <c r="H1501" s="1861"/>
      <c r="I1501" s="1604" t="str">
        <f>'Part IX A-Scoring Criteria'!I70</f>
        <v>&lt;&lt; Enter specific URL/webpage showing established routes from transit agency website (if different) here &gt;&gt;</v>
      </c>
      <c r="J1501" s="1604"/>
      <c r="K1501" s="1604"/>
      <c r="L1501" s="1604"/>
      <c r="M1501" s="1512">
        <v>1</v>
      </c>
      <c r="N1501" s="1891" t="s">
        <v>1811</v>
      </c>
      <c r="O1501" s="1857">
        <f>'Part IX A-Scoring Criteria'!O70</f>
        <v>0</v>
      </c>
      <c r="P1501" s="1857">
        <f>'Part IX A-Scoring Criteria'!P70</f>
        <v>0</v>
      </c>
      <c r="Q1501" s="1871" t="str">
        <f>IF(OR($O1501=$M1501,$O1501=0,$O1501=""),"","* * Check Score! * *")</f>
        <v/>
      </c>
      <c r="R1501" s="1732" t="s">
        <v>2834</v>
      </c>
      <c r="S1501" s="1861"/>
    </row>
    <row r="1502" spans="1:19" ht="15">
      <c r="A1502" s="1897" t="s">
        <v>3016</v>
      </c>
      <c r="B1502" s="1700"/>
      <c r="C1502" s="1861"/>
      <c r="D1502" s="1861"/>
      <c r="E1502" s="1890"/>
      <c r="F1502" s="1861"/>
      <c r="G1502" s="1861"/>
      <c r="H1502" s="1861"/>
      <c r="I1502" s="1604"/>
      <c r="J1502" s="1604"/>
      <c r="K1502" s="1604"/>
      <c r="L1502" s="1604"/>
      <c r="M1502" s="1512"/>
      <c r="N1502" s="1512"/>
      <c r="O1502" s="1512"/>
      <c r="P1502" s="1512"/>
      <c r="Q1502" s="1871"/>
      <c r="R1502" s="1871"/>
      <c r="S1502" s="1861"/>
    </row>
    <row r="1503" spans="1:19" ht="15">
      <c r="A1503" s="1711" t="s">
        <v>1812</v>
      </c>
      <c r="B1503" s="1700" t="s">
        <v>4606</v>
      </c>
      <c r="C1503" s="1700"/>
      <c r="D1503" s="1700"/>
      <c r="E1503" s="1700"/>
      <c r="F1503" s="1700"/>
      <c r="G1503" s="1700"/>
      <c r="H1503" s="1700"/>
      <c r="I1503" s="1700"/>
      <c r="J1503" s="1700"/>
      <c r="K1503" s="1700"/>
      <c r="L1503" s="1700"/>
      <c r="M1503" s="1512">
        <v>2</v>
      </c>
      <c r="N1503" s="1891" t="s">
        <v>1812</v>
      </c>
      <c r="O1503" s="1857">
        <f>'Part IX A-Scoring Criteria'!O72</f>
        <v>0</v>
      </c>
      <c r="P1503" s="1857">
        <f>'Part IX A-Scoring Criteria'!P72</f>
        <v>0</v>
      </c>
      <c r="Q1503" s="1871" t="str">
        <f>IF(OR($O1503=$M1503,$O1503=0,$O1503=""),"","* * Check Score! * *")</f>
        <v/>
      </c>
      <c r="R1503" s="1732" t="s">
        <v>2834</v>
      </c>
      <c r="S1503" s="1876"/>
    </row>
    <row r="1504" spans="1:19" ht="15">
      <c r="A1504" s="519" t="s">
        <v>4607</v>
      </c>
      <c r="B1504" s="1700"/>
      <c r="C1504" s="1861"/>
      <c r="D1504" s="1861"/>
      <c r="E1504" s="1890"/>
      <c r="F1504" s="1861"/>
      <c r="G1504" s="1861"/>
      <c r="H1504" s="1861"/>
      <c r="I1504" s="1861"/>
      <c r="J1504" s="1861"/>
      <c r="K1504" s="522"/>
      <c r="L1504" s="1861"/>
      <c r="M1504" s="1512"/>
      <c r="N1504" s="1512"/>
      <c r="O1504" s="1512"/>
      <c r="P1504" s="1512"/>
      <c r="Q1504" s="1871"/>
      <c r="R1504" s="1871"/>
      <c r="S1504" s="1861"/>
    </row>
    <row r="1505" spans="1:19" ht="15">
      <c r="A1505" s="518"/>
      <c r="B1505" s="1756" t="s">
        <v>268</v>
      </c>
      <c r="C1505" s="518"/>
      <c r="D1505" s="522"/>
      <c r="E1505" s="522"/>
      <c r="F1505" s="522"/>
      <c r="G1505" s="522"/>
      <c r="H1505" s="519"/>
      <c r="I1505" s="519"/>
      <c r="J1505" s="519"/>
      <c r="K1505" s="519"/>
      <c r="L1505" s="1876"/>
      <c r="M1505" s="1512"/>
      <c r="N1505" s="1512"/>
      <c r="O1505" s="1857"/>
      <c r="P1505" s="1687"/>
      <c r="Q1505" s="1876"/>
      <c r="R1505" s="1876"/>
      <c r="S1505" s="1876"/>
    </row>
    <row r="1506" spans="1:19" ht="15.75">
      <c r="A1506" s="1792">
        <f>'Part IX A-Scoring Criteria'!A75</f>
        <v>0</v>
      </c>
      <c r="B1506" s="1792"/>
      <c r="C1506" s="1792"/>
      <c r="D1506" s="1792"/>
      <c r="E1506" s="1792"/>
      <c r="F1506" s="1792"/>
      <c r="G1506" s="1792"/>
      <c r="H1506" s="1792"/>
      <c r="I1506" s="1792"/>
      <c r="J1506" s="1792"/>
      <c r="K1506" s="1792"/>
      <c r="L1506" s="1792"/>
      <c r="M1506" s="1792"/>
      <c r="N1506" s="1792"/>
      <c r="O1506" s="1792"/>
      <c r="P1506" s="1792"/>
      <c r="Q1506" s="1866" t="s">
        <v>1308</v>
      </c>
      <c r="R1506" s="1861"/>
      <c r="S1506" s="1861"/>
    </row>
    <row r="1507" spans="1:19" ht="15">
      <c r="A1507" s="518"/>
      <c r="B1507" s="1756" t="s">
        <v>1947</v>
      </c>
      <c r="C1507" s="518"/>
      <c r="D1507" s="1793"/>
      <c r="E1507" s="1795"/>
      <c r="F1507" s="1795"/>
      <c r="G1507" s="1795"/>
      <c r="H1507" s="1795"/>
      <c r="I1507" s="1795"/>
      <c r="J1507" s="1795"/>
      <c r="K1507" s="1795"/>
      <c r="L1507" s="1795"/>
      <c r="M1507" s="1795"/>
      <c r="N1507" s="1889"/>
      <c r="O1507" s="1864"/>
      <c r="P1507" s="1687"/>
      <c r="Q1507" s="1883"/>
      <c r="R1507" s="1876"/>
      <c r="S1507" s="1876"/>
    </row>
    <row r="1508" spans="1:19" ht="15.75">
      <c r="A1508" s="1792">
        <f>'Part IX A-Scoring Criteria'!A77</f>
        <v>0</v>
      </c>
      <c r="B1508" s="1792"/>
      <c r="C1508" s="1792"/>
      <c r="D1508" s="1792"/>
      <c r="E1508" s="1792"/>
      <c r="F1508" s="1792"/>
      <c r="G1508" s="1792"/>
      <c r="H1508" s="1792"/>
      <c r="I1508" s="1792"/>
      <c r="J1508" s="1792"/>
      <c r="K1508" s="1792"/>
      <c r="L1508" s="1792"/>
      <c r="M1508" s="1792"/>
      <c r="N1508" s="1792"/>
      <c r="O1508" s="1792"/>
      <c r="P1508" s="1792"/>
      <c r="Q1508" s="1866" t="s">
        <v>1308</v>
      </c>
      <c r="R1508" s="1861"/>
      <c r="S1508" s="1861"/>
    </row>
    <row r="1509" spans="1:19" ht="15">
      <c r="A1509" s="1903"/>
      <c r="B1509" s="1904"/>
      <c r="C1509" s="1861"/>
      <c r="D1509" s="1861"/>
      <c r="E1509" s="1861"/>
      <c r="F1509" s="1861"/>
      <c r="G1509" s="1890"/>
      <c r="H1509" s="1861"/>
      <c r="I1509" s="1861"/>
      <c r="J1509" s="522"/>
      <c r="K1509" s="522"/>
      <c r="L1509" s="1861"/>
      <c r="M1509" s="1876"/>
      <c r="N1509" s="1904"/>
      <c r="O1509" s="1876"/>
      <c r="P1509" s="1876"/>
      <c r="Q1509" s="1861"/>
      <c r="R1509" s="1861"/>
      <c r="S1509" s="1861"/>
    </row>
    <row r="1510" spans="1:19" ht="15">
      <c r="A1510" s="1858" t="s">
        <v>1278</v>
      </c>
      <c r="B1510" s="1859" t="s">
        <v>2736</v>
      </c>
      <c r="C1510" s="1861"/>
      <c r="D1510" s="1890"/>
      <c r="E1510" s="519" t="s">
        <v>1441</v>
      </c>
      <c r="F1510" s="1861"/>
      <c r="G1510" s="1861"/>
      <c r="H1510" s="1861"/>
      <c r="I1510" s="1756" t="s">
        <v>1963</v>
      </c>
      <c r="J1510" s="1861"/>
      <c r="K1510" s="1861"/>
      <c r="L1510" s="1861"/>
      <c r="M1510" s="1687">
        <v>2</v>
      </c>
      <c r="N1510" s="1905" t="str">
        <f>IF(OR($O1510=$M1510,$O1510=0,$O1510=""),"","***")</f>
        <v/>
      </c>
      <c r="O1510" s="1857">
        <f>'Part IX A-Scoring Criteria'!O79</f>
        <v>0</v>
      </c>
      <c r="P1510" s="1857">
        <f>'Part IX A-Scoring Criteria'!P79</f>
        <v>0</v>
      </c>
      <c r="Q1510" s="1687" t="s">
        <v>459</v>
      </c>
      <c r="R1510" s="1732" t="s">
        <v>2834</v>
      </c>
      <c r="S1510" s="1861"/>
    </row>
    <row r="1511" spans="1:19" ht="15">
      <c r="A1511" s="1828" t="s">
        <v>2068</v>
      </c>
      <c r="B1511" s="563" t="s">
        <v>2726</v>
      </c>
      <c r="C1511" s="1861"/>
      <c r="D1511" s="1890"/>
      <c r="E1511" s="519"/>
      <c r="F1511" s="1861"/>
      <c r="G1511" s="1861"/>
      <c r="H1511" s="1861"/>
      <c r="I1511" s="1861"/>
      <c r="J1511" s="1861"/>
      <c r="K1511" s="519">
        <f>'Part IX A-Scoring Criteria'!K80</f>
        <v>0</v>
      </c>
      <c r="L1511" s="519"/>
      <c r="M1511" s="519"/>
      <c r="N1511" s="1861"/>
      <c r="O1511" s="1861"/>
      <c r="P1511" s="1765"/>
      <c r="Q1511" s="1687"/>
      <c r="R1511" s="1861"/>
      <c r="S1511" s="1861"/>
    </row>
    <row r="1512" spans="1:19" ht="15">
      <c r="A1512" s="1828" t="s">
        <v>2071</v>
      </c>
      <c r="B1512" s="563" t="s">
        <v>3802</v>
      </c>
      <c r="C1512" s="1861"/>
      <c r="D1512" s="1890"/>
      <c r="E1512" s="519"/>
      <c r="F1512" s="1861"/>
      <c r="G1512" s="1861"/>
      <c r="H1512" s="1861"/>
      <c r="I1512" s="1861"/>
      <c r="J1512" s="1861"/>
      <c r="K1512" s="519">
        <f>'Part IX A-Scoring Criteria'!K81</f>
        <v>0</v>
      </c>
      <c r="L1512" s="519"/>
      <c r="M1512" s="519"/>
      <c r="N1512" s="1861"/>
      <c r="O1512" s="1843" t="s">
        <v>2609</v>
      </c>
      <c r="P1512" s="1843" t="s">
        <v>2609</v>
      </c>
      <c r="Q1512" s="1687"/>
      <c r="R1512" s="1861"/>
      <c r="S1512" s="1861"/>
    </row>
    <row r="1513" spans="1:19" ht="15">
      <c r="A1513" s="1711" t="s">
        <v>786</v>
      </c>
      <c r="B1513" s="563" t="s">
        <v>3956</v>
      </c>
      <c r="C1513" s="1861"/>
      <c r="D1513" s="1890"/>
      <c r="E1513" s="519"/>
      <c r="F1513" s="1861"/>
      <c r="G1513" s="1861"/>
      <c r="H1513" s="1861"/>
      <c r="I1513" s="1861"/>
      <c r="J1513" s="1861"/>
      <c r="K1513" s="1861"/>
      <c r="L1513" s="1861"/>
      <c r="M1513" s="1861"/>
      <c r="N1513" s="1891" t="s">
        <v>786</v>
      </c>
      <c r="O1513" s="1790">
        <f>'Part IX A-Scoring Criteria'!O82</f>
        <v>0</v>
      </c>
      <c r="P1513" s="1790">
        <f>'Part IX A-Scoring Criteria'!P82</f>
        <v>0</v>
      </c>
      <c r="Q1513" s="1687"/>
      <c r="R1513" s="1861"/>
      <c r="S1513" s="1861"/>
    </row>
    <row r="1514" spans="1:19" ht="15">
      <c r="A1514" s="518"/>
      <c r="B1514" s="1756" t="s">
        <v>1947</v>
      </c>
      <c r="C1514" s="518"/>
      <c r="D1514" s="1756"/>
      <c r="E1514" s="1723"/>
      <c r="F1514" s="1723"/>
      <c r="G1514" s="1723"/>
      <c r="H1514" s="1723"/>
      <c r="I1514" s="1723"/>
      <c r="J1514" s="1723"/>
      <c r="K1514" s="1723"/>
      <c r="L1514" s="1723"/>
      <c r="M1514" s="1723"/>
      <c r="N1514" s="1817"/>
      <c r="O1514" s="1698"/>
      <c r="P1514" s="1687"/>
      <c r="Q1514" s="1883"/>
      <c r="R1514" s="1876"/>
      <c r="S1514" s="1876"/>
    </row>
    <row r="1515" spans="1:19" ht="15.75">
      <c r="A1515" s="1792">
        <f>'Part IX A-Scoring Criteria'!A84</f>
        <v>0</v>
      </c>
      <c r="B1515" s="1792"/>
      <c r="C1515" s="1792"/>
      <c r="D1515" s="1792"/>
      <c r="E1515" s="1792"/>
      <c r="F1515" s="1792"/>
      <c r="G1515" s="1792"/>
      <c r="H1515" s="1792"/>
      <c r="I1515" s="1792"/>
      <c r="J1515" s="1792"/>
      <c r="K1515" s="1792"/>
      <c r="L1515" s="1792"/>
      <c r="M1515" s="1792"/>
      <c r="N1515" s="1792"/>
      <c r="O1515" s="1792"/>
      <c r="P1515" s="1792"/>
      <c r="Q1515" s="1866" t="s">
        <v>1308</v>
      </c>
      <c r="R1515" s="1861"/>
      <c r="S1515" s="1861"/>
    </row>
    <row r="1516" spans="1:19" ht="15">
      <c r="N1516" s="1518"/>
      <c r="O1516" s="1520"/>
      <c r="P1516" s="1520"/>
      <c r="R1516" s="1861"/>
    </row>
    <row r="1517" spans="1:19" ht="15">
      <c r="A1517" s="1858" t="s">
        <v>1965</v>
      </c>
      <c r="B1517" s="1859" t="s">
        <v>224</v>
      </c>
      <c r="C1517" s="1861"/>
      <c r="D1517" s="519"/>
      <c r="E1517" s="519"/>
      <c r="F1517" s="1861"/>
      <c r="G1517" s="1861"/>
      <c r="H1517" s="1861"/>
      <c r="I1517" s="1861"/>
      <c r="J1517" s="1861"/>
      <c r="K1517" s="1861"/>
      <c r="L1517" s="1861"/>
      <c r="M1517" s="1687">
        <v>3</v>
      </c>
      <c r="N1517" s="1905"/>
      <c r="O1517" s="1857">
        <f>'Part IX A-Scoring Criteria'!O86</f>
        <v>0</v>
      </c>
      <c r="P1517" s="1857">
        <f>'Part IX A-Scoring Criteria'!P86</f>
        <v>0</v>
      </c>
      <c r="Q1517" s="1687" t="s">
        <v>459</v>
      </c>
      <c r="R1517" s="1861"/>
      <c r="S1517" s="1861"/>
    </row>
    <row r="1518" spans="1:19" ht="15">
      <c r="A1518" s="1858"/>
      <c r="B1518" s="1728" t="s">
        <v>4608</v>
      </c>
      <c r="C1518" s="1861"/>
      <c r="D1518" s="1861"/>
      <c r="E1518" s="1861"/>
      <c r="F1518" s="1861"/>
      <c r="G1518" s="1861"/>
      <c r="H1518" s="1861"/>
      <c r="I1518" s="1538" t="str">
        <f>'Part IX A-Scoring Criteria'!I87</f>
        <v>&lt;Select a Sust Devlpmt Certification&gt;</v>
      </c>
      <c r="J1518" s="1538"/>
      <c r="K1518" s="1538"/>
      <c r="L1518" s="1861"/>
      <c r="M1518" s="1687"/>
      <c r="N1518" s="1905"/>
      <c r="O1518" s="1512"/>
      <c r="P1518" s="1512"/>
      <c r="Q1518" s="1687"/>
      <c r="R1518" s="1861"/>
      <c r="S1518" s="1861"/>
    </row>
    <row r="1519" spans="1:19" ht="15">
      <c r="A1519" s="1858"/>
      <c r="B1519" s="1786" t="s">
        <v>3023</v>
      </c>
      <c r="C1519" s="1861"/>
      <c r="D1519" s="1861"/>
      <c r="E1519" s="1861"/>
      <c r="F1519" s="1861"/>
      <c r="G1519" s="1890"/>
      <c r="H1519" s="1890"/>
      <c r="I1519" s="1786" t="str">
        <f>'Part I-Project Information'!$H$90</f>
        <v>&lt;&lt;Select Pool&gt;&gt;</v>
      </c>
      <c r="J1519" s="1861"/>
      <c r="L1519" s="1861"/>
      <c r="M1519" s="1687"/>
      <c r="N1519" s="1905"/>
      <c r="O1519" s="1843" t="s">
        <v>2609</v>
      </c>
      <c r="P1519" s="1843" t="s">
        <v>2609</v>
      </c>
      <c r="Q1519" s="1687"/>
      <c r="R1519" s="1861"/>
      <c r="S1519" s="1861"/>
    </row>
    <row r="1520" spans="1:19" ht="15">
      <c r="A1520" s="1858"/>
      <c r="B1520" s="1786" t="s">
        <v>4609</v>
      </c>
      <c r="C1520" s="1861"/>
      <c r="D1520" s="1861"/>
      <c r="E1520" s="1861"/>
      <c r="F1520" s="1861"/>
      <c r="G1520" s="1890"/>
      <c r="H1520" s="1890"/>
      <c r="I1520" s="1786"/>
      <c r="J1520" s="1861"/>
      <c r="L1520" s="1861"/>
      <c r="M1520" s="1687"/>
      <c r="N1520" s="1905"/>
      <c r="O1520" s="1790">
        <f>'Part IX A-Scoring Criteria'!O89</f>
        <v>0</v>
      </c>
      <c r="P1520" s="1790">
        <f>'Part IX A-Scoring Criteria'!P89</f>
        <v>0</v>
      </c>
      <c r="Q1520" s="1687"/>
      <c r="R1520" s="1861"/>
      <c r="S1520" s="1861"/>
    </row>
    <row r="1521" spans="1:19" s="1861" customFormat="1" ht="14.25" customHeight="1">
      <c r="B1521" s="1800" t="s">
        <v>4610</v>
      </c>
      <c r="C1521" s="1800"/>
      <c r="D1521" s="1800"/>
      <c r="E1521" s="1800"/>
      <c r="F1521" s="1800"/>
      <c r="G1521" s="1886" t="s">
        <v>4334</v>
      </c>
      <c r="H1521" s="1906">
        <f>'Part IX A-Scoring Criteria'!H90</f>
        <v>0</v>
      </c>
      <c r="I1521" s="1886" t="s">
        <v>4335</v>
      </c>
      <c r="J1521" s="1883">
        <f>'Part IX A-Scoring Criteria'!J90</f>
        <v>0</v>
      </c>
      <c r="K1521" s="1883"/>
      <c r="L1521" s="1846" t="str">
        <f>'Part IX A-Scoring Criteria'!L90</f>
        <v>&lt;&lt;Enter Participant 's Company here&gt;</v>
      </c>
      <c r="M1521" s="1846"/>
      <c r="N1521" s="1891"/>
      <c r="O1521" s="1790">
        <f>'Part IX A-Scoring Criteria'!O90</f>
        <v>0</v>
      </c>
      <c r="P1521" s="1790">
        <f>'Part IX A-Scoring Criteria'!P90</f>
        <v>0</v>
      </c>
      <c r="Q1521" s="1687"/>
    </row>
    <row r="1522" spans="1:19" ht="14.25" customHeight="1">
      <c r="B1522" s="1800"/>
      <c r="C1522" s="1800"/>
      <c r="D1522" s="1800"/>
      <c r="E1522" s="1800"/>
      <c r="F1522" s="1800"/>
      <c r="G1522" s="1886" t="s">
        <v>4334</v>
      </c>
      <c r="H1522" s="1906">
        <f>'Part IX A-Scoring Criteria'!H91</f>
        <v>0</v>
      </c>
      <c r="I1522" s="1886" t="s">
        <v>4335</v>
      </c>
      <c r="J1522" s="1883">
        <f>'Part IX A-Scoring Criteria'!J91</f>
        <v>0</v>
      </c>
      <c r="K1522" s="1883"/>
      <c r="L1522" s="1846" t="str">
        <f>'Part IX A-Scoring Criteria'!L91</f>
        <v>&lt;&lt;Enter Participant 's Company here&gt;</v>
      </c>
      <c r="M1522" s="1846"/>
      <c r="O1522" s="1790">
        <f>'Part IX A-Scoring Criteria'!O91</f>
        <v>0</v>
      </c>
      <c r="P1522" s="1790">
        <f>'Part IX A-Scoring Criteria'!P91</f>
        <v>0</v>
      </c>
    </row>
    <row r="1523" spans="1:19">
      <c r="A1523" s="1711" t="s">
        <v>2068</v>
      </c>
      <c r="B1523" s="1700" t="s">
        <v>2419</v>
      </c>
      <c r="D1523" s="518"/>
      <c r="M1523" s="1512">
        <v>3</v>
      </c>
      <c r="N1523" s="1891" t="s">
        <v>2068</v>
      </c>
      <c r="O1523" s="1843" t="s">
        <v>2609</v>
      </c>
      <c r="P1523" s="1843" t="s">
        <v>2609</v>
      </c>
    </row>
    <row r="1524" spans="1:19" ht="15">
      <c r="A1524" s="1861"/>
      <c r="B1524" s="1886" t="s">
        <v>2804</v>
      </c>
      <c r="C1524" s="1861"/>
      <c r="D1524" s="1890"/>
      <c r="E1524" s="1861"/>
      <c r="F1524" s="1861"/>
      <c r="G1524" s="1861"/>
      <c r="H1524" s="1861"/>
      <c r="I1524" s="1861"/>
      <c r="J1524" s="1861"/>
      <c r="K1524" s="1861"/>
      <c r="L1524" s="1861"/>
      <c r="M1524" s="1687"/>
      <c r="N1524" s="1861"/>
      <c r="O1524" s="1790">
        <f>'Part IX A-Scoring Criteria'!O93</f>
        <v>0</v>
      </c>
      <c r="P1524" s="1790">
        <f>'Part IX A-Scoring Criteria'!P93</f>
        <v>0</v>
      </c>
      <c r="Q1524" s="1687"/>
      <c r="R1524" s="1861"/>
      <c r="S1524" s="1861"/>
    </row>
    <row r="1525" spans="1:19">
      <c r="B1525" s="1907" t="s">
        <v>2072</v>
      </c>
      <c r="C1525" s="1837" t="s">
        <v>2727</v>
      </c>
    </row>
    <row r="1526" spans="1:19" ht="12.75" customHeight="1">
      <c r="A1526" s="1908" t="str">
        <f>IF(AND(O1526="",$I$87="Earth Craft Communities"), "X","")</f>
        <v/>
      </c>
      <c r="B1526" s="1833"/>
      <c r="C1526" s="1792" t="s">
        <v>2728</v>
      </c>
      <c r="D1526" s="1792"/>
      <c r="E1526" s="1792"/>
      <c r="F1526" s="1792"/>
      <c r="G1526" s="1792"/>
      <c r="H1526" s="1792"/>
      <c r="I1526" s="1792"/>
      <c r="J1526" s="1792"/>
      <c r="K1526" s="1792"/>
      <c r="L1526" s="1792"/>
      <c r="M1526" s="1715"/>
      <c r="N1526" s="1896" t="s">
        <v>2072</v>
      </c>
      <c r="O1526" s="1790">
        <f>'Part IX A-Scoring Criteria'!O95</f>
        <v>0</v>
      </c>
      <c r="P1526" s="1790">
        <f>'Part IX A-Scoring Criteria'!P95</f>
        <v>0</v>
      </c>
    </row>
    <row r="1527" spans="1:19">
      <c r="B1527" s="1907" t="s">
        <v>2074</v>
      </c>
      <c r="C1527" s="1837" t="s">
        <v>4170</v>
      </c>
      <c r="M1527" s="1903"/>
      <c r="O1527" s="1843" t="s">
        <v>2609</v>
      </c>
      <c r="P1527" s="1843" t="s">
        <v>2609</v>
      </c>
    </row>
    <row r="1528" spans="1:19" ht="12.75" customHeight="1">
      <c r="A1528" s="1908" t="str">
        <f>IF(AND(O1528="",$I$87="LEED-ND"), "X","")</f>
        <v/>
      </c>
      <c r="B1528" s="1833"/>
      <c r="C1528" s="1792" t="s">
        <v>2861</v>
      </c>
      <c r="D1528" s="1792"/>
      <c r="E1528" s="1792"/>
      <c r="F1528" s="1792"/>
      <c r="G1528" s="1792"/>
      <c r="H1528" s="1792"/>
      <c r="I1528" s="1792"/>
      <c r="J1528" s="1792"/>
      <c r="K1528" s="1792"/>
      <c r="L1528" s="1792"/>
      <c r="M1528" s="1715"/>
      <c r="N1528" s="1896" t="s">
        <v>2074</v>
      </c>
      <c r="O1528" s="1790">
        <f>'Part IX A-Scoring Criteria'!O97</f>
        <v>0</v>
      </c>
      <c r="P1528" s="1790">
        <f>'Part IX A-Scoring Criteria'!P97</f>
        <v>0</v>
      </c>
    </row>
    <row r="1529" spans="1:19">
      <c r="A1529" s="1711" t="s">
        <v>2071</v>
      </c>
      <c r="B1529" s="1700" t="s">
        <v>324</v>
      </c>
      <c r="D1529" s="518"/>
      <c r="E1529" s="518"/>
      <c r="F1529" s="518"/>
      <c r="M1529" s="1512">
        <v>2</v>
      </c>
      <c r="N1529" s="1891" t="s">
        <v>2071</v>
      </c>
      <c r="O1529" s="1843" t="s">
        <v>2609</v>
      </c>
      <c r="P1529" s="1843" t="s">
        <v>2609</v>
      </c>
    </row>
    <row r="1530" spans="1:19" ht="15">
      <c r="A1530" s="1520" t="str">
        <f>IF(AND(O1530="",OR($I$87="Earth Craft House Single Family",$I$87="Earth Craft House Multifamily",$I$87="Earth Craft House Renovation",$I$87="EF Green Communities",$I$87="LEED for Homes",$I$87="NAHB Natl Green Bdlg Stds",$I$87="EnergyStar v3")), "X","")</f>
        <v/>
      </c>
      <c r="B1530" s="1909" t="s">
        <v>2072</v>
      </c>
      <c r="C1530" s="1841" t="s">
        <v>2865</v>
      </c>
      <c r="D1530" s="1890"/>
      <c r="E1530" s="1861"/>
      <c r="F1530" s="1861"/>
      <c r="G1530" s="1861"/>
      <c r="H1530" s="1861"/>
      <c r="I1530" s="1861"/>
      <c r="J1530" s="1861"/>
      <c r="K1530" s="1861"/>
      <c r="L1530" s="1861"/>
      <c r="M1530" s="1687"/>
      <c r="N1530" s="1896" t="s">
        <v>2072</v>
      </c>
      <c r="O1530" s="1790">
        <f>'Part IX A-Scoring Criteria'!O99</f>
        <v>0</v>
      </c>
      <c r="P1530" s="1790">
        <f>'Part IX A-Scoring Criteria'!P99</f>
        <v>0</v>
      </c>
      <c r="Q1530" s="1687"/>
      <c r="R1530" s="1861"/>
      <c r="S1530" s="1861"/>
    </row>
    <row r="1531" spans="1:19" ht="15">
      <c r="A1531" s="1520" t="str">
        <f>IF(AND(O1531="",OR($I$87="Earth Craft House Single Family",$I$87="Earth Craft House Multifamily",$I$87="Earth Craft House Renovation",$I$87="EF Green Communities",$I$87="LEED for Homes",$I$87="NAHB Natl Green Bdlg Stds",$I$87="EnergyStar v3")), "X","")</f>
        <v/>
      </c>
      <c r="B1531" s="1909" t="s">
        <v>2074</v>
      </c>
      <c r="C1531" s="1841" t="s">
        <v>2862</v>
      </c>
      <c r="D1531" s="1890"/>
      <c r="E1531" s="1861"/>
      <c r="F1531" s="1861"/>
      <c r="G1531" s="1861"/>
      <c r="H1531" s="1861"/>
      <c r="I1531" s="1861"/>
      <c r="J1531" s="1861"/>
      <c r="K1531" s="1861"/>
      <c r="L1531" s="1861"/>
      <c r="M1531" s="1687"/>
      <c r="N1531" s="1896" t="s">
        <v>2074</v>
      </c>
      <c r="O1531" s="1790">
        <f>'Part IX A-Scoring Criteria'!O100</f>
        <v>0</v>
      </c>
      <c r="P1531" s="1790">
        <f>'Part IX A-Scoring Criteria'!P100</f>
        <v>0</v>
      </c>
      <c r="Q1531" s="1687"/>
      <c r="R1531" s="1861"/>
      <c r="S1531" s="1861"/>
    </row>
    <row r="1532" spans="1:19" ht="15">
      <c r="A1532" s="1520" t="str">
        <f>IF(AND(O1532="",OR($I$87="Earth Craft House Single Family",$I$87="Earth Craft House Multifamily",$I$87="Earth Craft House Renovation",$I$87="EF Green Communities",$I$87="LEED for Homes",$I$87="NAHB Natl Green Bdlg Stds",$I$87="EnergyStar v3")), "X","")</f>
        <v/>
      </c>
      <c r="B1532" s="1909" t="s">
        <v>2634</v>
      </c>
      <c r="C1532" s="1841" t="s">
        <v>2863</v>
      </c>
      <c r="D1532" s="1890"/>
      <c r="E1532" s="1861"/>
      <c r="F1532" s="1861"/>
      <c r="G1532" s="1861"/>
      <c r="H1532" s="1861"/>
      <c r="I1532" s="1861"/>
      <c r="J1532" s="1861"/>
      <c r="K1532" s="1861"/>
      <c r="L1532" s="1861"/>
      <c r="M1532" s="1687"/>
      <c r="N1532" s="1896" t="s">
        <v>2634</v>
      </c>
      <c r="O1532" s="1790">
        <f>'Part IX A-Scoring Criteria'!O101</f>
        <v>0</v>
      </c>
      <c r="P1532" s="1790">
        <f>'Part IX A-Scoring Criteria'!P101</f>
        <v>0</v>
      </c>
      <c r="Q1532" s="1687"/>
      <c r="R1532" s="1861"/>
      <c r="S1532" s="1861"/>
    </row>
    <row r="1533" spans="1:19" ht="15">
      <c r="A1533" s="1520" t="str">
        <f>IF(AND(O1533="",OR($I$87="Earth Craft House Single Family",$I$87="Earth Craft House Multifamily",$I$87="Earth Craft House Renovation",$I$87="EF Green Communities",$I$87="LEED for Homes",$I$87="NAHB Natl Green Bdlg Stds",$I$87="EnergyStar v3")), "X","")</f>
        <v/>
      </c>
      <c r="B1533" s="1909" t="s">
        <v>1277</v>
      </c>
      <c r="C1533" s="1841" t="s">
        <v>2864</v>
      </c>
      <c r="D1533" s="1890"/>
      <c r="E1533" s="1861"/>
      <c r="F1533" s="1861"/>
      <c r="G1533" s="1861"/>
      <c r="H1533" s="1861"/>
      <c r="I1533" s="1861"/>
      <c r="J1533" s="1861"/>
      <c r="K1533" s="1861"/>
      <c r="L1533" s="1861"/>
      <c r="M1533" s="1687"/>
      <c r="N1533" s="1896" t="s">
        <v>1277</v>
      </c>
      <c r="O1533" s="1790">
        <f>'Part IX A-Scoring Criteria'!O102</f>
        <v>0</v>
      </c>
      <c r="P1533" s="1790">
        <f>'Part IX A-Scoring Criteria'!P102</f>
        <v>0</v>
      </c>
      <c r="Q1533" s="1687"/>
      <c r="R1533" s="1861"/>
      <c r="S1533" s="1861"/>
    </row>
    <row r="1534" spans="1:19">
      <c r="B1534" s="1833"/>
      <c r="E1534" s="1815"/>
      <c r="F1534" s="1815"/>
      <c r="I1534" s="1815"/>
      <c r="J1534" s="1815"/>
      <c r="K1534" s="1815"/>
      <c r="M1534" s="1715"/>
      <c r="N1534" s="1715"/>
      <c r="O1534" s="1715"/>
      <c r="P1534" s="1715"/>
    </row>
    <row r="1535" spans="1:19" ht="15">
      <c r="A1535" s="518"/>
      <c r="B1535" s="1756" t="s">
        <v>268</v>
      </c>
      <c r="C1535" s="518"/>
      <c r="D1535" s="522"/>
      <c r="E1535" s="522"/>
      <c r="F1535" s="522"/>
      <c r="G1535" s="522"/>
      <c r="H1535" s="1876"/>
      <c r="I1535" s="1876"/>
      <c r="J1535" s="1876"/>
      <c r="K1535" s="519"/>
      <c r="L1535" s="1876"/>
      <c r="M1535" s="1512"/>
      <c r="N1535" s="1512"/>
      <c r="O1535" s="1857"/>
      <c r="P1535" s="1687"/>
      <c r="Q1535" s="1876"/>
      <c r="R1535" s="1876"/>
      <c r="S1535" s="1876"/>
    </row>
    <row r="1536" spans="1:19" ht="15.75">
      <c r="A1536" s="1792">
        <f>'Part IX A-Scoring Criteria'!A105</f>
        <v>0</v>
      </c>
      <c r="B1536" s="1792"/>
      <c r="C1536" s="1792"/>
      <c r="D1536" s="1792"/>
      <c r="E1536" s="1792"/>
      <c r="F1536" s="1792"/>
      <c r="G1536" s="1792"/>
      <c r="H1536" s="1792"/>
      <c r="I1536" s="1792"/>
      <c r="J1536" s="1792"/>
      <c r="K1536" s="1792"/>
      <c r="L1536" s="1792"/>
      <c r="M1536" s="1792"/>
      <c r="N1536" s="1792"/>
      <c r="O1536" s="1792"/>
      <c r="P1536" s="1792"/>
      <c r="Q1536" s="1866" t="s">
        <v>1308</v>
      </c>
      <c r="R1536" s="1861"/>
      <c r="S1536" s="1861"/>
    </row>
    <row r="1537" spans="1:19" ht="15">
      <c r="A1537" s="518"/>
      <c r="B1537" s="1756" t="s">
        <v>1947</v>
      </c>
      <c r="C1537" s="518"/>
      <c r="D1537" s="1793"/>
      <c r="E1537" s="1795"/>
      <c r="F1537" s="1795"/>
      <c r="G1537" s="1795"/>
      <c r="H1537" s="1795"/>
      <c r="I1537" s="1795"/>
      <c r="J1537" s="1795"/>
      <c r="K1537" s="1795"/>
      <c r="L1537" s="1795"/>
      <c r="M1537" s="1795"/>
      <c r="N1537" s="1889"/>
      <c r="O1537" s="1864"/>
      <c r="P1537" s="1687"/>
      <c r="Q1537" s="1883"/>
      <c r="R1537" s="1861"/>
      <c r="S1537" s="1861"/>
    </row>
    <row r="1538" spans="1:19" ht="15.75">
      <c r="A1538" s="1792">
        <f>'Part IX A-Scoring Criteria'!A107</f>
        <v>0</v>
      </c>
      <c r="B1538" s="1792"/>
      <c r="C1538" s="1792"/>
      <c r="D1538" s="1792"/>
      <c r="E1538" s="1792"/>
      <c r="F1538" s="1792"/>
      <c r="G1538" s="1792"/>
      <c r="H1538" s="1792"/>
      <c r="I1538" s="1792"/>
      <c r="J1538" s="1792"/>
      <c r="K1538" s="1792"/>
      <c r="L1538" s="1792"/>
      <c r="M1538" s="1792"/>
      <c r="N1538" s="1792"/>
      <c r="O1538" s="1792"/>
      <c r="P1538" s="1792"/>
      <c r="Q1538" s="1866" t="s">
        <v>1308</v>
      </c>
      <c r="R1538" s="1861"/>
      <c r="S1538" s="1861"/>
    </row>
    <row r="1539" spans="1:19" ht="15">
      <c r="A1539" s="518"/>
      <c r="B1539" s="1861"/>
      <c r="C1539" s="1861"/>
      <c r="D1539" s="519"/>
      <c r="E1539" s="519"/>
      <c r="F1539" s="1687"/>
      <c r="G1539" s="1687"/>
      <c r="H1539" s="1687"/>
      <c r="I1539" s="1687"/>
      <c r="J1539" s="1728"/>
      <c r="K1539" s="1728"/>
      <c r="L1539" s="1728"/>
      <c r="M1539" s="1787"/>
      <c r="N1539" s="1687"/>
      <c r="O1539" s="1520"/>
      <c r="P1539" s="1857"/>
      <c r="Q1539" s="1861"/>
      <c r="R1539" s="1861"/>
      <c r="S1539" s="1861"/>
    </row>
    <row r="1540" spans="1:19" ht="15">
      <c r="A1540" s="1858" t="s">
        <v>527</v>
      </c>
      <c r="B1540" s="1859" t="s">
        <v>3015</v>
      </c>
      <c r="C1540" s="1876"/>
      <c r="D1540" s="1870"/>
      <c r="E1540" s="1870"/>
      <c r="F1540" s="1876"/>
      <c r="G1540" s="1876"/>
      <c r="H1540" s="1532" t="s">
        <v>4171</v>
      </c>
      <c r="I1540" s="1876"/>
      <c r="J1540" s="1876"/>
      <c r="K1540" s="1876"/>
      <c r="L1540" s="1876"/>
      <c r="M1540" s="1687">
        <v>8</v>
      </c>
      <c r="N1540" s="1512"/>
      <c r="O1540" s="1857">
        <f>'Part IX A-Scoring Criteria'!O109</f>
        <v>0</v>
      </c>
      <c r="P1540" s="1857">
        <f>'Part IX A-Scoring Criteria'!P109</f>
        <v>0</v>
      </c>
      <c r="Q1540" s="1687" t="s">
        <v>459</v>
      </c>
      <c r="R1540" s="1861"/>
      <c r="S1540" s="1876"/>
    </row>
    <row r="1541" spans="1:19" ht="15">
      <c r="A1541" s="1858"/>
      <c r="B1541" s="1859"/>
      <c r="C1541" s="1876"/>
      <c r="D1541" s="1870"/>
      <c r="E1541" s="1870"/>
      <c r="F1541" s="1876"/>
      <c r="G1541" s="1876"/>
      <c r="H1541" s="1532"/>
      <c r="I1541" s="1876"/>
      <c r="J1541" s="1876"/>
      <c r="K1541" s="1876"/>
      <c r="L1541" s="1876"/>
      <c r="M1541" s="1790"/>
      <c r="N1541" s="1876"/>
      <c r="O1541" s="1876"/>
      <c r="P1541" s="1876"/>
      <c r="Q1541" s="1687"/>
      <c r="R1541" s="1861"/>
      <c r="S1541" s="1876"/>
    </row>
    <row r="1542" spans="1:19" ht="15">
      <c r="A1542" s="1910" t="s">
        <v>4174</v>
      </c>
      <c r="B1542" s="1700" t="s">
        <v>4172</v>
      </c>
      <c r="C1542" s="1876"/>
      <c r="D1542" s="1870"/>
      <c r="E1542" s="1870"/>
      <c r="F1542" s="1876"/>
      <c r="G1542" s="1876"/>
      <c r="H1542" s="1532"/>
      <c r="I1542" s="1876"/>
      <c r="J1542" s="1876"/>
      <c r="K1542" s="1876"/>
      <c r="L1542" s="1876"/>
      <c r="M1542" s="1518">
        <v>3</v>
      </c>
      <c r="N1542" s="1876"/>
      <c r="O1542" s="1857">
        <f>'Part IX A-Scoring Criteria'!O111</f>
        <v>0</v>
      </c>
      <c r="P1542" s="1687">
        <f>'Part IX A-Scoring Criteria'!P111</f>
        <v>0</v>
      </c>
      <c r="Q1542" s="1687"/>
      <c r="R1542" s="1861"/>
      <c r="S1542" s="1876"/>
    </row>
    <row r="1543" spans="1:19">
      <c r="A1543" s="1910"/>
      <c r="B1543" s="522" t="s">
        <v>3023</v>
      </c>
      <c r="C1543" s="1514"/>
      <c r="D1543" s="1514"/>
      <c r="E1543" s="1700" t="str">
        <f>'Part I-Project Information'!$H$90</f>
        <v>&lt;&lt;Select Pool&gt;&gt;</v>
      </c>
      <c r="O1543" s="1843" t="s">
        <v>2609</v>
      </c>
      <c r="P1543" s="1843" t="s">
        <v>2609</v>
      </c>
    </row>
    <row r="1544" spans="1:19" ht="12.75" customHeight="1">
      <c r="A1544" s="1910"/>
      <c r="B1544" s="1907" t="s">
        <v>2072</v>
      </c>
      <c r="C1544" s="502" t="s">
        <v>2798</v>
      </c>
      <c r="M1544" s="1518"/>
      <c r="O1544" s="1790">
        <f>'Part IX A-Scoring Criteria'!O113</f>
        <v>0</v>
      </c>
      <c r="P1544" s="1790">
        <f>'Part IX A-Scoring Criteria'!P113</f>
        <v>0</v>
      </c>
      <c r="Q1544" s="1911" t="str">
        <f>IF(AND(O1544="Yes",O1547="Yes"),"Only 1 or 4 can be 'Yes'!","")</f>
        <v/>
      </c>
      <c r="R1544" s="1911"/>
    </row>
    <row r="1545" spans="1:19" ht="12.75" customHeight="1">
      <c r="B1545" s="1907" t="s">
        <v>2074</v>
      </c>
      <c r="C1545" s="502" t="s">
        <v>2878</v>
      </c>
      <c r="D1545" s="1912">
        <f>'Part IX A-Scoring Criteria'!D114</f>
        <v>0</v>
      </c>
      <c r="E1545" s="502" t="s">
        <v>2879</v>
      </c>
      <c r="G1545" s="502" t="s">
        <v>2485</v>
      </c>
      <c r="K1545" s="519" t="s">
        <v>2877</v>
      </c>
      <c r="L1545" s="1913">
        <f>'Part IX A-Scoring Criteria'!L114</f>
        <v>0</v>
      </c>
      <c r="M1545" s="1786" t="str">
        <f>IF(L1545&gt;D1545,"CHECK ACTUAL PERCENT!!!","")</f>
        <v/>
      </c>
      <c r="N1545" s="1835"/>
      <c r="O1545" s="1520"/>
      <c r="P1545" s="1520"/>
      <c r="Q1545" s="1911"/>
      <c r="R1545" s="1911"/>
    </row>
    <row r="1546" spans="1:19" ht="12.75" customHeight="1">
      <c r="B1546" s="1907" t="s">
        <v>2634</v>
      </c>
      <c r="C1546" s="502" t="s">
        <v>2486</v>
      </c>
      <c r="G1546" s="502" t="s">
        <v>2487</v>
      </c>
      <c r="K1546" s="1886" t="s">
        <v>2869</v>
      </c>
      <c r="L1546" s="1886">
        <f>'Part IX A-Scoring Criteria'!L115</f>
        <v>0</v>
      </c>
      <c r="N1546" s="1518"/>
      <c r="O1546" s="1520"/>
      <c r="P1546" s="1520"/>
      <c r="Q1546" s="1911"/>
      <c r="R1546" s="1911"/>
    </row>
    <row r="1547" spans="1:19" ht="12.75" customHeight="1">
      <c r="B1547" s="1907" t="s">
        <v>1277</v>
      </c>
      <c r="C1547" s="1800" t="s">
        <v>4611</v>
      </c>
      <c r="D1547" s="1800"/>
      <c r="E1547" s="1800"/>
      <c r="F1547" s="1800"/>
      <c r="G1547" s="1800"/>
      <c r="H1547" s="1800"/>
      <c r="I1547" s="1800"/>
      <c r="J1547" s="1800"/>
      <c r="K1547" s="1800"/>
      <c r="L1547" s="1800"/>
      <c r="M1547" s="1800"/>
      <c r="O1547" s="1790">
        <f>'Part IX A-Scoring Criteria'!O116</f>
        <v>0</v>
      </c>
      <c r="P1547" s="1790">
        <f>'Part IX A-Scoring Criteria'!P116</f>
        <v>0</v>
      </c>
      <c r="Q1547" s="1911"/>
      <c r="R1547" s="1911"/>
    </row>
    <row r="1548" spans="1:19">
      <c r="B1548" s="1907"/>
      <c r="C1548" s="1800"/>
      <c r="D1548" s="1800"/>
      <c r="E1548" s="1800"/>
      <c r="F1548" s="1800"/>
      <c r="G1548" s="1800"/>
      <c r="H1548" s="1800"/>
      <c r="I1548" s="1800"/>
      <c r="J1548" s="1800"/>
      <c r="K1548" s="1800"/>
      <c r="L1548" s="1800"/>
      <c r="M1548" s="1800"/>
      <c r="N1548" s="1518"/>
      <c r="O1548" s="1520"/>
      <c r="P1548" s="1520"/>
    </row>
    <row r="1549" spans="1:19">
      <c r="A1549" s="1735" t="s">
        <v>786</v>
      </c>
      <c r="B1549" s="1914" t="s">
        <v>4173</v>
      </c>
      <c r="C1549" s="502"/>
      <c r="G1549" s="502"/>
      <c r="K1549" s="1843" t="s">
        <v>4152</v>
      </c>
      <c r="L1549" s="1843" t="s">
        <v>4153</v>
      </c>
      <c r="M1549" s="1518">
        <v>3</v>
      </c>
      <c r="N1549" s="1518"/>
      <c r="O1549" s="1915">
        <f>'Part IX A-Scoring Criteria'!O118</f>
        <v>0</v>
      </c>
      <c r="P1549" s="1915">
        <f>'Part IX A-Scoring Criteria'!P118</f>
        <v>0</v>
      </c>
    </row>
    <row r="1550" spans="1:19" ht="12.75" customHeight="1">
      <c r="A1550" s="1735"/>
      <c r="B1550" s="1800" t="s">
        <v>4177</v>
      </c>
      <c r="C1550" s="1800"/>
      <c r="D1550" s="1800"/>
      <c r="E1550" s="1800"/>
      <c r="F1550" s="1800"/>
      <c r="G1550" s="1800"/>
      <c r="H1550" s="1800"/>
      <c r="I1550" s="1800"/>
      <c r="J1550" s="1800"/>
      <c r="K1550" s="1790" t="str">
        <f>'Part IX A-Scoring Criteria'!K119</f>
        <v>&lt;Select&gt;</v>
      </c>
      <c r="L1550" s="1790" t="str">
        <f>'Part IX A-Scoring Criteria'!L119</f>
        <v>&lt;Select&gt;</v>
      </c>
      <c r="N1550" s="1518"/>
      <c r="O1550" s="1687"/>
      <c r="P1550" s="1687"/>
    </row>
    <row r="1551" spans="1:19">
      <c r="A1551" s="1735"/>
      <c r="B1551" s="1800"/>
      <c r="C1551" s="1800"/>
      <c r="D1551" s="1800"/>
      <c r="E1551" s="1800"/>
      <c r="F1551" s="1800"/>
      <c r="G1551" s="1800"/>
      <c r="H1551" s="1800"/>
      <c r="I1551" s="1800"/>
      <c r="J1551" s="1800"/>
      <c r="N1551" s="1518"/>
      <c r="O1551" s="1687"/>
      <c r="P1551" s="1687"/>
    </row>
    <row r="1552" spans="1:19">
      <c r="A1552" s="1735" t="s">
        <v>2203</v>
      </c>
      <c r="B1552" s="1914" t="s">
        <v>4175</v>
      </c>
      <c r="C1552" s="502"/>
      <c r="G1552" s="1886" t="s">
        <v>4176</v>
      </c>
      <c r="H1552" s="1916">
        <f>'Part VI-Revenues &amp; Expenses'!$O$59</f>
        <v>0</v>
      </c>
      <c r="I1552" s="1843" t="s">
        <v>4195</v>
      </c>
      <c r="J1552" s="1916">
        <f>'Part VI-Revenues &amp; Expenses'!$O$62</f>
        <v>162</v>
      </c>
      <c r="K1552" s="1843" t="s">
        <v>4196</v>
      </c>
      <c r="L1552" s="1917">
        <f>IF(J1552=0,0,H1552/J1552)</f>
        <v>0</v>
      </c>
      <c r="M1552" s="1518">
        <v>2</v>
      </c>
      <c r="N1552" s="1518"/>
      <c r="O1552" s="1915">
        <f>'Part IX A-Scoring Criteria'!O121</f>
        <v>0</v>
      </c>
      <c r="P1552" s="1915">
        <f>'Part IX A-Scoring Criteria'!P121</f>
        <v>0</v>
      </c>
    </row>
    <row r="1553" spans="1:19" ht="15">
      <c r="A1553" s="518"/>
      <c r="B1553" s="1793" t="s">
        <v>1947</v>
      </c>
      <c r="C1553" s="518"/>
      <c r="D1553" s="1793"/>
      <c r="E1553" s="1795"/>
      <c r="F1553" s="1795"/>
      <c r="G1553" s="1795"/>
      <c r="H1553" s="1795"/>
      <c r="I1553" s="1795"/>
      <c r="J1553" s="1795"/>
      <c r="K1553" s="1795"/>
      <c r="L1553" s="1795"/>
      <c r="M1553" s="1795"/>
      <c r="N1553" s="1889"/>
      <c r="O1553" s="1864"/>
      <c r="P1553" s="1687"/>
      <c r="Q1553" s="1883"/>
      <c r="R1553" s="1861"/>
      <c r="S1553" s="1861"/>
    </row>
    <row r="1554" spans="1:19" ht="15.75">
      <c r="A1554" s="1792">
        <f>'Part IX A-Scoring Criteria'!A123</f>
        <v>0</v>
      </c>
      <c r="B1554" s="1792"/>
      <c r="C1554" s="1792"/>
      <c r="D1554" s="1792"/>
      <c r="E1554" s="1792"/>
      <c r="F1554" s="1792"/>
      <c r="G1554" s="1792"/>
      <c r="H1554" s="1792"/>
      <c r="I1554" s="1792"/>
      <c r="J1554" s="1792"/>
      <c r="K1554" s="1792"/>
      <c r="L1554" s="1792"/>
      <c r="M1554" s="1792"/>
      <c r="N1554" s="1792"/>
      <c r="O1554" s="1792"/>
      <c r="P1554" s="1792"/>
      <c r="Q1554" s="1866" t="s">
        <v>1308</v>
      </c>
      <c r="R1554" s="1861"/>
      <c r="S1554" s="1861"/>
    </row>
    <row r="1555" spans="1:19" ht="15">
      <c r="A1555" s="518"/>
      <c r="B1555" s="1861"/>
      <c r="C1555" s="1861"/>
      <c r="D1555" s="519"/>
      <c r="E1555" s="519"/>
      <c r="F1555" s="1687"/>
      <c r="G1555" s="1687"/>
      <c r="H1555" s="1687"/>
      <c r="I1555" s="1687"/>
      <c r="J1555" s="1728"/>
      <c r="K1555" s="1728"/>
      <c r="L1555" s="1728"/>
      <c r="M1555" s="1787"/>
      <c r="N1555" s="1687"/>
      <c r="O1555" s="1520"/>
      <c r="P1555" s="1857"/>
      <c r="Q1555" s="1861"/>
      <c r="R1555" s="1861"/>
      <c r="S1555" s="1861"/>
    </row>
    <row r="1556" spans="1:19" ht="15">
      <c r="A1556" s="1858" t="s">
        <v>528</v>
      </c>
      <c r="B1556" s="1859" t="s">
        <v>3718</v>
      </c>
      <c r="C1556" s="1876"/>
      <c r="D1556" s="1870"/>
      <c r="E1556" s="1870"/>
      <c r="F1556" s="1876"/>
      <c r="G1556" s="1876"/>
      <c r="H1556" s="1787"/>
      <c r="I1556" s="1876"/>
      <c r="J1556" s="1594" t="str">
        <f>'Part IX A-Scoring Criteria'!J125</f>
        <v>QCT &amp; Local Govt Adptd Revital Plan</v>
      </c>
      <c r="K1556" s="1594"/>
      <c r="L1556" s="1594"/>
      <c r="M1556" s="1687">
        <v>10</v>
      </c>
      <c r="N1556" s="1512"/>
      <c r="O1556" s="1857">
        <f>'Part IX A-Scoring Criteria'!O125</f>
        <v>0</v>
      </c>
      <c r="P1556" s="1687">
        <f>'Part IX A-Scoring Criteria'!P125</f>
        <v>0</v>
      </c>
      <c r="Q1556" s="1687" t="s">
        <v>459</v>
      </c>
      <c r="R1556" s="1861"/>
      <c r="S1556" s="1876"/>
    </row>
    <row r="1557" spans="1:19">
      <c r="A1557" s="1791"/>
      <c r="B1557" s="1886"/>
      <c r="D1557" s="1843"/>
      <c r="E1557" s="1886"/>
      <c r="G1557" s="1918"/>
      <c r="H1557" s="1886"/>
      <c r="I1557" s="1728"/>
      <c r="K1557" s="1728"/>
    </row>
    <row r="1558" spans="1:19">
      <c r="B1558" s="1823" t="s">
        <v>4337</v>
      </c>
      <c r="E1558" s="518"/>
      <c r="G1558" s="1673">
        <f>'Part IX A-Scoring Criteria'!G127</f>
        <v>0</v>
      </c>
      <c r="H1558" s="1673"/>
      <c r="I1558" s="1673"/>
      <c r="J1558" s="1673"/>
      <c r="K1558" s="1673"/>
      <c r="L1558" s="1673"/>
      <c r="M1558" s="1673"/>
      <c r="N1558" s="1673"/>
      <c r="O1558" s="1673"/>
      <c r="P1558" s="1673"/>
    </row>
    <row r="1559" spans="1:19">
      <c r="A1559" s="1791"/>
      <c r="B1559" s="1886"/>
      <c r="D1559" s="1843"/>
      <c r="E1559" s="1886"/>
      <c r="G1559" s="1918"/>
      <c r="H1559" s="1886"/>
    </row>
    <row r="1560" spans="1:19" ht="15">
      <c r="A1560" s="1711"/>
      <c r="B1560" s="502" t="s">
        <v>3194</v>
      </c>
      <c r="C1560" s="1861"/>
      <c r="D1560" s="518"/>
      <c r="E1560" s="1861"/>
      <c r="F1560" s="1861"/>
      <c r="G1560" s="1861"/>
      <c r="H1560" s="1861"/>
      <c r="I1560" s="1861"/>
      <c r="J1560" s="1861"/>
      <c r="K1560" s="1861"/>
      <c r="L1560" s="1861"/>
      <c r="M1560" s="1861"/>
      <c r="N1560" s="1765"/>
      <c r="O1560" s="1790">
        <f>'Part IX A-Scoring Criteria'!O129</f>
        <v>0</v>
      </c>
      <c r="P1560" s="1790">
        <f>'Part IX A-Scoring Criteria'!P129</f>
        <v>0</v>
      </c>
      <c r="Q1560" s="1861"/>
      <c r="R1560" s="1871"/>
      <c r="S1560" s="1861"/>
    </row>
    <row r="1561" spans="1:19">
      <c r="A1561" s="1791"/>
      <c r="B1561" s="1886"/>
      <c r="D1561" s="1843"/>
      <c r="E1561" s="1886"/>
      <c r="G1561" s="1918"/>
      <c r="H1561" s="1886"/>
      <c r="I1561" s="1728"/>
      <c r="K1561" s="1728"/>
    </row>
    <row r="1562" spans="1:19" ht="15">
      <c r="A1562" s="1687"/>
      <c r="B1562" s="1823" t="s">
        <v>4612</v>
      </c>
      <c r="C1562" s="1861"/>
      <c r="D1562" s="1861"/>
      <c r="E1562" s="1728"/>
      <c r="F1562" s="1861"/>
      <c r="G1562" s="1861"/>
      <c r="H1562" s="1861"/>
      <c r="I1562" s="1861"/>
      <c r="J1562" s="1861"/>
      <c r="K1562" s="1861"/>
      <c r="L1562" s="1861"/>
      <c r="M1562" s="1861"/>
      <c r="N1562" s="1861"/>
      <c r="O1562" s="1843" t="s">
        <v>2609</v>
      </c>
      <c r="P1562" s="1843" t="s">
        <v>2609</v>
      </c>
      <c r="Q1562" s="1861"/>
      <c r="R1562" s="1861"/>
      <c r="S1562" s="1861"/>
    </row>
    <row r="1563" spans="1:19" ht="15">
      <c r="A1563" s="1520"/>
      <c r="B1563" s="1765" t="s">
        <v>2532</v>
      </c>
      <c r="C1563" s="502" t="s">
        <v>3861</v>
      </c>
      <c r="D1563" s="1876"/>
      <c r="E1563" s="1728"/>
      <c r="F1563" s="1861"/>
      <c r="G1563" s="502" t="s">
        <v>3862</v>
      </c>
      <c r="H1563" s="1861"/>
      <c r="I1563" s="1861"/>
      <c r="J1563" s="1861"/>
      <c r="K1563" s="1861"/>
      <c r="L1563" s="1919">
        <f>'Part IX A-Scoring Criteria'!L132</f>
        <v>0</v>
      </c>
      <c r="M1563" s="1919"/>
      <c r="N1563" s="1765" t="s">
        <v>2532</v>
      </c>
      <c r="O1563" s="1790">
        <f>'Part IX A-Scoring Criteria'!O132</f>
        <v>0</v>
      </c>
      <c r="P1563" s="1790">
        <f>'Part IX A-Scoring Criteria'!P132</f>
        <v>0</v>
      </c>
      <c r="Q1563" s="1861"/>
      <c r="R1563" s="1861"/>
      <c r="S1563" s="1861"/>
    </row>
    <row r="1564" spans="1:19" ht="15" customHeight="1">
      <c r="A1564" s="1520"/>
      <c r="B1564" s="1765" t="s">
        <v>2533</v>
      </c>
      <c r="C1564" s="1792" t="s">
        <v>4613</v>
      </c>
      <c r="D1564" s="1792"/>
      <c r="E1564" s="1792"/>
      <c r="F1564" s="1792"/>
      <c r="G1564" s="502" t="s">
        <v>3724</v>
      </c>
      <c r="H1564" s="1861"/>
      <c r="I1564" s="1861"/>
      <c r="J1564" s="1861"/>
      <c r="K1564" s="1861"/>
      <c r="L1564" s="1919">
        <f>'Part IX A-Scoring Criteria'!L133</f>
        <v>0</v>
      </c>
      <c r="M1564" s="1919"/>
      <c r="N1564" s="1765" t="s">
        <v>2533</v>
      </c>
      <c r="O1564" s="1790">
        <f>'Part IX A-Scoring Criteria'!O133</f>
        <v>0</v>
      </c>
      <c r="P1564" s="1790">
        <f>'Part IX A-Scoring Criteria'!P133</f>
        <v>0</v>
      </c>
      <c r="Q1564" s="1861"/>
      <c r="R1564" s="1861"/>
      <c r="S1564" s="1861"/>
    </row>
    <row r="1565" spans="1:19" ht="15">
      <c r="A1565" s="1520"/>
      <c r="B1565" s="1765"/>
      <c r="C1565" s="1792"/>
      <c r="D1565" s="1792"/>
      <c r="E1565" s="1792"/>
      <c r="F1565" s="1792"/>
      <c r="G1565" s="502" t="s">
        <v>3192</v>
      </c>
      <c r="H1565" s="1861"/>
      <c r="I1565" s="1861"/>
      <c r="J1565" s="1861"/>
      <c r="K1565" s="1861"/>
      <c r="L1565" s="1532">
        <f>'Part IX A-Scoring Criteria'!L134</f>
        <v>0</v>
      </c>
      <c r="M1565" s="1532"/>
      <c r="N1565" s="1861"/>
      <c r="O1565" s="1861"/>
      <c r="P1565" s="1861"/>
      <c r="Q1565" s="1861"/>
      <c r="R1565" s="1861"/>
      <c r="S1565" s="1861"/>
    </row>
    <row r="1566" spans="1:19" ht="15">
      <c r="A1566" s="1520"/>
      <c r="B1566" s="1765"/>
      <c r="C1566" s="1792"/>
      <c r="D1566" s="1792"/>
      <c r="E1566" s="1792"/>
      <c r="F1566" s="1792"/>
      <c r="G1566" s="502" t="s">
        <v>3059</v>
      </c>
      <c r="H1566" s="1861"/>
      <c r="I1566" s="1861"/>
      <c r="J1566" s="1532" t="str">
        <f>'Part IX A-Scoring Criteria'!J135</f>
        <v>&lt;&lt;Select event type&gt;&gt;</v>
      </c>
      <c r="K1566" s="1532"/>
      <c r="L1566" s="1532" t="str">
        <f>'Part IX A-Scoring Criteria'!L135</f>
        <v>&lt;&lt;Select event type&gt;&gt;</v>
      </c>
      <c r="M1566" s="1532"/>
      <c r="N1566" s="1861"/>
      <c r="O1566" s="1861"/>
      <c r="P1566" s="1861"/>
      <c r="Q1566" s="1861"/>
      <c r="R1566" s="1861"/>
      <c r="S1566" s="1861"/>
    </row>
    <row r="1567" spans="1:19" ht="15">
      <c r="A1567" s="1520"/>
      <c r="B1567" s="1765"/>
      <c r="C1567" s="1886"/>
      <c r="D1567" s="1876"/>
      <c r="E1567" s="1728"/>
      <c r="F1567" s="1861"/>
      <c r="G1567" s="502" t="s">
        <v>3060</v>
      </c>
      <c r="H1567" s="1861"/>
      <c r="I1567" s="1861"/>
      <c r="J1567" s="1919">
        <f>'Part IX A-Scoring Criteria'!J136</f>
        <v>0</v>
      </c>
      <c r="K1567" s="1919"/>
      <c r="L1567" s="1919">
        <f>'Part IX A-Scoring Criteria'!L136</f>
        <v>0</v>
      </c>
      <c r="M1567" s="1919"/>
      <c r="N1567" s="1861"/>
      <c r="O1567" s="1861"/>
      <c r="P1567" s="1861"/>
      <c r="Q1567" s="1861"/>
      <c r="R1567" s="1861"/>
      <c r="S1567" s="1861"/>
    </row>
    <row r="1568" spans="1:19" ht="15" customHeight="1">
      <c r="A1568" s="1520"/>
      <c r="B1568" s="1765"/>
      <c r="C1568" s="1886"/>
      <c r="D1568" s="1876"/>
      <c r="E1568" s="1728"/>
      <c r="F1568" s="1861"/>
      <c r="G1568" s="1800" t="s">
        <v>4341</v>
      </c>
      <c r="H1568" s="1800"/>
      <c r="I1568" s="502" t="s">
        <v>1788</v>
      </c>
      <c r="J1568" s="519" t="str">
        <f>'Part IX A-Scoring Criteria'!J137</f>
        <v>&lt;&lt;Select entity type&gt;&gt;</v>
      </c>
      <c r="K1568" s="519"/>
      <c r="L1568" s="519" t="str">
        <f>'Part IX A-Scoring Criteria'!L137</f>
        <v>&lt;&lt;Select entity type&gt;&gt;</v>
      </c>
      <c r="M1568" s="519"/>
      <c r="N1568" s="1861"/>
      <c r="O1568" s="1861"/>
      <c r="P1568" s="1861"/>
      <c r="Q1568" s="1861"/>
      <c r="R1568" s="1861"/>
      <c r="S1568" s="1861"/>
    </row>
    <row r="1569" spans="1:19" ht="15">
      <c r="A1569" s="1520"/>
      <c r="B1569" s="1765"/>
      <c r="C1569" s="1886"/>
      <c r="D1569" s="1876"/>
      <c r="E1569" s="1728"/>
      <c r="F1569" s="1861"/>
      <c r="G1569" s="1800"/>
      <c r="H1569" s="1800"/>
      <c r="I1569" s="502" t="s">
        <v>4340</v>
      </c>
      <c r="J1569" s="1532">
        <f>'Part IX A-Scoring Criteria'!J138</f>
        <v>0</v>
      </c>
      <c r="K1569" s="1532"/>
      <c r="L1569" s="1532">
        <f>'Part IX A-Scoring Criteria'!L138</f>
        <v>0</v>
      </c>
      <c r="M1569" s="1532"/>
      <c r="N1569" s="1861"/>
      <c r="O1569" s="1861"/>
      <c r="P1569" s="1861"/>
      <c r="Q1569" s="1861"/>
      <c r="R1569" s="1861"/>
      <c r="S1569" s="1861"/>
    </row>
    <row r="1570" spans="1:19" ht="13.5" customHeight="1">
      <c r="B1570" s="1765" t="s">
        <v>2534</v>
      </c>
      <c r="C1570" s="1792" t="s">
        <v>4180</v>
      </c>
      <c r="D1570" s="1792"/>
      <c r="E1570" s="1792"/>
      <c r="F1570" s="1792"/>
      <c r="G1570" s="502" t="s">
        <v>3193</v>
      </c>
      <c r="L1570" s="1919">
        <f>'Part IX A-Scoring Criteria'!L139</f>
        <v>0</v>
      </c>
      <c r="M1570" s="1919"/>
      <c r="N1570" s="1765" t="s">
        <v>2534</v>
      </c>
      <c r="O1570" s="1790">
        <f>'Part IX A-Scoring Criteria'!O139</f>
        <v>0</v>
      </c>
      <c r="P1570" s="1790">
        <f>'Part IX A-Scoring Criteria'!P139</f>
        <v>0</v>
      </c>
    </row>
    <row r="1571" spans="1:19" ht="13.5">
      <c r="B1571" s="1765"/>
      <c r="C1571" s="1792"/>
      <c r="D1571" s="1792"/>
      <c r="E1571" s="1792"/>
      <c r="F1571" s="1792"/>
      <c r="G1571" s="502" t="s">
        <v>4614</v>
      </c>
      <c r="L1571" s="1919">
        <f>'Part IX A-Scoring Criteria'!L140</f>
        <v>0</v>
      </c>
      <c r="M1571" s="1919"/>
    </row>
    <row r="1572" spans="1:19" ht="13.5" customHeight="1">
      <c r="B1572" s="1765" t="s">
        <v>2535</v>
      </c>
      <c r="C1572" s="519" t="s">
        <v>4181</v>
      </c>
      <c r="D1572" s="502"/>
      <c r="G1572" s="1732"/>
      <c r="K1572" s="1728"/>
      <c r="L1572" s="1920" t="str">
        <f>'Part IX A-Scoring Criteria'!L141</f>
        <v>&lt;&lt;Enter page nbr(s) from Plan here&gt;&gt;</v>
      </c>
      <c r="M1572" s="1920"/>
      <c r="N1572" s="1765" t="s">
        <v>2535</v>
      </c>
      <c r="O1572" s="1790">
        <f>'Part IX A-Scoring Criteria'!O141</f>
        <v>0</v>
      </c>
      <c r="P1572" s="1790">
        <f>'Part IX A-Scoring Criteria'!P141</f>
        <v>0</v>
      </c>
    </row>
    <row r="1573" spans="1:19" ht="12.75" customHeight="1">
      <c r="B1573" s="1765" t="s">
        <v>2536</v>
      </c>
      <c r="C1573" s="519" t="s">
        <v>3062</v>
      </c>
      <c r="K1573" s="1728"/>
      <c r="L1573" s="1920" t="str">
        <f>'Part IX A-Scoring Criteria'!L142</f>
        <v>&lt;&lt;Enter page nbr(s) from Plan here&gt;&gt;</v>
      </c>
      <c r="M1573" s="1920"/>
      <c r="N1573" s="1765" t="s">
        <v>2536</v>
      </c>
      <c r="O1573" s="1790">
        <f>'Part IX A-Scoring Criteria'!O142</f>
        <v>0</v>
      </c>
      <c r="P1573" s="1790">
        <f>'Part IX A-Scoring Criteria'!P142</f>
        <v>0</v>
      </c>
    </row>
    <row r="1574" spans="1:19" ht="12.75" customHeight="1">
      <c r="B1574" s="1765" t="s">
        <v>3727</v>
      </c>
      <c r="C1574" s="519" t="s">
        <v>3721</v>
      </c>
      <c r="K1574" s="1728"/>
      <c r="L1574" s="1920" t="str">
        <f>'Part IX A-Scoring Criteria'!L143</f>
        <v>&lt;&lt;Enter page nbr(s) from Plan here&gt;&gt;</v>
      </c>
      <c r="M1574" s="1920"/>
      <c r="N1574" s="1765" t="s">
        <v>3727</v>
      </c>
      <c r="O1574" s="1790">
        <f>'Part IX A-Scoring Criteria'!O143</f>
        <v>0</v>
      </c>
      <c r="P1574" s="1790">
        <f>'Part IX A-Scoring Criteria'!P143</f>
        <v>0</v>
      </c>
    </row>
    <row r="1575" spans="1:19" ht="12.75" customHeight="1">
      <c r="B1575" s="1765" t="s">
        <v>3728</v>
      </c>
      <c r="C1575" s="519" t="s">
        <v>3719</v>
      </c>
      <c r="K1575" s="1728"/>
      <c r="L1575" s="1920" t="str">
        <f>'Part IX A-Scoring Criteria'!L144</f>
        <v>&lt;&lt;Enter page nbr(s) from Plan here&gt;&gt;</v>
      </c>
      <c r="M1575" s="1920"/>
      <c r="N1575" s="1765" t="s">
        <v>3728</v>
      </c>
      <c r="O1575" s="1790">
        <f>'Part IX A-Scoring Criteria'!O144</f>
        <v>0</v>
      </c>
      <c r="P1575" s="1790">
        <f>'Part IX A-Scoring Criteria'!P144</f>
        <v>0</v>
      </c>
    </row>
    <row r="1576" spans="1:19" ht="12.75" customHeight="1">
      <c r="B1576" s="1765" t="s">
        <v>2553</v>
      </c>
      <c r="C1576" s="519" t="s">
        <v>3063</v>
      </c>
      <c r="K1576" s="1728"/>
      <c r="L1576" s="1920" t="str">
        <f>'Part IX A-Scoring Criteria'!L145</f>
        <v>&lt;&lt;Enter page nbr(s) from Plan here&gt;&gt;</v>
      </c>
      <c r="M1576" s="1920"/>
      <c r="N1576" s="1765" t="s">
        <v>2553</v>
      </c>
      <c r="O1576" s="1790">
        <f>'Part IX A-Scoring Criteria'!O145</f>
        <v>0</v>
      </c>
      <c r="P1576" s="1790">
        <f>'Part IX A-Scoring Criteria'!P145</f>
        <v>0</v>
      </c>
    </row>
    <row r="1577" spans="1:19" ht="12.75" customHeight="1">
      <c r="B1577" s="1765" t="s">
        <v>2554</v>
      </c>
      <c r="C1577" s="519" t="s">
        <v>3064</v>
      </c>
      <c r="D1577" s="502"/>
      <c r="K1577" s="1728"/>
      <c r="L1577" s="1920" t="str">
        <f>'Part IX A-Scoring Criteria'!L146</f>
        <v>&lt;&lt;Enter page nbr(s) from Plan here&gt;&gt;</v>
      </c>
      <c r="M1577" s="1920"/>
      <c r="N1577" s="1765" t="s">
        <v>2554</v>
      </c>
      <c r="O1577" s="1790">
        <f>'Part IX A-Scoring Criteria'!O146</f>
        <v>0</v>
      </c>
      <c r="P1577" s="1790">
        <f>'Part IX A-Scoring Criteria'!P146</f>
        <v>0</v>
      </c>
    </row>
    <row r="1578" spans="1:19">
      <c r="B1578" s="1765" t="s">
        <v>2555</v>
      </c>
      <c r="C1578" s="519" t="s">
        <v>4182</v>
      </c>
      <c r="K1578" s="1728"/>
      <c r="M1578" s="1520"/>
      <c r="N1578" s="1765" t="s">
        <v>2555</v>
      </c>
      <c r="O1578" s="1790">
        <f>'Part IX A-Scoring Criteria'!O147</f>
        <v>0</v>
      </c>
      <c r="P1578" s="1790">
        <f>'Part IX A-Scoring Criteria'!P147</f>
        <v>0</v>
      </c>
    </row>
    <row r="1579" spans="1:19">
      <c r="B1579" s="1765"/>
      <c r="C1579" s="519"/>
      <c r="K1579" s="1728"/>
      <c r="M1579" s="1520"/>
      <c r="N1579" s="1520"/>
      <c r="O1579" s="1520"/>
      <c r="P1579" s="1520"/>
    </row>
    <row r="1580" spans="1:19">
      <c r="A1580" s="1711" t="s">
        <v>2068</v>
      </c>
      <c r="B1580" s="1700" t="s">
        <v>3720</v>
      </c>
      <c r="G1580" s="1886" t="s">
        <v>3848</v>
      </c>
      <c r="K1580" s="1728"/>
      <c r="L1580" s="1921" t="str">
        <f>'Part IX A-Scoring Criteria'!L149</f>
        <v>Enter page nbr(s) here</v>
      </c>
      <c r="M1580" s="1512">
        <v>3</v>
      </c>
      <c r="N1580" s="1765" t="s">
        <v>2068</v>
      </c>
      <c r="O1580" s="1790">
        <f>'Part IX A-Scoring Criteria'!O149</f>
        <v>0</v>
      </c>
      <c r="P1580" s="1790">
        <f>'Part IX A-Scoring Criteria'!P149</f>
        <v>0</v>
      </c>
    </row>
    <row r="1581" spans="1:19">
      <c r="A1581" s="1791"/>
      <c r="G1581" s="1886" t="s">
        <v>4104</v>
      </c>
      <c r="L1581" s="1922" t="str">
        <f>'Part I-Project Information'!$O$28</f>
        <v>66.01</v>
      </c>
      <c r="M1581" s="1922"/>
    </row>
    <row r="1582" spans="1:19">
      <c r="A1582" s="1791"/>
      <c r="B1582" s="1886"/>
      <c r="D1582" s="1843"/>
      <c r="G1582" s="1886" t="s">
        <v>3726</v>
      </c>
      <c r="K1582" s="1728"/>
      <c r="L1582" s="1886" t="str">
        <f>'Part I-Project Information'!$N$29</f>
        <v>Yes</v>
      </c>
    </row>
    <row r="1583" spans="1:19">
      <c r="A1583" s="1791"/>
      <c r="B1583" s="1886"/>
      <c r="D1583" s="1843"/>
      <c r="E1583" s="1886"/>
      <c r="G1583" s="1728" t="s">
        <v>3722</v>
      </c>
      <c r="K1583" s="1728"/>
      <c r="L1583" s="1728" t="str">
        <f>'Part IV-Uses of Funds'!$H$151</f>
        <v>DDA/QCT</v>
      </c>
    </row>
    <row r="1584" spans="1:19">
      <c r="A1584" s="1711" t="s">
        <v>2071</v>
      </c>
      <c r="B1584" s="1700" t="s">
        <v>3723</v>
      </c>
      <c r="D1584" s="518"/>
      <c r="M1584" s="1518">
        <v>2</v>
      </c>
    </row>
    <row r="1585" spans="1:19" ht="13.5">
      <c r="A1585" s="1791"/>
      <c r="B1585" s="502" t="s">
        <v>3725</v>
      </c>
      <c r="N1585" s="1765" t="s">
        <v>2071</v>
      </c>
      <c r="O1585" s="1790">
        <f>'Part IX A-Scoring Criteria'!O154</f>
        <v>0</v>
      </c>
      <c r="P1585" s="1790">
        <f>'Part IX A-Scoring Criteria'!P154</f>
        <v>0</v>
      </c>
      <c r="Q1585" s="1732"/>
    </row>
    <row r="1586" spans="1:19">
      <c r="A1586" s="1711" t="s">
        <v>786</v>
      </c>
      <c r="B1586" s="1700" t="s">
        <v>3027</v>
      </c>
      <c r="C1586" s="1700"/>
      <c r="D1586" s="518"/>
      <c r="M1586" s="1512"/>
      <c r="N1586" s="1518"/>
      <c r="O1586" s="1787"/>
      <c r="P1586" s="1787"/>
    </row>
    <row r="1587" spans="1:19" ht="12.75" customHeight="1">
      <c r="B1587" s="1909"/>
      <c r="C1587" s="1792" t="s">
        <v>4615</v>
      </c>
      <c r="D1587" s="1792"/>
      <c r="E1587" s="1792"/>
      <c r="F1587" s="1792"/>
      <c r="G1587" s="1792"/>
      <c r="H1587" s="1792"/>
      <c r="I1587" s="1792"/>
      <c r="J1587" s="1792"/>
      <c r="K1587" s="1792"/>
      <c r="L1587" s="1792"/>
      <c r="M1587" s="1898">
        <v>10</v>
      </c>
      <c r="N1587" s="1833" t="s">
        <v>786</v>
      </c>
      <c r="O1587" s="1790">
        <f>'Part IX A-Scoring Criteria'!O156</f>
        <v>0</v>
      </c>
      <c r="P1587" s="1790">
        <f>'Part IX A-Scoring Criteria'!P156</f>
        <v>0</v>
      </c>
      <c r="R1587" s="1844" t="s">
        <v>4192</v>
      </c>
      <c r="S1587" s="1844"/>
    </row>
    <row r="1588" spans="1:19">
      <c r="A1588" s="1711" t="s">
        <v>2203</v>
      </c>
      <c r="B1588" s="1700" t="s">
        <v>4184</v>
      </c>
      <c r="C1588" s="1700"/>
      <c r="D1588" s="518"/>
      <c r="J1588" s="1923" t="s">
        <v>4191</v>
      </c>
      <c r="M1588" s="1512">
        <v>4</v>
      </c>
      <c r="N1588" s="1765" t="s">
        <v>2203</v>
      </c>
      <c r="O1588" s="1915">
        <f>'Part IX A-Scoring Criteria'!O157</f>
        <v>0</v>
      </c>
      <c r="P1588" s="1915">
        <f>'Part IX A-Scoring Criteria'!P157</f>
        <v>0</v>
      </c>
      <c r="R1588" s="502" t="s">
        <v>3565</v>
      </c>
      <c r="S1588" s="1843" t="s">
        <v>269</v>
      </c>
    </row>
    <row r="1589" spans="1:19" ht="13.5">
      <c r="B1589" s="1907" t="s">
        <v>2072</v>
      </c>
      <c r="C1589" s="1841" t="s">
        <v>4186</v>
      </c>
      <c r="D1589" s="1841"/>
      <c r="E1589" s="1841"/>
      <c r="F1589" s="1841"/>
      <c r="G1589" s="1841"/>
      <c r="H1589" s="1841"/>
      <c r="I1589" s="1841"/>
      <c r="J1589" s="1924">
        <f>'Part IX A-Scoring Criteria'!J158</f>
        <v>0</v>
      </c>
      <c r="K1589" s="1925" t="s">
        <v>4338</v>
      </c>
      <c r="L1589" s="1925"/>
      <c r="M1589" s="1898"/>
      <c r="N1589" s="1926" t="s">
        <v>2072</v>
      </c>
      <c r="O1589" s="1927" t="str">
        <f>IF(J1589&gt;=12,"Yes","No")</f>
        <v>No</v>
      </c>
      <c r="P1589" s="1790">
        <f>'Part IX A-Scoring Criteria'!P158</f>
        <v>0</v>
      </c>
      <c r="R1589" s="1843">
        <f>IF(O1589="Yes",1,0)</f>
        <v>0</v>
      </c>
      <c r="S1589" s="1843">
        <f>IF(P1589="Yes",1,0)</f>
        <v>0</v>
      </c>
    </row>
    <row r="1590" spans="1:19">
      <c r="B1590" s="1907" t="s">
        <v>2074</v>
      </c>
      <c r="C1590" s="1841" t="s">
        <v>4187</v>
      </c>
      <c r="D1590" s="1841"/>
      <c r="E1590" s="1841"/>
      <c r="F1590" s="1841"/>
      <c r="G1590" s="1841"/>
      <c r="H1590" s="1841"/>
      <c r="I1590" s="1841"/>
      <c r="J1590" s="1924">
        <f>'Part IX A-Scoring Criteria'!J159</f>
        <v>0</v>
      </c>
      <c r="K1590" s="1790">
        <f>'Part IX A-Scoring Criteria'!K159</f>
        <v>0</v>
      </c>
      <c r="L1590" s="1790">
        <f>'Part IX A-Scoring Criteria'!L159</f>
        <v>0</v>
      </c>
      <c r="M1590" s="1898"/>
      <c r="N1590" s="1926" t="s">
        <v>2074</v>
      </c>
      <c r="O1590" s="1927" t="str">
        <f>IF(J1590&gt;=1,"Yes","No")</f>
        <v>No</v>
      </c>
      <c r="P1590" s="1790">
        <f>'Part IX A-Scoring Criteria'!P159</f>
        <v>0</v>
      </c>
      <c r="R1590" s="1843">
        <f t="shared" ref="R1590:S1593" si="318">IF(O1590="Yes",1,0)</f>
        <v>0</v>
      </c>
      <c r="S1590" s="1843">
        <f t="shared" si="318"/>
        <v>0</v>
      </c>
    </row>
    <row r="1591" spans="1:19">
      <c r="B1591" s="1907" t="s">
        <v>2634</v>
      </c>
      <c r="C1591" s="1841" t="s">
        <v>4190</v>
      </c>
      <c r="D1591" s="1841"/>
      <c r="E1591" s="1841"/>
      <c r="F1591" s="1841"/>
      <c r="G1591" s="1841"/>
      <c r="H1591" s="1841"/>
      <c r="I1591" s="1841"/>
      <c r="J1591" s="1924">
        <f>'Part IX A-Scoring Criteria'!J160</f>
        <v>0</v>
      </c>
      <c r="K1591" s="1790">
        <f>'Part IX A-Scoring Criteria'!K160</f>
        <v>0</v>
      </c>
      <c r="L1591" s="1790">
        <f>'Part IX A-Scoring Criteria'!L160</f>
        <v>0</v>
      </c>
      <c r="M1591" s="1898"/>
      <c r="N1591" s="1926" t="s">
        <v>2634</v>
      </c>
      <c r="O1591" s="1927" t="str">
        <f>IF(J1591&gt;=2,"Yes","No")</f>
        <v>No</v>
      </c>
      <c r="P1591" s="1790">
        <f>'Part IX A-Scoring Criteria'!P160</f>
        <v>0</v>
      </c>
      <c r="R1591" s="1843">
        <f t="shared" si="318"/>
        <v>0</v>
      </c>
      <c r="S1591" s="1843">
        <f t="shared" si="318"/>
        <v>0</v>
      </c>
    </row>
    <row r="1592" spans="1:19">
      <c r="B1592" s="1907" t="s">
        <v>1277</v>
      </c>
      <c r="C1592" s="1841" t="s">
        <v>4189</v>
      </c>
      <c r="D1592" s="1841"/>
      <c r="E1592" s="1841"/>
      <c r="F1592" s="1841"/>
      <c r="G1592" s="1841"/>
      <c r="H1592" s="1841"/>
      <c r="I1592" s="1841"/>
      <c r="J1592" s="1924">
        <f>'Part IX A-Scoring Criteria'!J161</f>
        <v>0</v>
      </c>
      <c r="M1592" s="1898"/>
      <c r="N1592" s="1926" t="s">
        <v>1277</v>
      </c>
      <c r="O1592" s="1927" t="str">
        <f>IF(J1592&gt;=2,"Yes","No")</f>
        <v>No</v>
      </c>
      <c r="P1592" s="1790">
        <f>'Part IX A-Scoring Criteria'!P161</f>
        <v>0</v>
      </c>
      <c r="R1592" s="1843">
        <f t="shared" si="318"/>
        <v>0</v>
      </c>
      <c r="S1592" s="1843">
        <f t="shared" si="318"/>
        <v>0</v>
      </c>
    </row>
    <row r="1593" spans="1:19">
      <c r="B1593" s="1907" t="s">
        <v>1278</v>
      </c>
      <c r="C1593" s="1841" t="s">
        <v>4188</v>
      </c>
      <c r="D1593" s="1841"/>
      <c r="E1593" s="1841"/>
      <c r="F1593" s="1841"/>
      <c r="G1593" s="1841"/>
      <c r="H1593" s="1841"/>
      <c r="I1593" s="1841"/>
      <c r="J1593" s="1834" t="s">
        <v>4193</v>
      </c>
      <c r="L1593" s="1928">
        <f>'Part IX A-Scoring Criteria'!L162</f>
        <v>0</v>
      </c>
      <c r="M1593" s="1898"/>
      <c r="N1593" s="1926" t="s">
        <v>1278</v>
      </c>
      <c r="O1593" s="1927" t="str">
        <f>IF(L1593&gt;=15%,"Yes","No")</f>
        <v>No</v>
      </c>
      <c r="P1593" s="1790">
        <f>'Part IX A-Scoring Criteria'!P162</f>
        <v>0</v>
      </c>
      <c r="R1593" s="1843">
        <f t="shared" si="318"/>
        <v>0</v>
      </c>
      <c r="S1593" s="1843">
        <f t="shared" si="318"/>
        <v>0</v>
      </c>
    </row>
    <row r="1594" spans="1:19" ht="15">
      <c r="A1594" s="518"/>
      <c r="B1594" s="1756" t="s">
        <v>268</v>
      </c>
      <c r="C1594" s="518"/>
      <c r="D1594" s="522"/>
      <c r="E1594" s="522"/>
      <c r="F1594" s="522"/>
      <c r="G1594" s="522"/>
      <c r="H1594" s="519"/>
      <c r="I1594" s="519"/>
      <c r="J1594" s="1861"/>
      <c r="K1594" s="1861"/>
      <c r="L1594" s="1861"/>
      <c r="M1594" s="1512"/>
      <c r="N1594" s="1518"/>
      <c r="O1594" s="1857"/>
      <c r="P1594" s="1520"/>
      <c r="Q1594" s="1861"/>
      <c r="R1594" s="1861"/>
      <c r="S1594" s="1861"/>
    </row>
    <row r="1595" spans="1:19" ht="15.75">
      <c r="A1595" s="1792">
        <f>'Part IX A-Scoring Criteria'!A164</f>
        <v>0</v>
      </c>
      <c r="B1595" s="1792"/>
      <c r="C1595" s="1792"/>
      <c r="D1595" s="1792"/>
      <c r="E1595" s="1792"/>
      <c r="F1595" s="1792"/>
      <c r="G1595" s="1792"/>
      <c r="H1595" s="1792"/>
      <c r="I1595" s="1792"/>
      <c r="J1595" s="1792"/>
      <c r="K1595" s="1792"/>
      <c r="L1595" s="1792"/>
      <c r="M1595" s="1792"/>
      <c r="N1595" s="1792"/>
      <c r="O1595" s="1792"/>
      <c r="P1595" s="1792"/>
      <c r="Q1595" s="1866" t="s">
        <v>1308</v>
      </c>
      <c r="R1595" s="1861"/>
      <c r="S1595" s="1861"/>
    </row>
    <row r="1596" spans="1:19" ht="15">
      <c r="A1596" s="518"/>
      <c r="B1596" s="1756" t="s">
        <v>1947</v>
      </c>
      <c r="C1596" s="518"/>
      <c r="D1596" s="1793"/>
      <c r="E1596" s="1795"/>
      <c r="F1596" s="1795"/>
      <c r="G1596" s="1795"/>
      <c r="H1596" s="1795"/>
      <c r="I1596" s="1795"/>
      <c r="J1596" s="1795"/>
      <c r="K1596" s="1795"/>
      <c r="L1596" s="1795"/>
      <c r="M1596" s="1795"/>
      <c r="N1596" s="1889"/>
      <c r="O1596" s="1864"/>
      <c r="P1596" s="1687"/>
      <c r="Q1596" s="1883"/>
      <c r="R1596" s="1861"/>
      <c r="S1596" s="1861"/>
    </row>
    <row r="1597" spans="1:19" ht="15.75">
      <c r="A1597" s="1792">
        <f>'Part IX A-Scoring Criteria'!A166</f>
        <v>0</v>
      </c>
      <c r="B1597" s="1792"/>
      <c r="C1597" s="1792"/>
      <c r="D1597" s="1792"/>
      <c r="E1597" s="1792"/>
      <c r="F1597" s="1792"/>
      <c r="G1597" s="1792"/>
      <c r="H1597" s="1792"/>
      <c r="I1597" s="1792"/>
      <c r="J1597" s="1792"/>
      <c r="K1597" s="1792"/>
      <c r="L1597" s="1792"/>
      <c r="M1597" s="1792"/>
      <c r="N1597" s="1792"/>
      <c r="O1597" s="1792"/>
      <c r="P1597" s="1792"/>
      <c r="Q1597" s="1866" t="s">
        <v>1308</v>
      </c>
      <c r="R1597" s="1861"/>
      <c r="S1597" s="1861"/>
    </row>
    <row r="1598" spans="1:19">
      <c r="N1598" s="1518"/>
      <c r="O1598" s="1520"/>
      <c r="P1598" s="1520"/>
    </row>
    <row r="1599" spans="1:19" ht="15">
      <c r="A1599" s="1858" t="s">
        <v>226</v>
      </c>
      <c r="B1599" s="1859" t="s">
        <v>2556</v>
      </c>
      <c r="C1599" s="1861"/>
      <c r="D1599" s="1890"/>
      <c r="E1599" s="1890"/>
      <c r="F1599" s="1890"/>
      <c r="G1599" s="1861"/>
      <c r="H1599" s="1929" t="s">
        <v>3750</v>
      </c>
      <c r="I1599" s="1861"/>
      <c r="J1599" s="1861"/>
      <c r="K1599" s="522"/>
      <c r="L1599" s="1861"/>
      <c r="M1599" s="1687">
        <v>4</v>
      </c>
      <c r="N1599" s="1512"/>
      <c r="O1599" s="1857">
        <f>'Part IX A-Scoring Criteria'!O168</f>
        <v>0</v>
      </c>
      <c r="P1599" s="1857">
        <f>'Part IX A-Scoring Criteria'!P168</f>
        <v>0</v>
      </c>
      <c r="Q1599" s="1687" t="s">
        <v>459</v>
      </c>
      <c r="R1599" s="1861"/>
      <c r="S1599" s="1861"/>
    </row>
    <row r="1600" spans="1:19">
      <c r="A1600" s="1791"/>
      <c r="B1600" s="1886"/>
      <c r="D1600" s="1843"/>
      <c r="E1600" s="1886"/>
      <c r="H1600" s="1786" t="s">
        <v>3023</v>
      </c>
      <c r="I1600" s="502"/>
      <c r="J1600" s="1786" t="str">
        <f>'Part I-Project Information'!$H$90</f>
        <v>&lt;&lt;Select Pool&gt;&gt;</v>
      </c>
      <c r="K1600" s="1786"/>
    </row>
    <row r="1601" spans="1:19" ht="13.5">
      <c r="A1601" s="1692" t="s">
        <v>2068</v>
      </c>
      <c r="B1601" s="1700" t="s">
        <v>2323</v>
      </c>
      <c r="D1601" s="518"/>
      <c r="E1601" s="518"/>
      <c r="F1601" s="518"/>
      <c r="H1601" s="1786" t="s">
        <v>4484</v>
      </c>
      <c r="I1601" s="502"/>
      <c r="J1601" s="1786" t="str">
        <f>'Part I-Project Information'!$O$24</f>
        <v>No</v>
      </c>
      <c r="K1601" s="1786"/>
      <c r="L1601" s="1930" t="str">
        <f>'Part I-Project Information'!$O$25</f>
        <v>N/A</v>
      </c>
      <c r="M1601" s="1512">
        <v>3</v>
      </c>
      <c r="N1601" s="1765" t="s">
        <v>2068</v>
      </c>
      <c r="O1601" s="1857">
        <f>'Part IX A-Scoring Criteria'!O170</f>
        <v>0</v>
      </c>
      <c r="P1601" s="1857">
        <f>'Part IX A-Scoring Criteria'!P170</f>
        <v>0</v>
      </c>
      <c r="Q1601" s="1732" t="s">
        <v>2834</v>
      </c>
    </row>
    <row r="1602" spans="1:19" ht="12.75" customHeight="1">
      <c r="A1602" s="502"/>
      <c r="B1602" s="1931" t="s">
        <v>2072</v>
      </c>
      <c r="C1602" s="1792" t="s">
        <v>4194</v>
      </c>
      <c r="D1602" s="1629"/>
      <c r="E1602" s="1629"/>
      <c r="F1602" s="1629"/>
      <c r="G1602" s="1629"/>
      <c r="H1602" s="1629"/>
      <c r="I1602" s="1629"/>
      <c r="J1602" s="1629"/>
      <c r="K1602" s="1629"/>
      <c r="L1602" s="1629"/>
      <c r="M1602" s="1898"/>
      <c r="N1602" s="1878" t="s">
        <v>2072</v>
      </c>
      <c r="O1602" s="1790">
        <f>'Part IX A-Scoring Criteria'!O171</f>
        <v>0</v>
      </c>
      <c r="P1602" s="1790">
        <f>'Part IX A-Scoring Criteria'!P171</f>
        <v>0</v>
      </c>
      <c r="Q1602" s="502"/>
      <c r="R1602" s="502"/>
      <c r="S1602" s="502"/>
    </row>
    <row r="1603" spans="1:19">
      <c r="A1603" s="502"/>
      <c r="B1603" s="1881"/>
      <c r="C1603" s="519" t="s">
        <v>1004</v>
      </c>
      <c r="D1603" s="502"/>
      <c r="E1603" s="502"/>
      <c r="F1603" s="502"/>
      <c r="G1603" s="502"/>
      <c r="H1603" s="1886" t="s">
        <v>2683</v>
      </c>
      <c r="I1603" s="502"/>
      <c r="J1603" s="1739">
        <f>'Part IX A-Scoring Criteria'!J172</f>
        <v>0</v>
      </c>
      <c r="K1603" s="1739"/>
      <c r="L1603" s="502"/>
      <c r="M1603" s="502"/>
      <c r="N1603" s="502"/>
      <c r="O1603" s="502"/>
      <c r="P1603" s="502"/>
      <c r="Q1603" s="502"/>
      <c r="R1603" s="502"/>
      <c r="S1603" s="502"/>
    </row>
    <row r="1604" spans="1:19">
      <c r="A1604" s="502"/>
      <c r="B1604" s="1881"/>
      <c r="C1604" s="519"/>
      <c r="D1604" s="502"/>
      <c r="E1604" s="502"/>
      <c r="F1604" s="502"/>
      <c r="G1604" s="502"/>
      <c r="H1604" s="1886" t="s">
        <v>2392</v>
      </c>
      <c r="I1604" s="502"/>
      <c r="J1604" s="1844">
        <f>'Part IX A-Scoring Criteria'!J173</f>
        <v>0</v>
      </c>
      <c r="K1604" s="1844"/>
      <c r="L1604" s="1844"/>
      <c r="M1604" s="502"/>
      <c r="N1604" s="502"/>
      <c r="O1604" s="502"/>
      <c r="P1604" s="502"/>
      <c r="Q1604" s="502"/>
      <c r="R1604" s="502"/>
      <c r="S1604" s="502"/>
    </row>
    <row r="1605" spans="1:19">
      <c r="A1605" s="519"/>
      <c r="B1605" s="1881" t="s">
        <v>2074</v>
      </c>
      <c r="C1605" s="519" t="s">
        <v>1005</v>
      </c>
      <c r="D1605" s="519"/>
      <c r="E1605" s="519"/>
      <c r="F1605" s="519"/>
      <c r="G1605" s="519"/>
      <c r="H1605" s="519"/>
      <c r="I1605" s="519"/>
      <c r="J1605" s="519"/>
      <c r="K1605" s="519"/>
      <c r="L1605" s="519"/>
      <c r="M1605" s="1512"/>
      <c r="N1605" s="1891" t="s">
        <v>2074</v>
      </c>
      <c r="O1605" s="1790">
        <f>'Part IX A-Scoring Criteria'!O174</f>
        <v>0</v>
      </c>
      <c r="P1605" s="1790">
        <f>'Part IX A-Scoring Criteria'!P174</f>
        <v>0</v>
      </c>
      <c r="Q1605" s="519"/>
      <c r="R1605" s="519"/>
      <c r="S1605" s="519"/>
    </row>
    <row r="1606" spans="1:19">
      <c r="A1606" s="519"/>
      <c r="B1606" s="1881" t="s">
        <v>2634</v>
      </c>
      <c r="C1606" s="519" t="s">
        <v>1006</v>
      </c>
      <c r="D1606" s="519"/>
      <c r="E1606" s="519"/>
      <c r="F1606" s="519"/>
      <c r="G1606" s="519"/>
      <c r="H1606" s="519"/>
      <c r="I1606" s="519"/>
      <c r="J1606" s="519"/>
      <c r="K1606" s="519"/>
      <c r="L1606" s="519"/>
      <c r="M1606" s="1512"/>
      <c r="N1606" s="1891" t="s">
        <v>2634</v>
      </c>
      <c r="O1606" s="1790">
        <f>'Part IX A-Scoring Criteria'!O175</f>
        <v>0</v>
      </c>
      <c r="P1606" s="1790">
        <f>'Part IX A-Scoring Criteria'!P175</f>
        <v>0</v>
      </c>
      <c r="Q1606" s="519"/>
      <c r="R1606" s="519"/>
      <c r="S1606" s="519"/>
    </row>
    <row r="1607" spans="1:19">
      <c r="A1607" s="1791"/>
      <c r="B1607" s="1881" t="s">
        <v>1277</v>
      </c>
      <c r="C1607" s="519" t="s">
        <v>1007</v>
      </c>
      <c r="D1607" s="519"/>
      <c r="E1607" s="519"/>
      <c r="F1607" s="519"/>
      <c r="G1607" s="519"/>
      <c r="H1607" s="519"/>
      <c r="I1607" s="519"/>
      <c r="J1607" s="519"/>
      <c r="K1607" s="519"/>
      <c r="L1607" s="519"/>
      <c r="M1607" s="1512"/>
      <c r="N1607" s="1891" t="s">
        <v>1277</v>
      </c>
      <c r="O1607" s="1790">
        <f>'Part IX A-Scoring Criteria'!O176</f>
        <v>0</v>
      </c>
      <c r="P1607" s="1790">
        <f>'Part IX A-Scoring Criteria'!P176</f>
        <v>0</v>
      </c>
      <c r="Q1607" s="519"/>
      <c r="R1607" s="519"/>
      <c r="S1607" s="519"/>
    </row>
    <row r="1608" spans="1:19">
      <c r="A1608" s="1692" t="s">
        <v>2071</v>
      </c>
      <c r="B1608" s="1700" t="s">
        <v>4197</v>
      </c>
      <c r="C1608" s="518"/>
      <c r="D1608" s="518"/>
      <c r="E1608" s="518"/>
      <c r="F1608" s="518"/>
      <c r="G1608" s="518"/>
      <c r="H1608" s="1929" t="s">
        <v>3751</v>
      </c>
      <c r="I1608" s="518"/>
      <c r="J1608" s="518"/>
      <c r="K1608" s="518"/>
      <c r="L1608" s="518"/>
      <c r="M1608" s="1512">
        <v>3</v>
      </c>
      <c r="N1608" s="1765" t="s">
        <v>2071</v>
      </c>
      <c r="O1608" s="1857">
        <f>'Part IX A-Scoring Criteria'!O177</f>
        <v>0</v>
      </c>
      <c r="P1608" s="1857">
        <f>'Part IX A-Scoring Criteria'!P177</f>
        <v>0</v>
      </c>
      <c r="Q1608" s="518"/>
      <c r="R1608" s="518"/>
      <c r="S1608" s="518"/>
    </row>
    <row r="1609" spans="1:19">
      <c r="A1609" s="1692"/>
      <c r="B1609" s="522" t="s">
        <v>4199</v>
      </c>
      <c r="C1609" s="518"/>
      <c r="D1609" s="518"/>
      <c r="E1609" s="518"/>
      <c r="F1609" s="518"/>
      <c r="G1609" s="518"/>
      <c r="H1609" s="1929"/>
      <c r="I1609" s="518"/>
      <c r="J1609" s="518"/>
      <c r="K1609" s="518"/>
      <c r="L1609" s="518"/>
      <c r="M1609" s="518"/>
      <c r="N1609" s="518"/>
      <c r="O1609" s="518"/>
      <c r="P1609" s="518"/>
      <c r="Q1609" s="518"/>
      <c r="R1609" s="518"/>
      <c r="S1609" s="518"/>
    </row>
    <row r="1610" spans="1:19">
      <c r="A1610" s="518"/>
      <c r="B1610" s="1907" t="s">
        <v>2072</v>
      </c>
      <c r="C1610" s="1786" t="s">
        <v>4616</v>
      </c>
      <c r="D1610" s="518"/>
      <c r="E1610" s="518"/>
      <c r="F1610" s="518"/>
      <c r="G1610" s="518"/>
      <c r="H1610" s="518"/>
      <c r="I1610" s="518"/>
      <c r="J1610" s="518"/>
      <c r="K1610" s="518"/>
      <c r="L1610" s="518"/>
      <c r="M1610" s="1512">
        <v>3</v>
      </c>
      <c r="N1610" s="1926" t="s">
        <v>2072</v>
      </c>
      <c r="O1610" s="1857">
        <f>'Part IX A-Scoring Criteria'!O179</f>
        <v>0</v>
      </c>
      <c r="P1610" s="1857">
        <f>'Part IX A-Scoring Criteria'!P179</f>
        <v>0</v>
      </c>
      <c r="Q1610" s="1532" t="s">
        <v>2834</v>
      </c>
      <c r="R1610" s="518"/>
      <c r="S1610" s="518"/>
    </row>
    <row r="1611" spans="1:19">
      <c r="A1611" s="1790" t="s">
        <v>1410</v>
      </c>
      <c r="B1611" s="1909" t="s">
        <v>2074</v>
      </c>
      <c r="C1611" s="1837" t="s">
        <v>4617</v>
      </c>
      <c r="D1611" s="518"/>
      <c r="E1611" s="518"/>
      <c r="F1611" s="518"/>
      <c r="G1611" s="1728"/>
      <c r="H1611" s="1929"/>
      <c r="I1611" s="1728"/>
      <c r="M1611" s="1518">
        <v>2</v>
      </c>
      <c r="N1611" s="1926" t="s">
        <v>2074</v>
      </c>
      <c r="O1611" s="1857">
        <f>'Part IX A-Scoring Criteria'!O180</f>
        <v>0</v>
      </c>
      <c r="P1611" s="1857">
        <f>'Part IX A-Scoring Criteria'!P180</f>
        <v>0</v>
      </c>
      <c r="Q1611" s="1532" t="s">
        <v>2834</v>
      </c>
    </row>
    <row r="1612" spans="1:19">
      <c r="A1612" s="1692" t="s">
        <v>786</v>
      </c>
      <c r="B1612" s="1700" t="s">
        <v>4198</v>
      </c>
      <c r="C1612" s="518"/>
      <c r="D1612" s="518"/>
      <c r="E1612" s="518"/>
      <c r="F1612" s="518"/>
      <c r="G1612" s="518"/>
      <c r="H1612" s="1929" t="s">
        <v>4206</v>
      </c>
      <c r="I1612" s="518"/>
      <c r="J1612" s="518"/>
      <c r="K1612" s="518"/>
      <c r="L1612" s="518"/>
      <c r="M1612" s="1512">
        <v>4</v>
      </c>
      <c r="N1612" s="1765" t="s">
        <v>786</v>
      </c>
      <c r="O1612" s="1857">
        <f>'Part IX A-Scoring Criteria'!O181</f>
        <v>0</v>
      </c>
      <c r="P1612" s="1857">
        <f>'Part IX A-Scoring Criteria'!P181</f>
        <v>0</v>
      </c>
      <c r="Q1612" s="518"/>
      <c r="R1612" s="518"/>
      <c r="S1612" s="518"/>
    </row>
    <row r="1613" spans="1:19">
      <c r="A1613" s="1692"/>
      <c r="B1613" s="522" t="s">
        <v>4203</v>
      </c>
      <c r="C1613" s="518"/>
      <c r="D1613" s="518"/>
      <c r="E1613" s="518"/>
      <c r="F1613" s="518"/>
      <c r="G1613" s="518"/>
      <c r="H1613" s="1929"/>
      <c r="I1613" s="518"/>
      <c r="J1613" s="518"/>
      <c r="K1613" s="518"/>
      <c r="L1613" s="518"/>
      <c r="M1613" s="518"/>
      <c r="N1613" s="518"/>
      <c r="O1613" s="518"/>
      <c r="P1613" s="518"/>
      <c r="Q1613" s="518"/>
      <c r="R1613" s="518"/>
      <c r="S1613" s="518"/>
    </row>
    <row r="1614" spans="1:19">
      <c r="A1614" s="518"/>
      <c r="B1614" s="1907" t="s">
        <v>2072</v>
      </c>
      <c r="C1614" s="1786" t="s">
        <v>4618</v>
      </c>
      <c r="D1614" s="518"/>
      <c r="E1614" s="518"/>
      <c r="F1614" s="518"/>
      <c r="G1614" s="518"/>
      <c r="H1614" s="518"/>
      <c r="I1614" s="518"/>
      <c r="J1614" s="518"/>
      <c r="K1614" s="1697" t="str">
        <f>IF(AND(O1614&gt;0,O1616&gt;0),"Choose either option 1 or option 3!!!","")</f>
        <v/>
      </c>
      <c r="L1614" s="1697"/>
      <c r="M1614" s="1512">
        <v>3</v>
      </c>
      <c r="N1614" s="1926" t="s">
        <v>2072</v>
      </c>
      <c r="O1614" s="1857">
        <f>'Part IX A-Scoring Criteria'!O183</f>
        <v>0</v>
      </c>
      <c r="P1614" s="1857">
        <f>'Part IX A-Scoring Criteria'!P183</f>
        <v>0</v>
      </c>
      <c r="Q1614" s="1532" t="s">
        <v>2834</v>
      </c>
      <c r="R1614" s="518"/>
      <c r="S1614" s="518"/>
    </row>
    <row r="1615" spans="1:19">
      <c r="A1615" s="1790"/>
      <c r="B1615" s="1909" t="s">
        <v>2074</v>
      </c>
      <c r="C1615" s="502" t="s">
        <v>4201</v>
      </c>
      <c r="D1615" s="518"/>
      <c r="E1615" s="518"/>
      <c r="F1615" s="518"/>
      <c r="G1615" s="1728"/>
      <c r="H1615" s="1729" t="s">
        <v>4207</v>
      </c>
      <c r="I1615" s="1728"/>
      <c r="K1615" s="1697"/>
      <c r="L1615" s="1697"/>
      <c r="M1615" s="1518">
        <v>1</v>
      </c>
      <c r="N1615" s="1926" t="s">
        <v>2074</v>
      </c>
      <c r="O1615" s="1857">
        <f>'Part IX A-Scoring Criteria'!O184</f>
        <v>0</v>
      </c>
      <c r="P1615" s="1857">
        <f>'Part IX A-Scoring Criteria'!P184</f>
        <v>0</v>
      </c>
      <c r="Q1615" s="1532" t="s">
        <v>2834</v>
      </c>
    </row>
    <row r="1616" spans="1:19">
      <c r="A1616" s="1790" t="s">
        <v>1410</v>
      </c>
      <c r="B1616" s="1909" t="s">
        <v>2634</v>
      </c>
      <c r="C1616" s="1837" t="s">
        <v>4619</v>
      </c>
      <c r="D1616" s="518"/>
      <c r="E1616" s="518"/>
      <c r="F1616" s="518"/>
      <c r="G1616" s="1728"/>
      <c r="H1616" s="1929"/>
      <c r="I1616" s="1728"/>
      <c r="K1616" s="1697"/>
      <c r="L1616" s="1697"/>
      <c r="M1616" s="1518">
        <v>2</v>
      </c>
      <c r="N1616" s="1926" t="s">
        <v>2634</v>
      </c>
      <c r="O1616" s="1857">
        <f>'Part IX A-Scoring Criteria'!O185</f>
        <v>0</v>
      </c>
      <c r="P1616" s="1857">
        <f>'Part IX A-Scoring Criteria'!P185</f>
        <v>0</v>
      </c>
      <c r="Q1616" s="1532" t="s">
        <v>2834</v>
      </c>
    </row>
    <row r="1617" spans="1:19" ht="15">
      <c r="A1617" s="518"/>
      <c r="B1617" s="1756" t="s">
        <v>268</v>
      </c>
      <c r="C1617" s="518"/>
      <c r="D1617" s="522"/>
      <c r="E1617" s="522"/>
      <c r="F1617" s="522"/>
      <c r="G1617" s="522"/>
      <c r="H1617" s="519"/>
      <c r="I1617" s="519"/>
      <c r="J1617" s="519"/>
      <c r="K1617" s="519"/>
      <c r="L1617" s="1861"/>
      <c r="M1617" s="1512"/>
      <c r="N1617" s="1518"/>
      <c r="O1617" s="1857"/>
      <c r="P1617" s="1520"/>
      <c r="Q1617" s="1861"/>
      <c r="R1617" s="1861"/>
      <c r="S1617" s="1861"/>
    </row>
    <row r="1618" spans="1:19" ht="15.75">
      <c r="A1618" s="1792">
        <f>'Part IX A-Scoring Criteria'!A187</f>
        <v>0</v>
      </c>
      <c r="B1618" s="1792"/>
      <c r="C1618" s="1792"/>
      <c r="D1618" s="1792"/>
      <c r="E1618" s="1792"/>
      <c r="F1618" s="1792"/>
      <c r="G1618" s="1792"/>
      <c r="H1618" s="1792"/>
      <c r="I1618" s="1792"/>
      <c r="J1618" s="1792"/>
      <c r="K1618" s="1792"/>
      <c r="L1618" s="1792"/>
      <c r="M1618" s="1792"/>
      <c r="N1618" s="1792"/>
      <c r="O1618" s="1792"/>
      <c r="P1618" s="1792"/>
      <c r="Q1618" s="1866" t="s">
        <v>1308</v>
      </c>
      <c r="R1618" s="1861"/>
      <c r="S1618" s="1861"/>
    </row>
    <row r="1619" spans="1:19" ht="15">
      <c r="A1619" s="518"/>
      <c r="B1619" s="1756" t="s">
        <v>1947</v>
      </c>
      <c r="C1619" s="518"/>
      <c r="D1619" s="1793"/>
      <c r="E1619" s="1795"/>
      <c r="F1619" s="1795"/>
      <c r="G1619" s="1795"/>
      <c r="H1619" s="1795"/>
      <c r="I1619" s="1795"/>
      <c r="J1619" s="1795"/>
      <c r="K1619" s="1795"/>
      <c r="L1619" s="1795"/>
      <c r="M1619" s="1795"/>
      <c r="N1619" s="1889"/>
      <c r="O1619" s="1864"/>
      <c r="P1619" s="1687"/>
      <c r="Q1619" s="1883"/>
      <c r="R1619" s="1861"/>
      <c r="S1619" s="1861"/>
    </row>
    <row r="1620" spans="1:19" ht="15.75">
      <c r="A1620" s="1792">
        <f>'Part IX A-Scoring Criteria'!A189</f>
        <v>0</v>
      </c>
      <c r="B1620" s="1792"/>
      <c r="C1620" s="1792"/>
      <c r="D1620" s="1792"/>
      <c r="E1620" s="1792"/>
      <c r="F1620" s="1792"/>
      <c r="G1620" s="1792"/>
      <c r="H1620" s="1792"/>
      <c r="I1620" s="1792"/>
      <c r="J1620" s="1792"/>
      <c r="K1620" s="1792"/>
      <c r="L1620" s="1792"/>
      <c r="M1620" s="1792"/>
      <c r="N1620" s="1792"/>
      <c r="O1620" s="1792"/>
      <c r="P1620" s="1792"/>
      <c r="Q1620" s="1866" t="s">
        <v>1308</v>
      </c>
      <c r="R1620" s="1861"/>
      <c r="S1620" s="1861"/>
    </row>
    <row r="1621" spans="1:19">
      <c r="N1621" s="1518"/>
      <c r="O1621" s="1520"/>
      <c r="P1621" s="1520"/>
    </row>
    <row r="1622" spans="1:19" ht="15">
      <c r="A1622" s="1858" t="s">
        <v>227</v>
      </c>
      <c r="B1622" s="1859" t="s">
        <v>3743</v>
      </c>
      <c r="C1622" s="1861"/>
      <c r="D1622" s="1861"/>
      <c r="E1622" s="1890"/>
      <c r="F1622" s="1890"/>
      <c r="G1622" s="1861"/>
      <c r="H1622" s="1929"/>
      <c r="I1622" s="1861"/>
      <c r="J1622" s="1861"/>
      <c r="K1622" s="522"/>
      <c r="L1622" s="1871"/>
      <c r="M1622" s="1687">
        <v>2</v>
      </c>
      <c r="N1622" s="1905"/>
      <c r="O1622" s="1857">
        <f>'Part IX A-Scoring Criteria'!O191</f>
        <v>2</v>
      </c>
      <c r="P1622" s="1857">
        <f>'Part IX A-Scoring Criteria'!P191</f>
        <v>2</v>
      </c>
      <c r="Q1622" s="1687" t="s">
        <v>459</v>
      </c>
      <c r="R1622" s="1844" t="s">
        <v>4192</v>
      </c>
      <c r="S1622" s="1844"/>
    </row>
    <row r="1623" spans="1:19">
      <c r="B1623" s="502" t="s">
        <v>1739</v>
      </c>
      <c r="M1623" s="1903"/>
      <c r="O1623" s="1843" t="s">
        <v>2609</v>
      </c>
      <c r="P1623" s="1843" t="s">
        <v>2609</v>
      </c>
      <c r="R1623" s="502" t="s">
        <v>3565</v>
      </c>
      <c r="S1623" s="1843" t="s">
        <v>269</v>
      </c>
    </row>
    <row r="1624" spans="1:19" ht="12.75" customHeight="1">
      <c r="A1624" s="1828" t="s">
        <v>2068</v>
      </c>
      <c r="B1624" s="1792" t="s">
        <v>4208</v>
      </c>
      <c r="C1624" s="1792"/>
      <c r="D1624" s="1792"/>
      <c r="E1624" s="1792"/>
      <c r="F1624" s="1792"/>
      <c r="G1624" s="1792"/>
      <c r="H1624" s="1792"/>
      <c r="I1624" s="1792"/>
      <c r="J1624" s="1792"/>
      <c r="K1624" s="1792"/>
      <c r="L1624" s="1792"/>
      <c r="M1624" s="1629"/>
      <c r="N1624" s="1833" t="s">
        <v>2068</v>
      </c>
      <c r="O1624" s="1790">
        <f>'Part IX A-Scoring Criteria'!O193</f>
        <v>0</v>
      </c>
      <c r="P1624" s="1790">
        <f>'Part IX A-Scoring Criteria'!P193</f>
        <v>0</v>
      </c>
      <c r="Q1624" s="1832"/>
      <c r="R1624" s="1834">
        <f t="shared" ref="R1624:S1627" si="319">IF(O1624="Yes",1,0)</f>
        <v>0</v>
      </c>
      <c r="S1624" s="1834">
        <f t="shared" si="319"/>
        <v>0</v>
      </c>
    </row>
    <row r="1625" spans="1:19" ht="12.75" customHeight="1">
      <c r="A1625" s="1828" t="s">
        <v>2071</v>
      </c>
      <c r="B1625" s="1792" t="s">
        <v>2866</v>
      </c>
      <c r="C1625" s="1792"/>
      <c r="D1625" s="1792"/>
      <c r="E1625" s="1792"/>
      <c r="F1625" s="1792"/>
      <c r="G1625" s="1792"/>
      <c r="H1625" s="1792"/>
      <c r="I1625" s="1792"/>
      <c r="J1625" s="1792"/>
      <c r="K1625" s="1792"/>
      <c r="L1625" s="1792"/>
      <c r="M1625" s="1629"/>
      <c r="N1625" s="1833" t="s">
        <v>2071</v>
      </c>
      <c r="O1625" s="1790">
        <f>'Part IX A-Scoring Criteria'!O194</f>
        <v>0</v>
      </c>
      <c r="P1625" s="1790">
        <f>'Part IX A-Scoring Criteria'!P194</f>
        <v>0</v>
      </c>
      <c r="Q1625" s="1832"/>
      <c r="R1625" s="1834">
        <f t="shared" si="319"/>
        <v>0</v>
      </c>
      <c r="S1625" s="1834">
        <f t="shared" si="319"/>
        <v>0</v>
      </c>
    </row>
    <row r="1626" spans="1:19">
      <c r="A1626" s="1828" t="s">
        <v>786</v>
      </c>
      <c r="B1626" s="1815" t="s">
        <v>1740</v>
      </c>
      <c r="C1626" s="1832"/>
      <c r="D1626" s="1832"/>
      <c r="E1626" s="1832"/>
      <c r="F1626" s="1832"/>
      <c r="G1626" s="1832"/>
      <c r="H1626" s="1832"/>
      <c r="I1626" s="1832"/>
      <c r="J1626" s="1832"/>
      <c r="K1626" s="1832"/>
      <c r="L1626" s="1832"/>
      <c r="M1626" s="1932"/>
      <c r="N1626" s="1765" t="s">
        <v>786</v>
      </c>
      <c r="O1626" s="1790">
        <f>'Part IX A-Scoring Criteria'!O195</f>
        <v>0</v>
      </c>
      <c r="P1626" s="1790">
        <f>'Part IX A-Scoring Criteria'!P195</f>
        <v>0</v>
      </c>
      <c r="Q1626" s="1832"/>
      <c r="R1626" s="1843">
        <f t="shared" si="319"/>
        <v>0</v>
      </c>
      <c r="S1626" s="1843">
        <f t="shared" si="319"/>
        <v>0</v>
      </c>
    </row>
    <row r="1627" spans="1:19">
      <c r="A1627" s="1828" t="s">
        <v>2203</v>
      </c>
      <c r="B1627" s="1815" t="s">
        <v>4209</v>
      </c>
      <c r="C1627" s="1832"/>
      <c r="D1627" s="1832"/>
      <c r="E1627" s="1832"/>
      <c r="F1627" s="1832"/>
      <c r="G1627" s="1832"/>
      <c r="H1627" s="1832"/>
      <c r="I1627" s="1832"/>
      <c r="J1627" s="1832"/>
      <c r="K1627" s="1832"/>
      <c r="L1627" s="1832"/>
      <c r="M1627" s="1932"/>
      <c r="N1627" s="1765" t="s">
        <v>2203</v>
      </c>
      <c r="O1627" s="1790">
        <f>'Part IX A-Scoring Criteria'!O196</f>
        <v>0</v>
      </c>
      <c r="P1627" s="1790">
        <f>'Part IX A-Scoring Criteria'!P196</f>
        <v>0</v>
      </c>
      <c r="Q1627" s="1832"/>
      <c r="R1627" s="1843">
        <f t="shared" si="319"/>
        <v>0</v>
      </c>
      <c r="S1627" s="1843">
        <f t="shared" si="319"/>
        <v>0</v>
      </c>
    </row>
    <row r="1628" spans="1:19" ht="15">
      <c r="A1628" s="1833"/>
      <c r="B1628" s="1756" t="s">
        <v>268</v>
      </c>
      <c r="C1628" s="518"/>
      <c r="D1628" s="522"/>
      <c r="E1628" s="522"/>
      <c r="F1628" s="522"/>
      <c r="G1628" s="522"/>
      <c r="H1628" s="519"/>
      <c r="I1628" s="519"/>
      <c r="J1628" s="519"/>
      <c r="K1628" s="519"/>
      <c r="L1628" s="1861"/>
      <c r="M1628" s="1512"/>
      <c r="N1628" s="1518"/>
      <c r="O1628" s="1857"/>
      <c r="P1628" s="1520"/>
      <c r="Q1628" s="1861"/>
      <c r="R1628" s="1861"/>
      <c r="S1628" s="1861"/>
    </row>
    <row r="1629" spans="1:19" ht="15.75">
      <c r="A1629" s="1792">
        <f>'Part IX A-Scoring Criteria'!A198</f>
        <v>0</v>
      </c>
      <c r="B1629" s="1792"/>
      <c r="C1629" s="1792"/>
      <c r="D1629" s="1792"/>
      <c r="E1629" s="1792"/>
      <c r="F1629" s="1792"/>
      <c r="G1629" s="1792"/>
      <c r="H1629" s="1792"/>
      <c r="I1629" s="1792"/>
      <c r="J1629" s="1792"/>
      <c r="K1629" s="1792"/>
      <c r="L1629" s="1792"/>
      <c r="M1629" s="1792"/>
      <c r="N1629" s="1792"/>
      <c r="O1629" s="1792"/>
      <c r="P1629" s="1792"/>
      <c r="Q1629" s="1866" t="s">
        <v>1308</v>
      </c>
      <c r="R1629" s="1861"/>
      <c r="S1629" s="1861"/>
    </row>
    <row r="1630" spans="1:19" ht="15">
      <c r="A1630" s="518"/>
      <c r="B1630" s="1756" t="s">
        <v>1947</v>
      </c>
      <c r="C1630" s="518"/>
      <c r="D1630" s="1793"/>
      <c r="E1630" s="1795"/>
      <c r="F1630" s="1795"/>
      <c r="G1630" s="1795"/>
      <c r="H1630" s="1795"/>
      <c r="I1630" s="1795"/>
      <c r="J1630" s="1795"/>
      <c r="K1630" s="1795"/>
      <c r="L1630" s="1795"/>
      <c r="M1630" s="1795"/>
      <c r="N1630" s="1889"/>
      <c r="O1630" s="1864"/>
      <c r="P1630" s="1687"/>
      <c r="Q1630" s="1883"/>
      <c r="R1630" s="1861"/>
      <c r="S1630" s="1861"/>
    </row>
    <row r="1631" spans="1:19" ht="15.75">
      <c r="A1631" s="1792">
        <f>'Part IX A-Scoring Criteria'!A200</f>
        <v>0</v>
      </c>
      <c r="B1631" s="1792"/>
      <c r="C1631" s="1792"/>
      <c r="D1631" s="1792"/>
      <c r="E1631" s="1792"/>
      <c r="F1631" s="1792"/>
      <c r="G1631" s="1792"/>
      <c r="H1631" s="1792"/>
      <c r="I1631" s="1792"/>
      <c r="J1631" s="1792"/>
      <c r="K1631" s="1792"/>
      <c r="L1631" s="1792"/>
      <c r="M1631" s="1792"/>
      <c r="N1631" s="1792"/>
      <c r="O1631" s="1792"/>
      <c r="P1631" s="1792"/>
      <c r="Q1631" s="1866" t="s">
        <v>1308</v>
      </c>
      <c r="R1631" s="1861"/>
      <c r="S1631" s="1861"/>
    </row>
    <row r="1632" spans="1:19">
      <c r="N1632" s="1518"/>
      <c r="O1632" s="1520"/>
      <c r="P1632" s="1520"/>
    </row>
    <row r="1633" spans="1:19" ht="15">
      <c r="A1633" s="1933" t="s">
        <v>228</v>
      </c>
      <c r="B1633" s="1859" t="s">
        <v>3065</v>
      </c>
      <c r="C1633" s="1861"/>
      <c r="D1633" s="1890"/>
      <c r="E1633" s="1890"/>
      <c r="F1633" s="1890"/>
      <c r="G1633" s="1861"/>
      <c r="H1633" s="519"/>
      <c r="I1633" s="1929" t="s">
        <v>415</v>
      </c>
      <c r="J1633" s="1861"/>
      <c r="K1633" s="522"/>
      <c r="L1633" s="1861"/>
      <c r="M1633" s="1687">
        <v>1</v>
      </c>
      <c r="N1633" s="1512"/>
      <c r="O1633" s="1857">
        <f>'Part IX A-Scoring Criteria'!O202</f>
        <v>0</v>
      </c>
      <c r="P1633" s="1857">
        <f>'Part IX A-Scoring Criteria'!P202</f>
        <v>0</v>
      </c>
      <c r="Q1633" s="1687" t="s">
        <v>459</v>
      </c>
      <c r="R1633" s="1861"/>
      <c r="S1633" s="1861"/>
    </row>
    <row r="1634" spans="1:19" ht="15">
      <c r="A1634" s="1711" t="s">
        <v>2068</v>
      </c>
      <c r="B1634" s="1700" t="s">
        <v>2324</v>
      </c>
      <c r="C1634" s="1876"/>
      <c r="D1634" s="1929"/>
      <c r="E1634" s="1929"/>
      <c r="F1634" s="1855"/>
      <c r="H1634" s="1876"/>
      <c r="I1634" s="1876"/>
      <c r="J1634" s="1876"/>
      <c r="K1634" s="1876"/>
      <c r="L1634" s="1876"/>
      <c r="M1634" s="1512">
        <v>1</v>
      </c>
      <c r="N1634" s="1765" t="s">
        <v>2068</v>
      </c>
      <c r="O1634" s="1857">
        <f>'Part IX A-Scoring Criteria'!O203</f>
        <v>0</v>
      </c>
      <c r="P1634" s="1857">
        <f>'Part IX A-Scoring Criteria'!P203</f>
        <v>0</v>
      </c>
      <c r="Q1634" s="1732" t="s">
        <v>2834</v>
      </c>
      <c r="R1634" s="1876"/>
      <c r="S1634" s="1876"/>
    </row>
    <row r="1635" spans="1:19" ht="15">
      <c r="A1635" s="1711"/>
      <c r="B1635" s="1728" t="s">
        <v>2809</v>
      </c>
      <c r="C1635" s="1876"/>
      <c r="D1635" s="1929"/>
      <c r="E1635" s="1929"/>
      <c r="F1635" s="1855"/>
      <c r="H1635" s="1876"/>
      <c r="I1635" s="1876"/>
      <c r="J1635" s="1876"/>
      <c r="K1635" s="1765"/>
      <c r="L1635" s="1876"/>
      <c r="M1635" s="1512"/>
      <c r="N1635" s="1765"/>
      <c r="O1635" s="1790">
        <f>'Part IX A-Scoring Criteria'!O204</f>
        <v>0</v>
      </c>
      <c r="P1635" s="1790">
        <f>'Part IX A-Scoring Criteria'!P204</f>
        <v>0</v>
      </c>
      <c r="Q1635" s="1732"/>
      <c r="R1635" s="1871"/>
      <c r="S1635" s="1876"/>
    </row>
    <row r="1636" spans="1:19" ht="15">
      <c r="A1636" s="1711" t="s">
        <v>2071</v>
      </c>
      <c r="B1636" s="1700" t="s">
        <v>2325</v>
      </c>
      <c r="C1636" s="1861"/>
      <c r="D1636" s="519"/>
      <c r="E1636" s="1861"/>
      <c r="F1636" s="1861"/>
      <c r="G1636" s="1861"/>
      <c r="H1636" s="1861"/>
      <c r="I1636" s="1861"/>
      <c r="J1636" s="1861"/>
      <c r="K1636" s="519"/>
      <c r="L1636" s="1876"/>
      <c r="M1636" s="1512">
        <v>1</v>
      </c>
      <c r="N1636" s="1765" t="s">
        <v>2071</v>
      </c>
      <c r="O1636" s="1857">
        <f>'Part IX A-Scoring Criteria'!O205</f>
        <v>0</v>
      </c>
      <c r="P1636" s="1857">
        <f>'Part IX A-Scoring Criteria'!P205</f>
        <v>0</v>
      </c>
      <c r="Q1636" s="1732" t="s">
        <v>2834</v>
      </c>
      <c r="R1636" s="1861"/>
      <c r="S1636" s="1861"/>
    </row>
    <row r="1637" spans="1:19" ht="15">
      <c r="A1637" s="1711"/>
      <c r="B1637" s="1728" t="s">
        <v>4210</v>
      </c>
      <c r="C1637" s="1861"/>
      <c r="D1637" s="519"/>
      <c r="E1637" s="1861"/>
      <c r="F1637" s="1861"/>
      <c r="G1637" s="1861"/>
      <c r="H1637" s="1787"/>
      <c r="I1637" s="1861"/>
      <c r="J1637" s="1861"/>
      <c r="K1637" s="519"/>
      <c r="L1637" s="1876"/>
      <c r="M1637" s="1512"/>
      <c r="N1637" s="1765"/>
      <c r="O1637" s="1790">
        <f>'Part IX A-Scoring Criteria'!O206</f>
        <v>0</v>
      </c>
      <c r="P1637" s="1790">
        <f>'Part IX A-Scoring Criteria'!P206</f>
        <v>0</v>
      </c>
      <c r="Q1637" s="1732"/>
      <c r="R1637" s="1871"/>
      <c r="S1637" s="1861"/>
    </row>
    <row r="1638" spans="1:19" ht="15">
      <c r="A1638" s="518"/>
      <c r="B1638" s="1793" t="s">
        <v>1947</v>
      </c>
      <c r="C1638" s="518"/>
      <c r="D1638" s="1793"/>
      <c r="E1638" s="1795"/>
      <c r="F1638" s="1795"/>
      <c r="G1638" s="1795"/>
      <c r="H1638" s="1795"/>
      <c r="I1638" s="1795"/>
      <c r="J1638" s="1795"/>
      <c r="K1638" s="1795"/>
      <c r="L1638" s="1795"/>
      <c r="M1638" s="1795"/>
      <c r="N1638" s="1889"/>
      <c r="O1638" s="1864"/>
      <c r="P1638" s="1687"/>
      <c r="Q1638" s="1883"/>
      <c r="R1638" s="1861"/>
      <c r="S1638" s="1861"/>
    </row>
    <row r="1639" spans="1:19" ht="15.75">
      <c r="A1639" s="1792">
        <f>'Part IX A-Scoring Criteria'!A208</f>
        <v>0</v>
      </c>
      <c r="B1639" s="1792"/>
      <c r="C1639" s="1792"/>
      <c r="D1639" s="1792"/>
      <c r="E1639" s="1792"/>
      <c r="F1639" s="1792"/>
      <c r="G1639" s="1792"/>
      <c r="H1639" s="1792"/>
      <c r="I1639" s="1792"/>
      <c r="J1639" s="1792"/>
      <c r="K1639" s="1792"/>
      <c r="L1639" s="1792"/>
      <c r="M1639" s="1792"/>
      <c r="N1639" s="1792"/>
      <c r="O1639" s="1792"/>
      <c r="P1639" s="1792"/>
      <c r="Q1639" s="1866" t="s">
        <v>1308</v>
      </c>
      <c r="R1639" s="1861"/>
      <c r="S1639" s="1861"/>
    </row>
    <row r="1640" spans="1:19" ht="15">
      <c r="A1640" s="518"/>
      <c r="B1640" s="518"/>
      <c r="C1640" s="1795"/>
      <c r="D1640" s="1795"/>
      <c r="E1640" s="1795"/>
      <c r="F1640" s="1795"/>
      <c r="G1640" s="1795"/>
      <c r="H1640" s="1795"/>
      <c r="I1640" s="1795"/>
      <c r="J1640" s="1795"/>
      <c r="K1640" s="1795"/>
      <c r="L1640" s="1795"/>
      <c r="M1640" s="1795"/>
      <c r="N1640" s="1889"/>
      <c r="O1640" s="1864"/>
      <c r="P1640" s="1687"/>
      <c r="Q1640" s="1861"/>
      <c r="R1640" s="1861"/>
      <c r="S1640" s="1861"/>
    </row>
    <row r="1641" spans="1:19" ht="15">
      <c r="A1641" s="1933" t="s">
        <v>246</v>
      </c>
      <c r="B1641" s="1869" t="s">
        <v>3744</v>
      </c>
      <c r="C1641" s="1750"/>
      <c r="D1641" s="1844"/>
      <c r="E1641" s="519"/>
      <c r="F1641" s="1861"/>
      <c r="G1641" s="1861"/>
      <c r="H1641" s="1861"/>
      <c r="I1641" s="1861"/>
      <c r="J1641" s="1861"/>
      <c r="K1641" s="1861"/>
      <c r="L1641" s="1861"/>
      <c r="M1641" s="1687">
        <v>3</v>
      </c>
      <c r="N1641" s="1512"/>
      <c r="O1641" s="1512"/>
      <c r="P1641" s="1687"/>
      <c r="Q1641" s="1687" t="s">
        <v>459</v>
      </c>
      <c r="R1641" s="1861"/>
      <c r="S1641" s="1861"/>
    </row>
    <row r="1642" spans="1:19" ht="15">
      <c r="A1642" s="1933"/>
      <c r="B1642" s="1728" t="s">
        <v>2800</v>
      </c>
      <c r="C1642" s="1750"/>
      <c r="D1642" s="1844"/>
      <c r="E1642" s="519"/>
      <c r="F1642" s="1861"/>
      <c r="G1642" s="1861"/>
      <c r="H1642" s="1861"/>
      <c r="I1642" s="1515" t="str">
        <f>'Part I-Project Information'!$H$86</f>
        <v>No</v>
      </c>
      <c r="J1642" s="1861"/>
      <c r="K1642" s="1861"/>
      <c r="L1642" s="1861"/>
      <c r="M1642" s="1687"/>
      <c r="N1642" s="1687"/>
      <c r="O1642" s="1843" t="s">
        <v>2609</v>
      </c>
      <c r="P1642" s="1843" t="s">
        <v>2609</v>
      </c>
      <c r="Q1642" s="1687"/>
      <c r="R1642" s="1861"/>
      <c r="S1642" s="1861"/>
    </row>
    <row r="1643" spans="1:19" ht="15">
      <c r="A1643" s="1711"/>
      <c r="B1643" s="502" t="s">
        <v>3863</v>
      </c>
      <c r="C1643" s="1861"/>
      <c r="D1643" s="518"/>
      <c r="E1643" s="1861"/>
      <c r="F1643" s="1861"/>
      <c r="G1643" s="1861"/>
      <c r="H1643" s="1861"/>
      <c r="I1643" s="1861"/>
      <c r="J1643" s="1861"/>
      <c r="K1643" s="1861"/>
      <c r="L1643" s="1861"/>
      <c r="M1643" s="1861"/>
      <c r="N1643" s="1765"/>
      <c r="O1643" s="1790">
        <f>'Part IX A-Scoring Criteria'!O212</f>
        <v>0</v>
      </c>
      <c r="P1643" s="1790">
        <f>'Part IX A-Scoring Criteria'!P212</f>
        <v>0</v>
      </c>
      <c r="Q1643" s="1861"/>
      <c r="R1643" s="1871"/>
      <c r="S1643" s="1861"/>
    </row>
    <row r="1644" spans="1:19" ht="15">
      <c r="A1644" s="1711"/>
      <c r="B1644" s="502" t="s">
        <v>3864</v>
      </c>
      <c r="C1644" s="1861"/>
      <c r="D1644" s="518"/>
      <c r="E1644" s="1861"/>
      <c r="F1644" s="1861"/>
      <c r="G1644" s="1861"/>
      <c r="H1644" s="1861"/>
      <c r="I1644" s="1861"/>
      <c r="J1644" s="1861"/>
      <c r="K1644" s="1861"/>
      <c r="L1644" s="1861"/>
      <c r="M1644" s="1861"/>
      <c r="N1644" s="1765"/>
      <c r="O1644" s="1790">
        <f>'Part IX A-Scoring Criteria'!O213</f>
        <v>0</v>
      </c>
      <c r="P1644" s="1790">
        <f>'Part IX A-Scoring Criteria'!P213</f>
        <v>0</v>
      </c>
      <c r="Q1644" s="1861"/>
      <c r="R1644" s="1871"/>
      <c r="S1644" s="1861"/>
    </row>
    <row r="1645" spans="1:19" ht="15">
      <c r="A1645" s="1711"/>
      <c r="B1645" s="502" t="s">
        <v>4211</v>
      </c>
      <c r="C1645" s="1861"/>
      <c r="D1645" s="518"/>
      <c r="E1645" s="1861"/>
      <c r="F1645" s="1861"/>
      <c r="G1645" s="1861"/>
      <c r="H1645" s="1861"/>
      <c r="I1645" s="1861"/>
      <c r="J1645" s="1861"/>
      <c r="K1645" s="1861"/>
      <c r="L1645" s="1861"/>
      <c r="M1645" s="1861"/>
      <c r="N1645" s="1765"/>
      <c r="O1645" s="1790">
        <f>'Part IX A-Scoring Criteria'!O214</f>
        <v>0</v>
      </c>
      <c r="P1645" s="1790">
        <f>'Part IX A-Scoring Criteria'!P214</f>
        <v>0</v>
      </c>
      <c r="Q1645" s="1861"/>
      <c r="R1645" s="1871"/>
      <c r="S1645" s="1861"/>
    </row>
    <row r="1646" spans="1:19" ht="15">
      <c r="A1646" s="1861"/>
      <c r="B1646" s="1793" t="s">
        <v>1947</v>
      </c>
      <c r="C1646" s="518"/>
      <c r="D1646" s="1793"/>
      <c r="E1646" s="1795"/>
      <c r="F1646" s="1795"/>
      <c r="G1646" s="1795"/>
      <c r="H1646" s="1795"/>
      <c r="I1646" s="1795"/>
      <c r="J1646" s="1795"/>
      <c r="K1646" s="1795"/>
      <c r="L1646" s="1795"/>
      <c r="M1646" s="1795"/>
      <c r="N1646" s="1889"/>
      <c r="O1646" s="1864"/>
      <c r="P1646" s="1687"/>
      <c r="Q1646" s="1883"/>
      <c r="R1646" s="1861"/>
      <c r="S1646" s="1861"/>
    </row>
    <row r="1647" spans="1:19" ht="15.75">
      <c r="A1647" s="1792">
        <f>'Part IX A-Scoring Criteria'!A216</f>
        <v>0</v>
      </c>
      <c r="B1647" s="1792"/>
      <c r="C1647" s="1792"/>
      <c r="D1647" s="1792"/>
      <c r="E1647" s="1792"/>
      <c r="F1647" s="1792"/>
      <c r="G1647" s="1792"/>
      <c r="H1647" s="1792"/>
      <c r="I1647" s="1792"/>
      <c r="J1647" s="1792"/>
      <c r="K1647" s="1792"/>
      <c r="L1647" s="1792"/>
      <c r="M1647" s="1792"/>
      <c r="N1647" s="1792"/>
      <c r="O1647" s="1792"/>
      <c r="P1647" s="1792"/>
      <c r="Q1647" s="1866" t="s">
        <v>1308</v>
      </c>
      <c r="R1647" s="1861"/>
      <c r="S1647" s="1861"/>
    </row>
    <row r="1648" spans="1:19">
      <c r="N1648" s="1518"/>
      <c r="O1648" s="1520"/>
      <c r="P1648" s="1520"/>
    </row>
    <row r="1649" spans="1:19" ht="15">
      <c r="A1649" s="1858" t="s">
        <v>247</v>
      </c>
      <c r="B1649" s="1859" t="s">
        <v>3066</v>
      </c>
      <c r="C1649" s="1934"/>
      <c r="D1649" s="1934"/>
      <c r="E1649" s="519" t="s">
        <v>4106</v>
      </c>
      <c r="F1649" s="1934"/>
      <c r="G1649" s="1841" t="str">
        <f>'Part I-Project Information'!$H$90</f>
        <v>&lt;&lt;Select Pool&gt;&gt;</v>
      </c>
      <c r="H1649" s="1728" t="str">
        <f>IF(G1649="Flexible","(NOTE: Only Rural pool applicants are eligible for this section.)","")</f>
        <v/>
      </c>
      <c r="I1649" s="1934"/>
      <c r="J1649" s="1934"/>
      <c r="K1649" s="1886" t="s">
        <v>4107</v>
      </c>
      <c r="L1649" s="1728" t="str">
        <f>'Part I-Project Information'!$K$30</f>
        <v>Urban</v>
      </c>
      <c r="M1649" s="1687">
        <v>2</v>
      </c>
      <c r="N1649" s="1905"/>
      <c r="O1649" s="1857">
        <f>'Part IX A-Scoring Criteria'!O218</f>
        <v>2</v>
      </c>
      <c r="P1649" s="1857">
        <f>'Part IX A-Scoring Criteria'!P218</f>
        <v>2</v>
      </c>
      <c r="Q1649" s="1687" t="s">
        <v>459</v>
      </c>
      <c r="S1649" s="1934"/>
    </row>
    <row r="1650" spans="1:19" ht="15">
      <c r="A1650" s="1858"/>
      <c r="B1650" s="1934"/>
      <c r="C1650" s="1934"/>
      <c r="D1650" s="1934"/>
      <c r="E1650" s="1934"/>
      <c r="F1650" s="1934"/>
      <c r="G1650" s="1934"/>
      <c r="H1650" s="1934"/>
      <c r="I1650" s="1934"/>
      <c r="J1650" s="1934"/>
      <c r="K1650" s="1934"/>
      <c r="L1650" s="1934"/>
      <c r="M1650" s="1687"/>
      <c r="N1650" s="1905"/>
      <c r="O1650" s="1905"/>
      <c r="P1650" s="1905"/>
      <c r="Q1650" s="1934"/>
      <c r="R1650" s="1934"/>
      <c r="S1650" s="1934"/>
    </row>
    <row r="1651" spans="1:19" ht="15" customHeight="1">
      <c r="A1651" s="1792" t="s">
        <v>4620</v>
      </c>
      <c r="B1651" s="1792"/>
      <c r="C1651" s="1792"/>
      <c r="D1651" s="1792"/>
      <c r="E1651" s="1792"/>
      <c r="F1651" s="1792"/>
      <c r="G1651" s="1792"/>
      <c r="H1651" s="1792"/>
      <c r="I1651" s="1792"/>
      <c r="J1651" s="1792"/>
      <c r="K1651" s="1792"/>
      <c r="L1651" s="1792"/>
      <c r="M1651" s="1792"/>
      <c r="N1651" s="1833"/>
      <c r="O1651" s="1857">
        <f>'Part IX A-Scoring Criteria'!O220</f>
        <v>0</v>
      </c>
      <c r="P1651" s="1857">
        <f>'Part IX A-Scoring Criteria'!P220</f>
        <v>0</v>
      </c>
      <c r="Q1651" s="1454" t="s">
        <v>2834</v>
      </c>
      <c r="R1651" s="1871"/>
      <c r="S1651" s="1934"/>
    </row>
    <row r="1652" spans="1:19" ht="15" customHeight="1">
      <c r="A1652" s="1935" t="s">
        <v>4105</v>
      </c>
      <c r="B1652" s="1934"/>
      <c r="C1652" s="1936" t="str">
        <f>'Part II-Development Team'!$H$14</f>
        <v>Capital View Gateway Senior GP, LLC</v>
      </c>
      <c r="D1652" s="1936"/>
      <c r="E1652" s="1934"/>
      <c r="F1652" s="1937">
        <f>'Part II-Development Team'!$L$139</f>
        <v>1E-4</v>
      </c>
      <c r="G1652" s="1936" t="str">
        <f>'Part II-Development Team'!$Q$14</f>
        <v>Ken Blankenship</v>
      </c>
      <c r="H1652" s="1936"/>
      <c r="I1652" s="1938" t="s">
        <v>4621</v>
      </c>
      <c r="J1652" s="1939"/>
      <c r="K1652" s="1940">
        <f>'Part VI-Revenues &amp; Expenses'!$O$62</f>
        <v>162</v>
      </c>
      <c r="L1652" s="1877" t="s">
        <v>3850</v>
      </c>
      <c r="M1652" s="1934"/>
      <c r="N1652" s="1905"/>
      <c r="O1652" s="1934"/>
      <c r="P1652" s="1934"/>
      <c r="Q1652" s="1687"/>
      <c r="S1652" s="1934"/>
    </row>
    <row r="1653" spans="1:19" ht="15">
      <c r="A1653" s="1935" t="s">
        <v>4108</v>
      </c>
      <c r="B1653" s="1934"/>
      <c r="C1653" s="1936">
        <f>'Part II-Development Team'!$H$20</f>
        <v>0</v>
      </c>
      <c r="D1653" s="1936"/>
      <c r="E1653" s="1934"/>
      <c r="F1653" s="1937">
        <f>'Part II-Development Team'!$L$140</f>
        <v>0</v>
      </c>
      <c r="G1653" s="1936">
        <f>'Part II-Development Team'!$Q$20</f>
        <v>0</v>
      </c>
      <c r="H1653" s="1936"/>
      <c r="I1653" s="1938" t="s">
        <v>4228</v>
      </c>
      <c r="J1653" s="1938"/>
      <c r="K1653" s="1940">
        <f>'Part VI-Revenues &amp; Expenses'!$O$81+'Part VI-Revenues &amp; Expenses'!$O$82</f>
        <v>0</v>
      </c>
      <c r="L1653" s="1877"/>
      <c r="M1653" s="1934"/>
      <c r="N1653" s="1934"/>
      <c r="O1653" s="1941" t="s">
        <v>2988</v>
      </c>
      <c r="P1653" s="1941"/>
      <c r="Q1653" s="1687"/>
      <c r="S1653" s="1934"/>
    </row>
    <row r="1654" spans="1:19" ht="15">
      <c r="A1654" s="1935" t="s">
        <v>4213</v>
      </c>
      <c r="B1654" s="1934"/>
      <c r="C1654" s="1936">
        <f>'Part II-Development Team'!$H$26</f>
        <v>0</v>
      </c>
      <c r="D1654" s="1936"/>
      <c r="E1654" s="1934"/>
      <c r="F1654" s="1937">
        <f>'Part II-Development Team'!$L$141</f>
        <v>0</v>
      </c>
      <c r="G1654" s="1936">
        <f>'Part II-Development Team'!$Q$26</f>
        <v>0</v>
      </c>
      <c r="H1654" s="1936"/>
      <c r="I1654" s="1938" t="s">
        <v>4229</v>
      </c>
      <c r="J1654" s="1942"/>
      <c r="K1654" s="1940">
        <f>'Part VI-Revenues &amp; Expenses'!$O$74</f>
        <v>162</v>
      </c>
      <c r="L1654" s="1877"/>
      <c r="M1654" s="1877"/>
      <c r="N1654" s="1905"/>
      <c r="O1654" s="1943">
        <f>IF('Part VI-Revenues &amp; Expenses'!$O$62=0,0,'Part VI-Revenues &amp; Expenses'!$O$74/'Part VI-Revenues &amp; Expenses'!$O$62)</f>
        <v>1</v>
      </c>
      <c r="P1654" s="1943"/>
      <c r="Q1654" s="1687"/>
      <c r="S1654" s="1934"/>
    </row>
    <row r="1655" spans="1:19" ht="15">
      <c r="A1655" s="1944" t="s">
        <v>4214</v>
      </c>
      <c r="B1655" s="1934"/>
      <c r="C1655" s="1936">
        <f>'Part II-Development Team'!$H$80</f>
        <v>0</v>
      </c>
      <c r="D1655" s="1936"/>
      <c r="E1655" s="1934"/>
      <c r="F1655" s="1937">
        <f>'Part II-Development Team'!$L$148</f>
        <v>0</v>
      </c>
      <c r="G1655" s="1936">
        <f>'Part II-Development Team'!$Q$80</f>
        <v>0</v>
      </c>
      <c r="H1655" s="1936"/>
      <c r="I1655" s="1935" t="s">
        <v>685</v>
      </c>
      <c r="J1655" s="1936" t="str">
        <f>'Part II-Development Team'!$H$54</f>
        <v>Prestwick Development Company, LLC</v>
      </c>
      <c r="K1655" s="1936"/>
      <c r="L1655" s="1937">
        <f>'Part II-Development Team'!$L$145</f>
        <v>0</v>
      </c>
      <c r="M1655" s="1936" t="str">
        <f>'Part II-Development Team'!$Q$54</f>
        <v>Ken Blankenship</v>
      </c>
      <c r="N1655" s="1936"/>
      <c r="O1655" s="1934"/>
      <c r="P1655" s="1934"/>
      <c r="Q1655" s="1687"/>
      <c r="S1655" s="1934"/>
    </row>
    <row r="1656" spans="1:19" ht="15">
      <c r="A1656" s="1935" t="s">
        <v>4217</v>
      </c>
      <c r="B1656" s="1934"/>
      <c r="C1656" s="1936" t="str">
        <f>'Part II-Development Team'!$H$33</f>
        <v>Direct Tax Credits</v>
      </c>
      <c r="D1656" s="1936"/>
      <c r="E1656" s="1934"/>
      <c r="F1656" s="1937">
        <f>'Part II-Development Team'!$L$142</f>
        <v>0.99980000000000002</v>
      </c>
      <c r="G1656" s="1936" t="str">
        <f>'Part II-Development Team'!$Q$33</f>
        <v>Paul Smith</v>
      </c>
      <c r="H1656" s="1936"/>
      <c r="I1656" s="1935" t="s">
        <v>3178</v>
      </c>
      <c r="J1656" s="1936">
        <f>'Part II-Development Team'!$H$60</f>
        <v>0</v>
      </c>
      <c r="K1656" s="1936"/>
      <c r="L1656" s="1937">
        <f>'Part II-Development Team'!$L$146</f>
        <v>0</v>
      </c>
      <c r="M1656" s="1936">
        <f>'Part II-Development Team'!$Q$60</f>
        <v>0</v>
      </c>
      <c r="N1656" s="1936"/>
      <c r="O1656" s="1905"/>
      <c r="P1656" s="1905"/>
      <c r="Q1656" s="1687"/>
      <c r="S1656" s="1934"/>
    </row>
    <row r="1657" spans="1:19" ht="15">
      <c r="A1657" s="1935" t="s">
        <v>4218</v>
      </c>
      <c r="B1657" s="1934"/>
      <c r="C1657" s="1936" t="str">
        <f>'Part II-Development Team'!$H$39</f>
        <v>Direct Tax Credits</v>
      </c>
      <c r="D1657" s="1936"/>
      <c r="E1657" s="1934"/>
      <c r="F1657" s="1937">
        <f>'Part II-Development Team'!$L$143</f>
        <v>1E-4</v>
      </c>
      <c r="G1657" s="1936" t="str">
        <f>'Part II-Development Team'!$Q$39</f>
        <v>Paul Smith</v>
      </c>
      <c r="H1657" s="1936"/>
      <c r="I1657" s="1935" t="s">
        <v>3179</v>
      </c>
      <c r="J1657" s="1936">
        <f>'Part II-Development Team'!$H$66</f>
        <v>0</v>
      </c>
      <c r="K1657" s="1936"/>
      <c r="L1657" s="1937">
        <f>'Part II-Development Team'!$L$147</f>
        <v>0</v>
      </c>
      <c r="M1657" s="1936">
        <f>'Part II-Development Team'!$Q$66</f>
        <v>0</v>
      </c>
      <c r="N1657" s="1936"/>
      <c r="O1657" s="1905"/>
      <c r="P1657" s="1905"/>
      <c r="Q1657" s="1687"/>
      <c r="S1657" s="1934"/>
    </row>
    <row r="1658" spans="1:19" ht="15">
      <c r="A1658" s="1944" t="s">
        <v>4216</v>
      </c>
      <c r="B1658" s="1934"/>
      <c r="C1658" s="1936">
        <f>'Part II-Development Team'!$H$46</f>
        <v>0</v>
      </c>
      <c r="D1658" s="1936"/>
      <c r="E1658" s="1934"/>
      <c r="F1658" s="1937">
        <f>'Part II-Development Team'!$L$144</f>
        <v>0</v>
      </c>
      <c r="G1658" s="1936">
        <f>'Part II-Development Team'!$Q$46</f>
        <v>0</v>
      </c>
      <c r="H1658" s="1936"/>
      <c r="I1658" s="1935" t="s">
        <v>4215</v>
      </c>
      <c r="J1658" s="1936">
        <f>'Part II-Development Team'!$H$72</f>
        <v>0</v>
      </c>
      <c r="K1658" s="1936"/>
      <c r="L1658" s="1937">
        <f>'Part II-Development Team'!$L$149</f>
        <v>0</v>
      </c>
      <c r="M1658" s="1936">
        <f>'Part II-Development Team'!$Q$72</f>
        <v>0</v>
      </c>
      <c r="N1658" s="1936"/>
      <c r="O1658" s="1905"/>
      <c r="P1658" s="1905"/>
      <c r="Q1658" s="1687"/>
      <c r="S1658" s="1934"/>
    </row>
    <row r="1659" spans="1:19" ht="15">
      <c r="A1659" s="518"/>
      <c r="B1659" s="1756" t="s">
        <v>268</v>
      </c>
      <c r="C1659" s="518"/>
      <c r="D1659" s="522"/>
      <c r="E1659" s="522"/>
      <c r="F1659" s="522"/>
      <c r="G1659" s="522"/>
      <c r="H1659" s="519"/>
      <c r="I1659" s="519"/>
      <c r="J1659" s="1793" t="s">
        <v>1947</v>
      </c>
      <c r="K1659" s="1861"/>
      <c r="L1659" s="1861"/>
      <c r="M1659" s="1512"/>
      <c r="N1659" s="1518"/>
      <c r="O1659" s="1857"/>
      <c r="P1659" s="1520"/>
      <c r="Q1659" s="1861"/>
      <c r="R1659" s="1861"/>
      <c r="S1659" s="1861"/>
    </row>
    <row r="1660" spans="1:19" ht="15.75">
      <c r="A1660" s="1792">
        <f>'Part IX A-Scoring Criteria'!A229</f>
        <v>0</v>
      </c>
      <c r="B1660" s="1792"/>
      <c r="C1660" s="1792"/>
      <c r="D1660" s="1792"/>
      <c r="E1660" s="1792"/>
      <c r="F1660" s="1792"/>
      <c r="G1660" s="1792"/>
      <c r="H1660" s="1792"/>
      <c r="I1660" s="1792"/>
      <c r="J1660" s="1792">
        <f>'Part IX A-Scoring Criteria'!J229</f>
        <v>0</v>
      </c>
      <c r="K1660" s="1792"/>
      <c r="L1660" s="1792"/>
      <c r="M1660" s="1792"/>
      <c r="N1660" s="1792"/>
      <c r="O1660" s="1792"/>
      <c r="P1660" s="1792"/>
      <c r="Q1660" s="1866" t="s">
        <v>1308</v>
      </c>
      <c r="R1660" s="1861"/>
      <c r="S1660" s="1861"/>
    </row>
    <row r="1661" spans="1:19" ht="15">
      <c r="A1661" s="518"/>
      <c r="B1661" s="1861"/>
      <c r="C1661" s="1795"/>
      <c r="D1661" s="1795"/>
      <c r="E1661" s="1795"/>
      <c r="F1661" s="1795"/>
      <c r="G1661" s="1795"/>
      <c r="H1661" s="1795"/>
      <c r="I1661" s="1795"/>
      <c r="J1661" s="1795"/>
      <c r="K1661" s="1795"/>
      <c r="L1661" s="1795"/>
      <c r="M1661" s="1795"/>
      <c r="N1661" s="1889"/>
      <c r="O1661" s="1864"/>
      <c r="P1661" s="1687"/>
      <c r="Q1661" s="1861"/>
      <c r="R1661" s="1861"/>
      <c r="S1661" s="1861"/>
    </row>
    <row r="1662" spans="1:19" ht="15">
      <c r="A1662" s="1858" t="s">
        <v>1463</v>
      </c>
      <c r="B1662" s="1869" t="s">
        <v>1742</v>
      </c>
      <c r="C1662" s="1861"/>
      <c r="D1662" s="1750"/>
      <c r="E1662" s="1750"/>
      <c r="F1662" s="1861"/>
      <c r="G1662" s="519"/>
      <c r="H1662" s="519"/>
      <c r="I1662" s="519"/>
      <c r="J1662" s="1861"/>
      <c r="K1662" s="1787"/>
      <c r="L1662" s="1871"/>
      <c r="M1662" s="1687">
        <v>2</v>
      </c>
      <c r="N1662" s="1905"/>
      <c r="O1662" s="1857">
        <f>'Part IX A-Scoring Criteria'!O231</f>
        <v>0</v>
      </c>
      <c r="P1662" s="1857">
        <f>'Part IX A-Scoring Criteria'!P231</f>
        <v>0</v>
      </c>
      <c r="Q1662" s="1687" t="s">
        <v>459</v>
      </c>
      <c r="R1662" s="1861"/>
      <c r="S1662" s="1861"/>
    </row>
    <row r="1663" spans="1:19" ht="15">
      <c r="A1663" s="1711" t="s">
        <v>2068</v>
      </c>
      <c r="B1663" s="1823" t="s">
        <v>4221</v>
      </c>
      <c r="C1663" s="1861"/>
      <c r="D1663" s="1750"/>
      <c r="E1663" s="1750"/>
      <c r="F1663" s="1861"/>
      <c r="G1663" s="519"/>
      <c r="H1663" s="519"/>
      <c r="I1663" s="519"/>
      <c r="J1663" s="1861"/>
      <c r="K1663" s="1787"/>
      <c r="L1663" s="1871" t="str">
        <f>IF(OR($O1663=$M1663,$O1663=0,$O1663=""),"","* * Check Score! * *")</f>
        <v/>
      </c>
      <c r="M1663" s="1512">
        <v>1</v>
      </c>
      <c r="N1663" s="1905" t="str">
        <f>IF(OR($O1663=$M1663,$O1663=0,$O1663=""),"","***")</f>
        <v/>
      </c>
      <c r="O1663" s="1857">
        <f>'Part IX A-Scoring Criteria'!O232</f>
        <v>0</v>
      </c>
      <c r="P1663" s="1857">
        <f>'Part IX A-Scoring Criteria'!P232</f>
        <v>0</v>
      </c>
      <c r="Q1663" s="1687"/>
      <c r="R1663" s="1732" t="s">
        <v>2834</v>
      </c>
      <c r="S1663" s="1861"/>
    </row>
    <row r="1664" spans="1:19" ht="15">
      <c r="A1664" s="1861"/>
      <c r="B1664" s="1728" t="s">
        <v>4219</v>
      </c>
      <c r="C1664" s="1861"/>
      <c r="D1664" s="1876"/>
      <c r="E1664" s="1750"/>
      <c r="F1664" s="519"/>
      <c r="G1664" s="519"/>
      <c r="H1664" s="519"/>
      <c r="I1664" s="1790"/>
      <c r="J1664" s="1861"/>
      <c r="K1664" s="1861"/>
      <c r="L1664" s="1861"/>
      <c r="M1664" s="1861"/>
      <c r="N1664" s="1765" t="s">
        <v>2068</v>
      </c>
      <c r="O1664" s="1843" t="s">
        <v>2609</v>
      </c>
      <c r="P1664" s="1843" t="s">
        <v>2609</v>
      </c>
      <c r="Q1664" s="1861"/>
      <c r="R1664" s="1861"/>
      <c r="S1664" s="1861"/>
    </row>
    <row r="1665" spans="1:19">
      <c r="A1665" s="502"/>
      <c r="B1665" s="1926" t="s">
        <v>2072</v>
      </c>
      <c r="C1665" s="519" t="s">
        <v>4220</v>
      </c>
      <c r="D1665" s="519"/>
      <c r="E1665" s="519"/>
      <c r="F1665" s="519"/>
      <c r="G1665" s="502"/>
      <c r="H1665" s="502"/>
      <c r="I1665" s="519" t="str">
        <f>'Part IX A-Scoring Criteria'!I234</f>
        <v>&lt; Select applicable GICH &gt;</v>
      </c>
      <c r="J1665" s="519"/>
      <c r="K1665" s="519"/>
      <c r="L1665" s="502"/>
      <c r="M1665" s="502"/>
      <c r="N1665" s="1926" t="s">
        <v>2072</v>
      </c>
      <c r="O1665" s="1790">
        <f>'Part IX A-Scoring Criteria'!O234</f>
        <v>0</v>
      </c>
      <c r="P1665" s="1790">
        <f>'Part IX A-Scoring Criteria'!P234</f>
        <v>0</v>
      </c>
      <c r="Q1665" s="502"/>
      <c r="R1665" s="502"/>
      <c r="S1665" s="502"/>
    </row>
    <row r="1666" spans="1:19">
      <c r="A1666" s="502"/>
      <c r="B1666" s="1926" t="s">
        <v>2074</v>
      </c>
      <c r="C1666" s="519" t="s">
        <v>3160</v>
      </c>
      <c r="D1666" s="519"/>
      <c r="E1666" s="519"/>
      <c r="F1666" s="519"/>
      <c r="G1666" s="519"/>
      <c r="H1666" s="502"/>
      <c r="I1666" s="502"/>
      <c r="J1666" s="502"/>
      <c r="K1666" s="502"/>
      <c r="L1666" s="502"/>
      <c r="M1666" s="519"/>
      <c r="N1666" s="1926" t="s">
        <v>2074</v>
      </c>
      <c r="O1666" s="1790">
        <f>'Part IX A-Scoring Criteria'!O235</f>
        <v>0</v>
      </c>
      <c r="P1666" s="1790">
        <f>'Part IX A-Scoring Criteria'!P235</f>
        <v>0</v>
      </c>
      <c r="Q1666" s="502"/>
      <c r="R1666" s="502"/>
      <c r="S1666" s="502"/>
    </row>
    <row r="1667" spans="1:19">
      <c r="A1667" s="1711"/>
      <c r="B1667" s="1926" t="s">
        <v>2634</v>
      </c>
      <c r="C1667" s="519" t="s">
        <v>4222</v>
      </c>
      <c r="D1667" s="519"/>
      <c r="E1667" s="519"/>
      <c r="F1667" s="519"/>
      <c r="G1667" s="519"/>
      <c r="H1667" s="519"/>
      <c r="I1667" s="502"/>
      <c r="J1667" s="502"/>
      <c r="K1667" s="502"/>
      <c r="L1667" s="519"/>
      <c r="M1667" s="519"/>
      <c r="N1667" s="1926" t="s">
        <v>2634</v>
      </c>
      <c r="O1667" s="1790">
        <f>'Part IX A-Scoring Criteria'!O236</f>
        <v>0</v>
      </c>
      <c r="P1667" s="1790">
        <f>'Part IX A-Scoring Criteria'!P236</f>
        <v>0</v>
      </c>
      <c r="Q1667" s="502"/>
      <c r="R1667" s="502"/>
      <c r="S1667" s="502"/>
    </row>
    <row r="1668" spans="1:19">
      <c r="A1668" s="1711"/>
      <c r="B1668" s="1926" t="s">
        <v>1277</v>
      </c>
      <c r="C1668" s="519" t="s">
        <v>4223</v>
      </c>
      <c r="D1668" s="519"/>
      <c r="E1668" s="519"/>
      <c r="F1668" s="519"/>
      <c r="G1668" s="519"/>
      <c r="H1668" s="519"/>
      <c r="I1668" s="519"/>
      <c r="J1668" s="519"/>
      <c r="K1668" s="519"/>
      <c r="L1668" s="519"/>
      <c r="M1668" s="519"/>
      <c r="N1668" s="1926" t="s">
        <v>1277</v>
      </c>
      <c r="O1668" s="1790">
        <f>'Part IX A-Scoring Criteria'!O237</f>
        <v>0</v>
      </c>
      <c r="P1668" s="1790">
        <f>'Part IX A-Scoring Criteria'!P237</f>
        <v>0</v>
      </c>
      <c r="Q1668" s="502"/>
      <c r="R1668" s="502"/>
      <c r="S1668" s="502"/>
    </row>
    <row r="1669" spans="1:19">
      <c r="A1669" s="502"/>
      <c r="B1669" s="1873" t="s">
        <v>4224</v>
      </c>
      <c r="C1669" s="502"/>
      <c r="D1669" s="519"/>
      <c r="E1669" s="519"/>
      <c r="F1669" s="519"/>
      <c r="G1669" s="519"/>
      <c r="H1669" s="519"/>
      <c r="I1669" s="519"/>
      <c r="J1669" s="519"/>
      <c r="K1669" s="519"/>
      <c r="L1669" s="519"/>
      <c r="M1669" s="519"/>
      <c r="N1669" s="1765"/>
      <c r="O1669" s="1765"/>
      <c r="P1669" s="1765"/>
      <c r="Q1669" s="502"/>
      <c r="R1669" s="502"/>
      <c r="S1669" s="502"/>
    </row>
    <row r="1670" spans="1:19" ht="13.5">
      <c r="A1670" s="1711" t="s">
        <v>2071</v>
      </c>
      <c r="B1670" s="1700" t="s">
        <v>3026</v>
      </c>
      <c r="D1670" s="518"/>
      <c r="G1670" s="1945" t="s">
        <v>3981</v>
      </c>
      <c r="H1670" s="1945"/>
      <c r="I1670" s="1945"/>
      <c r="J1670" s="1945"/>
      <c r="K1670" s="1945"/>
      <c r="L1670" s="1871" t="str">
        <f>IF(OR($O1670=$M1670,$O1670=0,$O1670=""),"","* * Check Score! * *")</f>
        <v/>
      </c>
      <c r="M1670" s="1518">
        <v>1</v>
      </c>
      <c r="N1670" s="1905" t="str">
        <f>IF(OR($O1670=$M1670,$O1670=0,$O1670=""),"","***")</f>
        <v/>
      </c>
      <c r="O1670" s="1857">
        <f>'Part IX A-Scoring Criteria'!O239</f>
        <v>0</v>
      </c>
      <c r="P1670" s="1857">
        <f>'Part IX A-Scoring Criteria'!P239</f>
        <v>0</v>
      </c>
      <c r="Q1670" s="1687"/>
      <c r="R1670" s="1732" t="s">
        <v>2834</v>
      </c>
    </row>
    <row r="1671" spans="1:19" ht="13.5">
      <c r="B1671" s="502" t="s">
        <v>3028</v>
      </c>
      <c r="N1671" s="1765" t="s">
        <v>2071</v>
      </c>
      <c r="O1671" s="1790">
        <f>'Part IX A-Scoring Criteria'!O240</f>
        <v>0</v>
      </c>
      <c r="P1671" s="1790">
        <f>'Part IX A-Scoring Criteria'!P240</f>
        <v>0</v>
      </c>
      <c r="Q1671" s="1732"/>
    </row>
    <row r="1672" spans="1:19">
      <c r="A1672" s="1791"/>
      <c r="C1672" s="519" t="s">
        <v>4226</v>
      </c>
      <c r="D1672" s="519" t="str">
        <f>'Part I-Project Information'!$F$28</f>
        <v>Atlanta</v>
      </c>
      <c r="F1672" s="519" t="s">
        <v>3975</v>
      </c>
      <c r="G1672" s="519" t="str">
        <f>'Part I-Project Information'!$J$29</f>
        <v>Fulton</v>
      </c>
      <c r="H1672" s="1835" t="s">
        <v>471</v>
      </c>
      <c r="I1672" s="1886" t="str">
        <f>'Part I-Project Information'!$N$29</f>
        <v>Yes</v>
      </c>
      <c r="K1672" s="1886" t="s">
        <v>4225</v>
      </c>
      <c r="L1672" s="1922" t="str">
        <f>'Part I-Project Information'!$O$28</f>
        <v>66.01</v>
      </c>
      <c r="M1672" s="1922"/>
      <c r="N1672" s="1922"/>
      <c r="O1672" s="1922"/>
      <c r="P1672" s="1922"/>
    </row>
    <row r="1673" spans="1:19" ht="15">
      <c r="A1673" s="518"/>
      <c r="B1673" s="1756" t="s">
        <v>268</v>
      </c>
      <c r="C1673" s="518"/>
      <c r="D1673" s="522"/>
      <c r="E1673" s="522"/>
      <c r="F1673" s="522"/>
      <c r="G1673" s="522"/>
      <c r="H1673" s="519"/>
      <c r="I1673" s="519"/>
      <c r="J1673" s="1793" t="s">
        <v>1947</v>
      </c>
      <c r="K1673" s="1861"/>
      <c r="L1673" s="1861"/>
      <c r="M1673" s="1512"/>
      <c r="N1673" s="1518"/>
      <c r="O1673" s="1857"/>
      <c r="P1673" s="1520"/>
      <c r="Q1673" s="1861"/>
      <c r="R1673" s="1861"/>
      <c r="S1673" s="1861"/>
    </row>
    <row r="1674" spans="1:19" ht="15.75">
      <c r="A1674" s="1792">
        <f>'Part IX A-Scoring Criteria'!A243</f>
        <v>0</v>
      </c>
      <c r="B1674" s="1792"/>
      <c r="C1674" s="1792"/>
      <c r="D1674" s="1792"/>
      <c r="E1674" s="1792"/>
      <c r="F1674" s="1792"/>
      <c r="G1674" s="1792"/>
      <c r="H1674" s="1792"/>
      <c r="I1674" s="1792"/>
      <c r="J1674" s="1792">
        <f>'Part IX A-Scoring Criteria'!J243</f>
        <v>0</v>
      </c>
      <c r="K1674" s="1792"/>
      <c r="L1674" s="1792"/>
      <c r="M1674" s="1792"/>
      <c r="N1674" s="1792"/>
      <c r="O1674" s="1792"/>
      <c r="P1674" s="1792"/>
      <c r="Q1674" s="1866" t="s">
        <v>1308</v>
      </c>
      <c r="R1674" s="1861"/>
      <c r="S1674" s="1861"/>
    </row>
    <row r="1675" spans="1:19">
      <c r="N1675" s="1518"/>
      <c r="O1675" s="1520"/>
      <c r="P1675" s="1520"/>
    </row>
    <row r="1676" spans="1:19" ht="15">
      <c r="A1676" s="1858" t="s">
        <v>1741</v>
      </c>
      <c r="B1676" s="1869" t="s">
        <v>3068</v>
      </c>
      <c r="C1676" s="1861"/>
      <c r="D1676" s="1750"/>
      <c r="E1676" s="1750"/>
      <c r="F1676" s="519"/>
      <c r="G1676" s="519"/>
      <c r="H1676" s="519"/>
      <c r="I1676" s="1700" t="s">
        <v>3023</v>
      </c>
      <c r="J1676" s="1514"/>
      <c r="K1676" s="1934"/>
      <c r="L1676" s="1700" t="str">
        <f>'Part I-Project Information'!$H$90</f>
        <v>&lt;&lt;Select Pool&gt;&gt;</v>
      </c>
      <c r="M1676" s="1857">
        <v>8</v>
      </c>
      <c r="N1676" s="1512"/>
      <c r="O1676" s="1857">
        <f>'Part IX A-Scoring Criteria'!O245</f>
        <v>0</v>
      </c>
      <c r="P1676" s="1857">
        <f>'Part IX A-Scoring Criteria'!P245</f>
        <v>0</v>
      </c>
      <c r="Q1676" s="1687" t="s">
        <v>459</v>
      </c>
      <c r="R1676" s="1861"/>
      <c r="S1676" s="1861"/>
    </row>
    <row r="1677" spans="1:19" ht="15">
      <c r="A1677" s="518"/>
      <c r="B1677" s="1823" t="s">
        <v>3163</v>
      </c>
      <c r="C1677" s="1861"/>
      <c r="D1677" s="1861"/>
      <c r="E1677" s="1750"/>
      <c r="F1677" s="519"/>
      <c r="G1677" s="519"/>
      <c r="H1677" s="519"/>
      <c r="I1677" s="519"/>
      <c r="J1677" s="1861"/>
      <c r="K1677" s="1787"/>
      <c r="L1677" s="1946"/>
      <c r="M1677" s="1861"/>
      <c r="N1677" s="1861"/>
      <c r="O1677" s="1843" t="s">
        <v>2609</v>
      </c>
      <c r="P1677" s="1843" t="s">
        <v>2609</v>
      </c>
      <c r="Q1677" s="1861"/>
      <c r="R1677" s="1861"/>
      <c r="S1677" s="1861"/>
    </row>
    <row r="1678" spans="1:19" ht="15">
      <c r="A1678" s="502"/>
      <c r="B1678" s="1926" t="s">
        <v>2072</v>
      </c>
      <c r="C1678" s="502" t="s">
        <v>3067</v>
      </c>
      <c r="D1678" s="502"/>
      <c r="E1678" s="1750"/>
      <c r="F1678" s="519"/>
      <c r="G1678" s="519"/>
      <c r="H1678" s="519"/>
      <c r="I1678" s="519"/>
      <c r="J1678" s="1861"/>
      <c r="K1678" s="1787"/>
      <c r="L1678" s="1851" t="str">
        <f>IF(OR(O1678="No",O1679="No",O1680="No",O1681="No",O1683="No"),"Unmet criterion results in no points!","")</f>
        <v/>
      </c>
      <c r="M1678" s="502"/>
      <c r="N1678" s="1891" t="s">
        <v>2072</v>
      </c>
      <c r="O1678" s="1790">
        <f>'Part IX A-Scoring Criteria'!O247</f>
        <v>0</v>
      </c>
      <c r="P1678" s="1790">
        <f>'Part IX A-Scoring Criteria'!P247</f>
        <v>0</v>
      </c>
      <c r="Q1678" s="502"/>
      <c r="R1678" s="502"/>
      <c r="S1678" s="502"/>
    </row>
    <row r="1679" spans="1:19">
      <c r="A1679" s="502"/>
      <c r="B1679" s="1926" t="s">
        <v>2074</v>
      </c>
      <c r="C1679" s="502" t="s">
        <v>594</v>
      </c>
      <c r="D1679" s="502"/>
      <c r="E1679" s="502"/>
      <c r="F1679" s="502"/>
      <c r="G1679" s="502"/>
      <c r="H1679" s="502"/>
      <c r="I1679" s="502"/>
      <c r="J1679" s="502"/>
      <c r="K1679" s="502"/>
      <c r="L1679" s="1851"/>
      <c r="M1679" s="502"/>
      <c r="N1679" s="1891" t="s">
        <v>2074</v>
      </c>
      <c r="O1679" s="1790">
        <f>'Part IX A-Scoring Criteria'!O248</f>
        <v>0</v>
      </c>
      <c r="P1679" s="1790">
        <f>'Part IX A-Scoring Criteria'!P248</f>
        <v>0</v>
      </c>
      <c r="Q1679" s="502"/>
      <c r="R1679" s="502"/>
      <c r="S1679" s="502"/>
    </row>
    <row r="1680" spans="1:19">
      <c r="A1680" s="502"/>
      <c r="B1680" s="1926" t="s">
        <v>2634</v>
      </c>
      <c r="C1680" s="502" t="s">
        <v>595</v>
      </c>
      <c r="D1680" s="502"/>
      <c r="E1680" s="502"/>
      <c r="F1680" s="502"/>
      <c r="G1680" s="502"/>
      <c r="H1680" s="502"/>
      <c r="I1680" s="502"/>
      <c r="J1680" s="502"/>
      <c r="K1680" s="502"/>
      <c r="L1680" s="1851" t="str">
        <f>IF(OR(P1678="No",P1679="No",P1680="No",P1681="No",P1683="No"),"Unmet criterion results in no points!","")</f>
        <v/>
      </c>
      <c r="M1680" s="502"/>
      <c r="N1680" s="1891" t="s">
        <v>2634</v>
      </c>
      <c r="O1680" s="1790">
        <f>'Part IX A-Scoring Criteria'!O249</f>
        <v>0</v>
      </c>
      <c r="P1680" s="1790">
        <f>'Part IX A-Scoring Criteria'!P249</f>
        <v>0</v>
      </c>
      <c r="Q1680" s="502"/>
      <c r="R1680" s="502"/>
      <c r="S1680" s="502"/>
    </row>
    <row r="1681" spans="1:19">
      <c r="A1681" s="502"/>
      <c r="B1681" s="1926" t="s">
        <v>1277</v>
      </c>
      <c r="C1681" s="502" t="s">
        <v>4232</v>
      </c>
      <c r="D1681" s="502"/>
      <c r="E1681" s="502"/>
      <c r="F1681" s="502"/>
      <c r="G1681" s="502"/>
      <c r="H1681" s="502"/>
      <c r="I1681" s="502"/>
      <c r="J1681" s="502"/>
      <c r="K1681" s="502"/>
      <c r="L1681" s="1851"/>
      <c r="M1681" s="502"/>
      <c r="N1681" s="1891" t="s">
        <v>1277</v>
      </c>
      <c r="O1681" s="1790">
        <f>'Part IX A-Scoring Criteria'!O250</f>
        <v>0</v>
      </c>
      <c r="P1681" s="1790">
        <f>'Part IX A-Scoring Criteria'!P250</f>
        <v>0</v>
      </c>
      <c r="Q1681" s="502"/>
      <c r="R1681" s="502"/>
      <c r="S1681" s="502"/>
    </row>
    <row r="1682" spans="1:19">
      <c r="A1682" s="502"/>
      <c r="B1682" s="1765" t="s">
        <v>2532</v>
      </c>
      <c r="C1682" s="502" t="s">
        <v>4622</v>
      </c>
      <c r="D1682" s="502"/>
      <c r="E1682" s="502"/>
      <c r="F1682" s="502"/>
      <c r="G1682" s="502"/>
      <c r="H1682" s="502"/>
      <c r="I1682" s="502"/>
      <c r="J1682" s="502"/>
      <c r="K1682" s="502"/>
      <c r="L1682" s="502"/>
      <c r="M1682" s="502"/>
      <c r="N1682" s="1891" t="s">
        <v>2532</v>
      </c>
      <c r="O1682" s="1790">
        <f>'Part IX A-Scoring Criteria'!O251</f>
        <v>0</v>
      </c>
      <c r="P1682" s="1790">
        <f>'Part IX A-Scoring Criteria'!P251</f>
        <v>0</v>
      </c>
      <c r="Q1682" s="502"/>
      <c r="R1682" s="502"/>
      <c r="S1682" s="502"/>
    </row>
    <row r="1683" spans="1:19" ht="12.75" customHeight="1">
      <c r="A1683" s="1833" t="s">
        <v>3673</v>
      </c>
      <c r="B1683" s="1833" t="s">
        <v>2533</v>
      </c>
      <c r="C1683" s="1792" t="s">
        <v>4233</v>
      </c>
      <c r="D1683" s="1792"/>
      <c r="E1683" s="1792"/>
      <c r="F1683" s="1792"/>
      <c r="G1683" s="1792"/>
      <c r="H1683" s="1792"/>
      <c r="I1683" s="1792"/>
      <c r="J1683" s="1792"/>
      <c r="K1683" s="1792"/>
      <c r="L1683" s="1792"/>
      <c r="M1683" s="1792"/>
      <c r="N1683" s="1878" t="s">
        <v>2533</v>
      </c>
      <c r="O1683" s="1790">
        <f>'Part IX A-Scoring Criteria'!O252</f>
        <v>0</v>
      </c>
      <c r="P1683" s="1790">
        <f>'Part IX A-Scoring Criteria'!P252</f>
        <v>0</v>
      </c>
      <c r="Q1683" s="1815"/>
      <c r="R1683" s="1815"/>
      <c r="S1683" s="1815"/>
    </row>
    <row r="1684" spans="1:19" ht="15">
      <c r="A1684" s="1711" t="s">
        <v>2068</v>
      </c>
      <c r="B1684" s="1873" t="s">
        <v>1924</v>
      </c>
      <c r="C1684" s="1861"/>
      <c r="D1684" s="1728"/>
      <c r="E1684" s="1728"/>
      <c r="F1684" s="518"/>
      <c r="G1684" s="1876"/>
      <c r="H1684" s="1876"/>
      <c r="I1684" s="1876"/>
      <c r="J1684" s="1728"/>
      <c r="K1684" s="1876"/>
      <c r="L1684" s="518"/>
      <c r="M1684" s="1512">
        <v>4</v>
      </c>
      <c r="N1684" s="1765" t="s">
        <v>2068</v>
      </c>
      <c r="O1684" s="1857">
        <f>'Part IX A-Scoring Criteria'!O253</f>
        <v>0</v>
      </c>
      <c r="P1684" s="1857">
        <f>'Part IX A-Scoring Criteria'!P253</f>
        <v>0</v>
      </c>
      <c r="Q1684" s="1861"/>
      <c r="R1684" s="1861"/>
      <c r="S1684" s="1861"/>
    </row>
    <row r="1685" spans="1:19">
      <c r="B1685" s="1907" t="s">
        <v>2072</v>
      </c>
      <c r="C1685" s="1837" t="s">
        <v>4623</v>
      </c>
      <c r="I1685" s="1947" t="s">
        <v>2076</v>
      </c>
      <c r="J1685" s="1947"/>
      <c r="L1685" s="1947" t="s">
        <v>2076</v>
      </c>
      <c r="M1685" s="1947"/>
      <c r="N1685" s="1891"/>
      <c r="O1685" s="1520"/>
      <c r="P1685" s="1520"/>
    </row>
    <row r="1686" spans="1:19" ht="15">
      <c r="A1686" s="1903"/>
      <c r="B1686" s="1765" t="s">
        <v>2532</v>
      </c>
      <c r="C1686" s="519" t="s">
        <v>1548</v>
      </c>
      <c r="D1686" s="1861"/>
      <c r="E1686" s="1861"/>
      <c r="F1686" s="1861"/>
      <c r="G1686" s="1861"/>
      <c r="H1686" s="1765" t="s">
        <v>2532</v>
      </c>
      <c r="I1686" s="1948">
        <f>'Part IX A-Scoring Criteria'!I255</f>
        <v>0</v>
      </c>
      <c r="J1686" s="1948"/>
      <c r="K1686" s="1765" t="s">
        <v>2532</v>
      </c>
      <c r="L1686" s="1948">
        <f>'Part IX A-Scoring Criteria'!L255</f>
        <v>0</v>
      </c>
      <c r="M1686" s="1948"/>
      <c r="N1686" s="1891"/>
      <c r="O1686" s="1520"/>
      <c r="P1686" s="1520"/>
      <c r="Q1686" s="1861"/>
      <c r="R1686" s="1871"/>
      <c r="S1686" s="1861"/>
    </row>
    <row r="1687" spans="1:19">
      <c r="A1687" s="1770"/>
      <c r="B1687" s="1833" t="s">
        <v>2533</v>
      </c>
      <c r="C1687" s="519" t="s">
        <v>4238</v>
      </c>
      <c r="H1687" s="1833" t="s">
        <v>2533</v>
      </c>
      <c r="I1687" s="1948">
        <f>'Part IX A-Scoring Criteria'!I256</f>
        <v>0</v>
      </c>
      <c r="J1687" s="1948"/>
      <c r="K1687" s="1833" t="s">
        <v>2533</v>
      </c>
      <c r="L1687" s="1948">
        <f>'Part IX A-Scoring Criteria'!L256</f>
        <v>0</v>
      </c>
      <c r="M1687" s="1948"/>
      <c r="N1687" s="1891"/>
      <c r="O1687" s="1520"/>
      <c r="P1687" s="1520"/>
      <c r="R1687" s="1871"/>
    </row>
    <row r="1688" spans="1:19">
      <c r="B1688" s="1765" t="s">
        <v>2534</v>
      </c>
      <c r="C1688" s="519" t="s">
        <v>2729</v>
      </c>
      <c r="H1688" s="1765" t="s">
        <v>2534</v>
      </c>
      <c r="I1688" s="1948">
        <f>'Part IX A-Scoring Criteria'!I257</f>
        <v>0</v>
      </c>
      <c r="J1688" s="1948"/>
      <c r="K1688" s="1765" t="s">
        <v>2534</v>
      </c>
      <c r="L1688" s="1948">
        <f>'Part IX A-Scoring Criteria'!L257</f>
        <v>0</v>
      </c>
      <c r="M1688" s="1948"/>
      <c r="N1688" s="1891"/>
      <c r="O1688" s="1520"/>
      <c r="P1688" s="1520"/>
      <c r="R1688" s="1871"/>
    </row>
    <row r="1689" spans="1:19">
      <c r="A1689" s="1770"/>
      <c r="B1689" s="1765" t="s">
        <v>2535</v>
      </c>
      <c r="C1689" s="519" t="s">
        <v>3865</v>
      </c>
      <c r="H1689" s="1765" t="s">
        <v>2535</v>
      </c>
      <c r="I1689" s="1948">
        <f>'Part IX A-Scoring Criteria'!I258</f>
        <v>0</v>
      </c>
      <c r="J1689" s="1948"/>
      <c r="K1689" s="1765" t="s">
        <v>2535</v>
      </c>
      <c r="L1689" s="1948">
        <f>'Part IX A-Scoring Criteria'!L258</f>
        <v>0</v>
      </c>
      <c r="M1689" s="1948"/>
      <c r="N1689" s="1891"/>
      <c r="O1689" s="1520"/>
      <c r="P1689" s="1520"/>
      <c r="R1689" s="1871"/>
    </row>
    <row r="1690" spans="1:19" ht="15">
      <c r="A1690" s="1903"/>
      <c r="B1690" s="1833" t="s">
        <v>2536</v>
      </c>
      <c r="C1690" s="519" t="s">
        <v>2867</v>
      </c>
      <c r="D1690" s="1861"/>
      <c r="E1690" s="1861"/>
      <c r="F1690" s="1861"/>
      <c r="G1690" s="1861"/>
      <c r="H1690" s="1833" t="s">
        <v>2536</v>
      </c>
      <c r="I1690" s="1948">
        <f>'Part IX A-Scoring Criteria'!I259</f>
        <v>0</v>
      </c>
      <c r="J1690" s="1948"/>
      <c r="K1690" s="1833" t="s">
        <v>2536</v>
      </c>
      <c r="L1690" s="1948">
        <f>'Part IX A-Scoring Criteria'!L259</f>
        <v>0</v>
      </c>
      <c r="M1690" s="1948"/>
      <c r="N1690" s="1891"/>
      <c r="O1690" s="1520"/>
      <c r="P1690" s="1520"/>
      <c r="Q1690" s="1861"/>
      <c r="R1690" s="1871"/>
      <c r="S1690" s="1861"/>
    </row>
    <row r="1691" spans="1:19">
      <c r="B1691" s="1765" t="s">
        <v>2552</v>
      </c>
      <c r="C1691" s="519" t="s">
        <v>1547</v>
      </c>
      <c r="H1691" s="1765" t="s">
        <v>2552</v>
      </c>
      <c r="I1691" s="1948">
        <f>'Part IX A-Scoring Criteria'!I260</f>
        <v>0</v>
      </c>
      <c r="J1691" s="1948"/>
      <c r="K1691" s="1765" t="s">
        <v>2552</v>
      </c>
      <c r="L1691" s="1948">
        <f>'Part IX A-Scoring Criteria'!L260</f>
        <v>0</v>
      </c>
      <c r="M1691" s="1948"/>
      <c r="N1691" s="1891"/>
      <c r="O1691" s="1520"/>
      <c r="P1691" s="1520"/>
      <c r="R1691" s="1871"/>
    </row>
    <row r="1692" spans="1:19">
      <c r="A1692" s="1770"/>
      <c r="B1692" s="1765" t="s">
        <v>2553</v>
      </c>
      <c r="C1692" s="519" t="s">
        <v>4236</v>
      </c>
      <c r="H1692" s="1765" t="s">
        <v>2553</v>
      </c>
      <c r="I1692" s="1948">
        <f>'Part IX A-Scoring Criteria'!I261</f>
        <v>0</v>
      </c>
      <c r="J1692" s="1948"/>
      <c r="K1692" s="1765" t="s">
        <v>2553</v>
      </c>
      <c r="L1692" s="1948">
        <f>'Part IX A-Scoring Criteria'!L261</f>
        <v>0</v>
      </c>
      <c r="M1692" s="1948"/>
      <c r="N1692" s="1891"/>
      <c r="O1692" s="1520"/>
      <c r="P1692" s="1520"/>
      <c r="R1692" s="1871"/>
    </row>
    <row r="1693" spans="1:19">
      <c r="B1693" s="1765" t="s">
        <v>2554</v>
      </c>
      <c r="C1693" s="519" t="s">
        <v>4237</v>
      </c>
      <c r="H1693" s="1765" t="s">
        <v>2554</v>
      </c>
      <c r="I1693" s="1948">
        <f>'Part IX A-Scoring Criteria'!I262</f>
        <v>0</v>
      </c>
      <c r="J1693" s="1948"/>
      <c r="K1693" s="1765" t="s">
        <v>2554</v>
      </c>
      <c r="L1693" s="1948">
        <f>'Part IX A-Scoring Criteria'!L262</f>
        <v>0</v>
      </c>
      <c r="M1693" s="1948"/>
      <c r="N1693" s="1891"/>
      <c r="O1693" s="1520"/>
      <c r="P1693" s="1520"/>
      <c r="R1693" s="1871"/>
    </row>
    <row r="1694" spans="1:19">
      <c r="B1694" s="1765" t="s">
        <v>2555</v>
      </c>
      <c r="C1694" s="519" t="s">
        <v>4239</v>
      </c>
      <c r="H1694" s="1765" t="s">
        <v>2555</v>
      </c>
      <c r="I1694" s="1948">
        <f>'Part IX A-Scoring Criteria'!I263</f>
        <v>0</v>
      </c>
      <c r="J1694" s="1948"/>
      <c r="K1694" s="1765" t="s">
        <v>2555</v>
      </c>
      <c r="L1694" s="1948">
        <f>'Part IX A-Scoring Criteria'!L263</f>
        <v>0</v>
      </c>
      <c r="M1694" s="1948"/>
      <c r="N1694" s="1891"/>
      <c r="O1694" s="1520"/>
      <c r="P1694" s="1520"/>
      <c r="R1694" s="1871"/>
    </row>
    <row r="1695" spans="1:19">
      <c r="A1695" s="1770"/>
      <c r="B1695" s="1765" t="s">
        <v>4240</v>
      </c>
      <c r="C1695" s="519" t="s">
        <v>4241</v>
      </c>
      <c r="H1695" s="1765" t="s">
        <v>4240</v>
      </c>
      <c r="I1695" s="1948">
        <f>'Part IX A-Scoring Criteria'!I264</f>
        <v>0</v>
      </c>
      <c r="J1695" s="1948"/>
      <c r="K1695" s="1765" t="s">
        <v>4240</v>
      </c>
      <c r="L1695" s="1948">
        <f>'Part IX A-Scoring Criteria'!L264</f>
        <v>0</v>
      </c>
      <c r="M1695" s="1948"/>
      <c r="N1695" s="1949" t="s">
        <v>4242</v>
      </c>
      <c r="O1695" s="1520"/>
      <c r="P1695" s="1520"/>
      <c r="R1695" s="1871"/>
    </row>
    <row r="1696" spans="1:19">
      <c r="A1696" s="1770"/>
      <c r="B1696" s="1926"/>
      <c r="C1696" s="1728" t="s">
        <v>2731</v>
      </c>
      <c r="H1696" s="502"/>
      <c r="I1696" s="1948">
        <f>SUM(I1686:J1695)</f>
        <v>0</v>
      </c>
      <c r="J1696" s="1948"/>
      <c r="L1696" s="1948">
        <f>SUM($L1686:$L1695)</f>
        <v>0</v>
      </c>
      <c r="M1696" s="1948"/>
      <c r="N1696" s="1891"/>
      <c r="O1696" s="1520"/>
      <c r="P1696" s="1520"/>
      <c r="R1696" s="1871"/>
    </row>
    <row r="1697" spans="1:19" ht="15">
      <c r="A1697" s="518"/>
      <c r="B1697" s="1950"/>
      <c r="C1697" s="1861"/>
      <c r="D1697" s="519"/>
      <c r="E1697" s="519"/>
      <c r="F1697" s="1687"/>
      <c r="G1697" s="1672" t="str">
        <f>IF(OR(I1695=0,I1695="",$I$267=0),"",IF(I1695/$I$267&lt;10%,"Check amount of conventional loan in (j) - must be at least 10% of TDC!",""))</f>
        <v/>
      </c>
      <c r="H1697" s="1672"/>
      <c r="I1697" s="1672"/>
      <c r="J1697" s="1672"/>
      <c r="K1697" s="1672"/>
      <c r="L1697" s="1672" t="str">
        <f>IF(OR(L1695=0,L1695="",$I$267=0),"",IF(L1695/$I$267&lt;10%,"Check amount of conventional loan in (j) - must be at least 10% of TDC!",""))</f>
        <v/>
      </c>
      <c r="M1697" s="1672"/>
      <c r="N1697" s="1672"/>
      <c r="O1697" s="1672"/>
      <c r="P1697" s="1672"/>
      <c r="Q1697" s="1861"/>
      <c r="R1697" s="1861"/>
      <c r="S1697" s="1861"/>
    </row>
    <row r="1698" spans="1:19">
      <c r="B1698" s="1907" t="s">
        <v>2074</v>
      </c>
      <c r="C1698" s="1837" t="s">
        <v>2730</v>
      </c>
      <c r="D1698" s="1728" t="s">
        <v>2732</v>
      </c>
      <c r="I1698" s="1948">
        <f>'Part IV-Uses of Funds'!$G$131</f>
        <v>23748176.5</v>
      </c>
      <c r="J1698" s="1948"/>
      <c r="L1698" s="1672"/>
      <c r="M1698" s="1672"/>
      <c r="N1698" s="1672"/>
      <c r="O1698" s="1672"/>
      <c r="P1698" s="1672"/>
    </row>
    <row r="1699" spans="1:19">
      <c r="B1699" s="1891"/>
      <c r="C1699" s="1951"/>
      <c r="D1699" s="1886" t="s">
        <v>2733</v>
      </c>
      <c r="G1699" s="1764"/>
      <c r="H1699" s="1764"/>
      <c r="I1699" s="1952">
        <f>IF($I1698=0,0,$I1696/$I1698)</f>
        <v>0</v>
      </c>
      <c r="J1699" s="1952"/>
      <c r="L1699" s="1952">
        <f>IF($I1698=0,0,$L1696/$I1698)</f>
        <v>0</v>
      </c>
      <c r="M1699" s="1952"/>
    </row>
    <row r="1700" spans="1:19" ht="15">
      <c r="A1700" s="1711" t="s">
        <v>2071</v>
      </c>
      <c r="B1700" s="1873" t="s">
        <v>4243</v>
      </c>
      <c r="C1700" s="1861"/>
      <c r="D1700" s="519"/>
      <c r="E1700" s="519"/>
      <c r="F1700" s="1687"/>
      <c r="G1700" s="1861"/>
      <c r="H1700" s="519"/>
      <c r="I1700" s="1687"/>
      <c r="J1700" s="1728"/>
      <c r="K1700" s="1728"/>
      <c r="L1700" s="1728"/>
      <c r="M1700" s="1512">
        <v>2</v>
      </c>
      <c r="N1700" s="1765" t="s">
        <v>2071</v>
      </c>
      <c r="O1700" s="1857">
        <f>'Part IX A-Scoring Criteria'!O269</f>
        <v>0</v>
      </c>
      <c r="P1700" s="1857">
        <f>'Part IX A-Scoring Criteria'!P269</f>
        <v>0</v>
      </c>
      <c r="Q1700" s="1732" t="s">
        <v>2834</v>
      </c>
      <c r="R1700" s="1861"/>
      <c r="S1700" s="1861"/>
    </row>
    <row r="1701" spans="1:19" ht="15">
      <c r="A1701" s="1711"/>
      <c r="B1701" s="519" t="s">
        <v>4244</v>
      </c>
      <c r="C1701" s="519"/>
      <c r="D1701" s="519"/>
      <c r="E1701" s="519"/>
      <c r="F1701" s="519"/>
      <c r="G1701" s="519"/>
      <c r="H1701" s="519"/>
      <c r="I1701" s="519"/>
      <c r="J1701" s="519"/>
      <c r="K1701" s="519"/>
      <c r="L1701" s="519"/>
      <c r="M1701" s="519"/>
      <c r="N1701" s="519"/>
      <c r="O1701" s="1790">
        <f>'Part IX A-Scoring Criteria'!O270</f>
        <v>0</v>
      </c>
      <c r="P1701" s="1790">
        <f>'Part IX A-Scoring Criteria'!P270</f>
        <v>0</v>
      </c>
      <c r="Q1701" s="1861"/>
      <c r="R1701" s="1861"/>
      <c r="S1701" s="1861"/>
    </row>
    <row r="1702" spans="1:19" ht="15">
      <c r="A1702" s="1711" t="s">
        <v>786</v>
      </c>
      <c r="B1702" s="1873" t="s">
        <v>673</v>
      </c>
      <c r="C1702" s="1861"/>
      <c r="D1702" s="519"/>
      <c r="E1702" s="519"/>
      <c r="F1702" s="1687"/>
      <c r="G1702" s="1687"/>
      <c r="H1702" s="1687"/>
      <c r="I1702" s="1687"/>
      <c r="J1702" s="1728"/>
      <c r="K1702" s="1728"/>
      <c r="L1702" s="1728"/>
      <c r="M1702" s="1512">
        <v>2</v>
      </c>
      <c r="N1702" s="1765" t="s">
        <v>786</v>
      </c>
      <c r="O1702" s="1857">
        <f>'Part IX A-Scoring Criteria'!O271</f>
        <v>0</v>
      </c>
      <c r="P1702" s="1857">
        <f>'Part IX A-Scoring Criteria'!P271</f>
        <v>0</v>
      </c>
      <c r="Q1702" s="1861"/>
      <c r="R1702" s="1871" t="str">
        <f>IF(OR($O1702=$M1702,$O1702=0,$O1702=""),"","* * Check Score! * *")</f>
        <v/>
      </c>
      <c r="S1702" s="1861"/>
    </row>
    <row r="1703" spans="1:19" ht="15">
      <c r="A1703" s="1903"/>
      <c r="B1703" s="519" t="s">
        <v>3083</v>
      </c>
      <c r="C1703" s="1861"/>
      <c r="D1703" s="1861"/>
      <c r="E1703" s="1861"/>
      <c r="F1703" s="1861"/>
      <c r="G1703" s="1861"/>
      <c r="H1703" s="1861"/>
      <c r="I1703" s="1757">
        <f>'Part IX A-Scoring Criteria'!I272</f>
        <v>0</v>
      </c>
      <c r="J1703" s="1757"/>
      <c r="K1703" s="1757"/>
      <c r="L1703" s="1757"/>
      <c r="M1703" s="1757"/>
      <c r="N1703" s="1757"/>
      <c r="O1703" s="1861"/>
      <c r="P1703" s="1861"/>
      <c r="Q1703" s="1861"/>
      <c r="R1703" s="1861"/>
      <c r="S1703" s="1861"/>
    </row>
    <row r="1704" spans="1:19" ht="15">
      <c r="A1704" s="1903"/>
      <c r="B1704" s="1886" t="s">
        <v>4246</v>
      </c>
      <c r="C1704" s="1861"/>
      <c r="D1704" s="1861"/>
      <c r="E1704" s="1861"/>
      <c r="F1704" s="1861"/>
      <c r="G1704" s="1861"/>
      <c r="H1704" s="1861"/>
      <c r="I1704" s="1844" t="str">
        <f>'Part IX A-Scoring Criteria'!I273</f>
        <v>&lt;Select unrelated 3rd party type&gt;</v>
      </c>
      <c r="J1704" s="1844"/>
      <c r="K1704" s="1844"/>
      <c r="L1704" s="1861"/>
      <c r="M1704" s="1861"/>
      <c r="N1704" s="1861"/>
      <c r="O1704" s="1861"/>
      <c r="P1704" s="1861"/>
      <c r="Q1704" s="1861"/>
      <c r="R1704" s="1861"/>
      <c r="S1704" s="1861"/>
    </row>
    <row r="1705" spans="1:19">
      <c r="A1705" s="1770"/>
      <c r="B1705" s="1886" t="s">
        <v>4342</v>
      </c>
      <c r="F1705" s="1832"/>
      <c r="G1705" s="1832"/>
      <c r="H1705" s="1832"/>
      <c r="I1705" s="1823">
        <f>'Part IX A-Scoring Criteria'!I274</f>
        <v>0</v>
      </c>
      <c r="K1705" s="1832"/>
      <c r="L1705" s="1832"/>
      <c r="M1705" s="1832"/>
      <c r="N1705" s="1832"/>
      <c r="O1705" s="1832"/>
      <c r="P1705" s="1832"/>
    </row>
    <row r="1706" spans="1:19">
      <c r="A1706" s="1770"/>
      <c r="B1706" s="1815" t="s">
        <v>4245</v>
      </c>
      <c r="G1706" s="1815"/>
      <c r="I1706" s="1953">
        <f>'Part IX A-Scoring Criteria'!I275</f>
        <v>0</v>
      </c>
      <c r="J1706" s="1954"/>
      <c r="K1706" s="1832"/>
      <c r="L1706" s="1832"/>
      <c r="M1706" s="1832"/>
      <c r="N1706" s="1832"/>
      <c r="O1706" s="1832"/>
      <c r="P1706" s="1832"/>
    </row>
    <row r="1707" spans="1:19" ht="12.75" customHeight="1">
      <c r="A1707" s="1770"/>
      <c r="B1707" s="1792" t="s">
        <v>2449</v>
      </c>
      <c r="C1707" s="1792"/>
      <c r="D1707" s="1604">
        <f>'Part IX A-Scoring Criteria'!D276</f>
        <v>0</v>
      </c>
      <c r="E1707" s="1604"/>
      <c r="F1707" s="1604"/>
      <c r="G1707" s="1604"/>
      <c r="H1707" s="1604"/>
      <c r="I1707" s="1604"/>
      <c r="J1707" s="1604"/>
      <c r="K1707" s="1604"/>
      <c r="L1707" s="1604"/>
      <c r="M1707" s="1604"/>
      <c r="N1707" s="1604"/>
      <c r="O1707" s="1604"/>
      <c r="P1707" s="1604"/>
    </row>
    <row r="1708" spans="1:19">
      <c r="B1708" s="519" t="s">
        <v>3851</v>
      </c>
      <c r="E1708" s="1843"/>
      <c r="I1708" s="1955">
        <f>'Part IX A-Scoring Criteria'!I277</f>
        <v>0</v>
      </c>
      <c r="J1708" s="1955"/>
      <c r="L1708" s="1948">
        <f>'Part IX A-Scoring Criteria'!L277</f>
        <v>0</v>
      </c>
      <c r="M1708" s="1948"/>
      <c r="P1708" s="1520"/>
    </row>
    <row r="1709" spans="1:19" ht="15">
      <c r="A1709" s="518"/>
      <c r="B1709" s="1861"/>
      <c r="C1709" s="519" t="s">
        <v>4624</v>
      </c>
      <c r="D1709" s="1795"/>
      <c r="E1709" s="1795"/>
      <c r="F1709" s="1795"/>
      <c r="G1709" s="1795"/>
      <c r="H1709" s="1795"/>
      <c r="I1709" s="1952">
        <f>IF($I1708=0,0,$I1708/$I1698)</f>
        <v>0</v>
      </c>
      <c r="J1709" s="1952"/>
      <c r="K1709" s="1795"/>
      <c r="L1709" s="1952">
        <f>IF($L1708=0,0,$L1708/$I1698)</f>
        <v>0</v>
      </c>
      <c r="M1709" s="1952"/>
      <c r="N1709" s="1889"/>
      <c r="O1709" s="1864"/>
      <c r="P1709" s="1687"/>
      <c r="Q1709" s="1861"/>
      <c r="R1709" s="1861"/>
      <c r="S1709" s="1861"/>
    </row>
    <row r="1710" spans="1:19" ht="15">
      <c r="A1710" s="518"/>
      <c r="B1710" s="1756" t="s">
        <v>268</v>
      </c>
      <c r="C1710" s="518"/>
      <c r="D1710" s="522"/>
      <c r="E1710" s="522"/>
      <c r="F1710" s="522"/>
      <c r="G1710" s="522"/>
      <c r="H1710" s="519"/>
      <c r="I1710" s="519"/>
      <c r="J1710" s="519"/>
      <c r="K1710" s="519"/>
      <c r="L1710" s="1861"/>
      <c r="M1710" s="1512"/>
      <c r="N1710" s="1518"/>
      <c r="O1710" s="1857"/>
      <c r="P1710" s="1520"/>
      <c r="Q1710" s="1861"/>
      <c r="R1710" s="1861"/>
      <c r="S1710" s="1861"/>
    </row>
    <row r="1711" spans="1:19" ht="15.75">
      <c r="A1711" s="1792">
        <f>'Part IX A-Scoring Criteria'!A280</f>
        <v>0</v>
      </c>
      <c r="B1711" s="1792"/>
      <c r="C1711" s="1792"/>
      <c r="D1711" s="1792"/>
      <c r="E1711" s="1792"/>
      <c r="F1711" s="1792"/>
      <c r="G1711" s="1792"/>
      <c r="H1711" s="1792"/>
      <c r="I1711" s="1792"/>
      <c r="J1711" s="1792"/>
      <c r="K1711" s="1792"/>
      <c r="L1711" s="1792"/>
      <c r="M1711" s="1792"/>
      <c r="N1711" s="1792"/>
      <c r="O1711" s="1792"/>
      <c r="P1711" s="1792"/>
      <c r="Q1711" s="1866" t="s">
        <v>1308</v>
      </c>
      <c r="R1711" s="1861"/>
      <c r="S1711" s="1861"/>
    </row>
    <row r="1712" spans="1:19" ht="15">
      <c r="A1712" s="518"/>
      <c r="B1712" s="1756" t="s">
        <v>1947</v>
      </c>
      <c r="C1712" s="518"/>
      <c r="D1712" s="1793"/>
      <c r="E1712" s="1795"/>
      <c r="F1712" s="1795"/>
      <c r="G1712" s="1795"/>
      <c r="H1712" s="1795"/>
      <c r="I1712" s="1795"/>
      <c r="J1712" s="1795"/>
      <c r="K1712" s="1795"/>
      <c r="L1712" s="1795"/>
      <c r="M1712" s="1795"/>
      <c r="N1712" s="1889"/>
      <c r="O1712" s="1864"/>
      <c r="P1712" s="1687"/>
      <c r="Q1712" s="1883"/>
      <c r="R1712" s="1876"/>
      <c r="S1712" s="1876"/>
    </row>
    <row r="1713" spans="1:19" ht="15.75">
      <c r="A1713" s="1792">
        <f>'Part IX A-Scoring Criteria'!A282</f>
        <v>0</v>
      </c>
      <c r="B1713" s="1792"/>
      <c r="C1713" s="1792"/>
      <c r="D1713" s="1792"/>
      <c r="E1713" s="1792"/>
      <c r="F1713" s="1792"/>
      <c r="G1713" s="1792"/>
      <c r="H1713" s="1792"/>
      <c r="I1713" s="1792"/>
      <c r="J1713" s="1792"/>
      <c r="K1713" s="1792"/>
      <c r="L1713" s="1792"/>
      <c r="M1713" s="1792"/>
      <c r="N1713" s="1792"/>
      <c r="O1713" s="1792"/>
      <c r="P1713" s="1792"/>
      <c r="Q1713" s="1866" t="s">
        <v>1308</v>
      </c>
      <c r="R1713" s="1861"/>
      <c r="S1713" s="1861"/>
    </row>
    <row r="1714" spans="1:19">
      <c r="N1714" s="1518"/>
      <c r="O1714" s="1520"/>
      <c r="P1714" s="1520"/>
    </row>
    <row r="1715" spans="1:19" ht="15">
      <c r="A1715" s="1858" t="s">
        <v>1743</v>
      </c>
      <c r="B1715" s="1859" t="s">
        <v>3753</v>
      </c>
      <c r="C1715" s="1765"/>
      <c r="D1715" s="1861"/>
      <c r="E1715" s="1890"/>
      <c r="F1715" s="1861"/>
      <c r="G1715" s="1700" t="s">
        <v>3023</v>
      </c>
      <c r="H1715" s="1861"/>
      <c r="I1715" s="1692" t="str">
        <f>'Part I-Project Information'!$H$90</f>
        <v>&lt;&lt;Select Pool&gt;&gt;</v>
      </c>
      <c r="J1715" s="522"/>
      <c r="K1715" s="522"/>
      <c r="L1715" s="1871" t="str">
        <f>IF(OR($O1715=$M1715,$O1715=0,$O1715=""),"","* * Check Score! * *")</f>
        <v/>
      </c>
      <c r="M1715" s="1687">
        <v>3</v>
      </c>
      <c r="N1715" s="1876"/>
      <c r="O1715" s="1512"/>
      <c r="P1715" s="1857">
        <f>'Part IX A-Scoring Criteria'!P284</f>
        <v>0</v>
      </c>
      <c r="Q1715" s="1687" t="s">
        <v>459</v>
      </c>
      <c r="R1715" s="1871"/>
      <c r="S1715" s="1861"/>
    </row>
    <row r="1716" spans="1:19" ht="15">
      <c r="A1716" s="1711" t="s">
        <v>2068</v>
      </c>
      <c r="B1716" s="1700" t="s">
        <v>2868</v>
      </c>
      <c r="C1716" s="1861"/>
      <c r="D1716" s="518"/>
      <c r="E1716" s="1861"/>
      <c r="F1716" s="1861"/>
      <c r="G1716" s="502" t="s">
        <v>2444</v>
      </c>
      <c r="H1716" s="1861"/>
      <c r="I1716" s="1861"/>
      <c r="J1716" s="1861"/>
      <c r="K1716" s="1861"/>
      <c r="L1716" s="1861"/>
      <c r="M1716" s="1512">
        <v>3</v>
      </c>
      <c r="N1716" s="1765" t="s">
        <v>2068</v>
      </c>
      <c r="O1716" s="1790">
        <f>'Part IX A-Scoring Criteria'!O285</f>
        <v>0</v>
      </c>
      <c r="P1716" s="1790">
        <f>'Part IX A-Scoring Criteria'!P285</f>
        <v>0</v>
      </c>
      <c r="Q1716" s="1861"/>
      <c r="R1716" s="1871"/>
      <c r="S1716" s="1861"/>
    </row>
    <row r="1717" spans="1:19" ht="15" customHeight="1">
      <c r="A1717" s="1711" t="s">
        <v>2071</v>
      </c>
      <c r="B1717" s="1700" t="s">
        <v>3754</v>
      </c>
      <c r="C1717" s="1861"/>
      <c r="D1717" s="518"/>
      <c r="E1717" s="1861"/>
      <c r="F1717" s="1765"/>
      <c r="G1717" s="502" t="s">
        <v>4467</v>
      </c>
      <c r="H1717" s="1861"/>
      <c r="I1717" s="1786" t="str">
        <f>'Part IX A-Scoring Criteria'!I286</f>
        <v>&lt;&lt; Choose category in which to compete &gt;&gt;</v>
      </c>
      <c r="J1717" s="1786"/>
      <c r="K1717" s="1786"/>
      <c r="L1717" s="1786"/>
      <c r="M1717" s="1861"/>
      <c r="N1717" s="1861"/>
      <c r="O1717" s="1606" t="s">
        <v>4625</v>
      </c>
      <c r="P1717" s="1606"/>
      <c r="Q1717" s="1861"/>
      <c r="R1717" s="1871"/>
      <c r="S1717" s="1861"/>
    </row>
    <row r="1718" spans="1:19" ht="15">
      <c r="A1718" s="1880" t="s">
        <v>786</v>
      </c>
      <c r="B1718" s="1726" t="s">
        <v>4247</v>
      </c>
      <c r="C1718" s="1883"/>
      <c r="D1718" s="1682"/>
      <c r="E1718" s="1682"/>
      <c r="F1718" s="518"/>
      <c r="G1718" s="1861"/>
      <c r="H1718" s="1861"/>
      <c r="I1718" s="1861"/>
      <c r="J1718" s="1861"/>
      <c r="K1718" s="1861"/>
      <c r="L1718" s="1956" t="s">
        <v>4254</v>
      </c>
      <c r="M1718" s="1861"/>
      <c r="N1718" s="1861"/>
      <c r="O1718" s="1606"/>
      <c r="P1718" s="1606"/>
      <c r="Q1718" s="1861"/>
      <c r="R1718" s="1871"/>
      <c r="S1718" s="1861"/>
    </row>
    <row r="1719" spans="1:19" ht="15">
      <c r="A1719" s="1711"/>
      <c r="B1719" s="1907" t="s">
        <v>2072</v>
      </c>
      <c r="C1719" s="519" t="s">
        <v>4248</v>
      </c>
      <c r="D1719" s="518"/>
      <c r="E1719" s="1876"/>
      <c r="F1719" s="518"/>
      <c r="G1719" s="1876"/>
      <c r="H1719" s="519"/>
      <c r="I1719" s="1876"/>
      <c r="J1719" s="1876"/>
      <c r="K1719" s="1876"/>
      <c r="L1719" s="1926" t="s">
        <v>4255</v>
      </c>
      <c r="M1719" s="1876"/>
      <c r="N1719" s="1765" t="s">
        <v>786</v>
      </c>
      <c r="O1719" s="1891" t="s">
        <v>2072</v>
      </c>
      <c r="P1719" s="1790">
        <f>'Part IX A-Scoring Criteria'!P288</f>
        <v>0</v>
      </c>
      <c r="Q1719" s="1876"/>
      <c r="R1719" s="1871"/>
      <c r="S1719" s="1876"/>
    </row>
    <row r="1720" spans="1:19" ht="15">
      <c r="A1720" s="1711"/>
      <c r="B1720" s="1907" t="s">
        <v>2074</v>
      </c>
      <c r="C1720" s="519" t="s">
        <v>4249</v>
      </c>
      <c r="D1720" s="518"/>
      <c r="E1720" s="1876"/>
      <c r="F1720" s="518"/>
      <c r="G1720" s="1876"/>
      <c r="H1720" s="519"/>
      <c r="I1720" s="1876"/>
      <c r="J1720" s="1876"/>
      <c r="K1720" s="1876"/>
      <c r="L1720" s="1926" t="s">
        <v>4255</v>
      </c>
      <c r="M1720" s="1876"/>
      <c r="N1720" s="1876"/>
      <c r="O1720" s="1891" t="s">
        <v>2074</v>
      </c>
      <c r="P1720" s="1790">
        <f>'Part IX A-Scoring Criteria'!P289</f>
        <v>0</v>
      </c>
      <c r="Q1720" s="1876"/>
      <c r="R1720" s="1871"/>
      <c r="S1720" s="1876"/>
    </row>
    <row r="1721" spans="1:19" ht="15">
      <c r="A1721" s="1711"/>
      <c r="B1721" s="1907" t="s">
        <v>2634</v>
      </c>
      <c r="C1721" s="519" t="s">
        <v>4250</v>
      </c>
      <c r="D1721" s="518"/>
      <c r="E1721" s="1876"/>
      <c r="F1721" s="518"/>
      <c r="G1721" s="1876"/>
      <c r="H1721" s="519"/>
      <c r="I1721" s="1876"/>
      <c r="J1721" s="1876"/>
      <c r="K1721" s="1876"/>
      <c r="L1721" s="1926" t="s">
        <v>4256</v>
      </c>
      <c r="M1721" s="1876"/>
      <c r="N1721" s="1876"/>
      <c r="O1721" s="1891" t="s">
        <v>2634</v>
      </c>
      <c r="P1721" s="1790">
        <f>'Part IX A-Scoring Criteria'!P290</f>
        <v>0</v>
      </c>
      <c r="Q1721" s="1876"/>
      <c r="R1721" s="1871"/>
      <c r="S1721" s="1876"/>
    </row>
    <row r="1722" spans="1:19" ht="15">
      <c r="A1722" s="1711"/>
      <c r="B1722" s="1907" t="s">
        <v>1277</v>
      </c>
      <c r="C1722" s="519" t="s">
        <v>4251</v>
      </c>
      <c r="D1722" s="518"/>
      <c r="E1722" s="1876"/>
      <c r="F1722" s="518"/>
      <c r="G1722" s="1876"/>
      <c r="H1722" s="519"/>
      <c r="I1722" s="1876"/>
      <c r="J1722" s="1876"/>
      <c r="K1722" s="1876"/>
      <c r="L1722" s="1926" t="s">
        <v>4256</v>
      </c>
      <c r="M1722" s="1876"/>
      <c r="N1722" s="1876"/>
      <c r="O1722" s="1891" t="s">
        <v>1277</v>
      </c>
      <c r="P1722" s="1790">
        <f>'Part IX A-Scoring Criteria'!P291</f>
        <v>0</v>
      </c>
      <c r="Q1722" s="1876"/>
      <c r="R1722" s="1871"/>
      <c r="S1722" s="1876"/>
    </row>
    <row r="1723" spans="1:19" ht="15">
      <c r="A1723" s="1711"/>
      <c r="B1723" s="1907" t="s">
        <v>1278</v>
      </c>
      <c r="C1723" s="519" t="s">
        <v>4252</v>
      </c>
      <c r="D1723" s="518"/>
      <c r="E1723" s="1876"/>
      <c r="F1723" s="518"/>
      <c r="G1723" s="1876"/>
      <c r="H1723" s="519"/>
      <c r="I1723" s="1876"/>
      <c r="J1723" s="1876"/>
      <c r="K1723" s="1876"/>
      <c r="L1723" s="1926" t="s">
        <v>4256</v>
      </c>
      <c r="M1723" s="1876"/>
      <c r="N1723" s="1876"/>
      <c r="O1723" s="1891" t="s">
        <v>1278</v>
      </c>
      <c r="P1723" s="1790">
        <f>'Part IX A-Scoring Criteria'!P292</f>
        <v>0</v>
      </c>
      <c r="Q1723" s="1876"/>
      <c r="R1723" s="1871"/>
      <c r="S1723" s="1876"/>
    </row>
    <row r="1724" spans="1:19" ht="15">
      <c r="A1724" s="1828"/>
      <c r="B1724" s="1909" t="s">
        <v>1965</v>
      </c>
      <c r="C1724" s="1815" t="s">
        <v>4253</v>
      </c>
      <c r="D1724" s="1815"/>
      <c r="E1724" s="1815"/>
      <c r="F1724" s="1815"/>
      <c r="G1724" s="1815"/>
      <c r="H1724" s="1815"/>
      <c r="I1724" s="1815"/>
      <c r="J1724" s="1815"/>
      <c r="K1724" s="1815"/>
      <c r="L1724" s="1926" t="s">
        <v>4256</v>
      </c>
      <c r="M1724" s="1900"/>
      <c r="N1724" s="1900"/>
      <c r="O1724" s="1878" t="s">
        <v>1965</v>
      </c>
      <c r="P1724" s="1790">
        <f>'Part IX A-Scoring Criteria'!P293</f>
        <v>0</v>
      </c>
      <c r="Q1724" s="1900"/>
      <c r="R1724" s="1899"/>
      <c r="S1724" s="1900"/>
    </row>
    <row r="1725" spans="1:19" ht="15">
      <c r="A1725" s="1861"/>
      <c r="B1725" s="1756" t="s">
        <v>1947</v>
      </c>
      <c r="C1725" s="502"/>
      <c r="D1725" s="518"/>
      <c r="E1725" s="1861"/>
      <c r="F1725" s="518"/>
      <c r="G1725" s="1861"/>
      <c r="H1725" s="502"/>
      <c r="I1725" s="1861"/>
      <c r="J1725" s="1861"/>
      <c r="K1725" s="1861"/>
      <c r="L1725" s="1926" t="s">
        <v>4257</v>
      </c>
      <c r="M1725" s="1861"/>
      <c r="N1725" s="1861"/>
      <c r="O1725" s="1957" t="s">
        <v>3755</v>
      </c>
      <c r="P1725" s="1692">
        <f>SUM(P1719:P1724)</f>
        <v>0</v>
      </c>
      <c r="Q1725" s="1861"/>
      <c r="R1725" s="1871"/>
      <c r="S1725" s="1861"/>
    </row>
    <row r="1726" spans="1:19" ht="15.75">
      <c r="A1726" s="1792">
        <f>'Part IX A-Scoring Criteria'!A295</f>
        <v>0</v>
      </c>
      <c r="B1726" s="1792"/>
      <c r="C1726" s="1792"/>
      <c r="D1726" s="1792"/>
      <c r="E1726" s="1792"/>
      <c r="F1726" s="1792"/>
      <c r="G1726" s="1792"/>
      <c r="H1726" s="1792"/>
      <c r="I1726" s="1792"/>
      <c r="J1726" s="1792"/>
      <c r="K1726" s="1792"/>
      <c r="L1726" s="1792"/>
      <c r="M1726" s="1792"/>
      <c r="N1726" s="1792"/>
      <c r="O1726" s="1792"/>
      <c r="P1726" s="1792"/>
      <c r="Q1726" s="1866" t="s">
        <v>1308</v>
      </c>
      <c r="R1726" s="1861"/>
      <c r="S1726" s="1861"/>
    </row>
    <row r="1727" spans="1:19" ht="15">
      <c r="A1727" s="518"/>
      <c r="B1727" s="518"/>
      <c r="C1727" s="1795"/>
      <c r="D1727" s="1795"/>
      <c r="E1727" s="1795"/>
      <c r="F1727" s="1795"/>
      <c r="G1727" s="1795"/>
      <c r="H1727" s="1795"/>
      <c r="I1727" s="1795"/>
      <c r="J1727" s="1795"/>
      <c r="K1727" s="1795"/>
      <c r="L1727" s="1795"/>
      <c r="M1727" s="1795"/>
      <c r="N1727" s="1889"/>
      <c r="O1727" s="1864"/>
      <c r="P1727" s="1687"/>
      <c r="Q1727" s="1861"/>
      <c r="R1727" s="1861"/>
      <c r="S1727" s="1861"/>
    </row>
    <row r="1728" spans="1:19" ht="15">
      <c r="A1728" s="1933" t="s">
        <v>1744</v>
      </c>
      <c r="B1728" s="1869" t="s">
        <v>2849</v>
      </c>
      <c r="C1728" s="1750"/>
      <c r="D1728" s="1844"/>
      <c r="E1728" s="519"/>
      <c r="F1728" s="1861"/>
      <c r="G1728" s="1861"/>
      <c r="H1728" s="1861"/>
      <c r="I1728" s="1861"/>
      <c r="J1728" s="1929"/>
      <c r="K1728" s="1861"/>
      <c r="L1728" s="1861"/>
      <c r="M1728" s="1687">
        <v>3</v>
      </c>
      <c r="N1728" s="1512"/>
      <c r="O1728" s="1857">
        <f>'Part IX A-Scoring Criteria'!O297</f>
        <v>0</v>
      </c>
      <c r="P1728" s="1857">
        <f>'Part IX A-Scoring Criteria'!P297</f>
        <v>0</v>
      </c>
      <c r="Q1728" s="1687" t="s">
        <v>459</v>
      </c>
      <c r="R1728" s="1861"/>
      <c r="S1728" s="1861"/>
    </row>
    <row r="1729" spans="1:19" ht="15">
      <c r="A1729" s="1711" t="s">
        <v>2068</v>
      </c>
      <c r="B1729" s="1700" t="s">
        <v>4324</v>
      </c>
      <c r="C1729" s="1861"/>
      <c r="D1729" s="518"/>
      <c r="E1729" s="518"/>
      <c r="F1729" s="518"/>
      <c r="G1729" s="1861"/>
      <c r="H1729" s="1657" t="s">
        <v>4325</v>
      </c>
      <c r="I1729" s="1958">
        <f>IF('Part VI-Revenues &amp; Expenses'!$O$62=0,0,'Part VI-Revenues &amp; Expenses'!$O$66/'Part VI-Revenues &amp; Expenses'!$O$62)</f>
        <v>1</v>
      </c>
      <c r="J1729" s="1861"/>
      <c r="K1729" s="1765" t="s">
        <v>4322</v>
      </c>
      <c r="L1729" s="1958">
        <f>IF('Part VI-Revenues &amp; Expenses'!$O$58=0,0,'Part VI-Revenues &amp; Expenses'!$K$58/'Part VI-Revenues &amp; Expenses'!$O$58)</f>
        <v>0.85802469135802473</v>
      </c>
      <c r="M1729" s="1512">
        <v>2</v>
      </c>
      <c r="N1729" s="1765" t="s">
        <v>2068</v>
      </c>
      <c r="O1729" s="1857">
        <f>'Part IX A-Scoring Criteria'!O298</f>
        <v>0</v>
      </c>
      <c r="P1729" s="1857">
        <f>'Part IX A-Scoring Criteria'!P298</f>
        <v>0</v>
      </c>
      <c r="Q1729" s="1732"/>
      <c r="R1729" s="1687"/>
      <c r="S1729" s="1861"/>
    </row>
    <row r="1730" spans="1:19" ht="15" customHeight="1">
      <c r="A1730" s="1828"/>
      <c r="B1730" s="1909" t="s">
        <v>2072</v>
      </c>
      <c r="C1730" s="1792" t="s">
        <v>4323</v>
      </c>
      <c r="D1730" s="1792"/>
      <c r="E1730" s="1792"/>
      <c r="F1730" s="1792"/>
      <c r="G1730" s="1792"/>
      <c r="H1730" s="1792"/>
      <c r="I1730" s="1792"/>
      <c r="J1730" s="1792"/>
      <c r="K1730" s="1792"/>
      <c r="L1730" s="1792"/>
      <c r="M1730" s="1792"/>
      <c r="N1730" s="1878" t="s">
        <v>2072</v>
      </c>
      <c r="O1730" s="1790">
        <f>'Part IX A-Scoring Criteria'!O299</f>
        <v>0</v>
      </c>
      <c r="P1730" s="1790">
        <f>'Part IX A-Scoring Criteria'!P299</f>
        <v>0</v>
      </c>
      <c r="Q1730" s="1908"/>
      <c r="R1730" s="1899"/>
      <c r="S1730" s="1900"/>
    </row>
    <row r="1731" spans="1:19" ht="12.75" customHeight="1">
      <c r="A1731" s="1750"/>
      <c r="B1731" s="1909" t="s">
        <v>2074</v>
      </c>
      <c r="C1731" s="1792" t="s">
        <v>3756</v>
      </c>
      <c r="D1731" s="1792"/>
      <c r="E1731" s="1792"/>
      <c r="F1731" s="1792"/>
      <c r="G1731" s="1792"/>
      <c r="H1731" s="1792"/>
      <c r="I1731" s="1792"/>
      <c r="J1731" s="1792"/>
      <c r="K1731" s="1792"/>
      <c r="L1731" s="1792"/>
      <c r="M1731" s="1792"/>
      <c r="N1731" s="1878" t="s">
        <v>2074</v>
      </c>
      <c r="O1731" s="1790">
        <f>'Part IX A-Scoring Criteria'!O300</f>
        <v>0</v>
      </c>
      <c r="P1731" s="1790">
        <f>'Part IX A-Scoring Criteria'!P300</f>
        <v>0</v>
      </c>
      <c r="Q1731" s="1815"/>
      <c r="R1731" s="1815"/>
      <c r="S1731" s="1815"/>
    </row>
    <row r="1732" spans="1:19" ht="12.75" customHeight="1">
      <c r="A1732" s="1750"/>
      <c r="B1732" s="1909" t="s">
        <v>2634</v>
      </c>
      <c r="C1732" s="1792" t="s">
        <v>4260</v>
      </c>
      <c r="D1732" s="1792"/>
      <c r="E1732" s="1792"/>
      <c r="F1732" s="1792"/>
      <c r="G1732" s="1792"/>
      <c r="H1732" s="1792"/>
      <c r="I1732" s="1792"/>
      <c r="J1732" s="1792"/>
      <c r="K1732" s="1792"/>
      <c r="L1732" s="1792"/>
      <c r="M1732" s="1792"/>
      <c r="N1732" s="1878" t="s">
        <v>2634</v>
      </c>
      <c r="O1732" s="1790">
        <f>'Part IX A-Scoring Criteria'!O301</f>
        <v>0</v>
      </c>
      <c r="P1732" s="1790">
        <f>'Part IX A-Scoring Criteria'!P301</f>
        <v>0</v>
      </c>
      <c r="Q1732" s="1815"/>
      <c r="R1732" s="1815"/>
      <c r="S1732" s="1815"/>
    </row>
    <row r="1733" spans="1:19">
      <c r="A1733" s="1815"/>
      <c r="B1733" s="1896"/>
      <c r="C1733" s="1959"/>
      <c r="D1733" s="1959"/>
      <c r="E1733" s="1959"/>
      <c r="F1733" s="1959"/>
      <c r="G1733" s="1959"/>
      <c r="H1733" s="1959"/>
      <c r="I1733" s="1815"/>
      <c r="J1733" s="1815"/>
      <c r="K1733" s="1815"/>
      <c r="L1733" s="1815"/>
      <c r="M1733" s="1959"/>
      <c r="N1733" s="1959"/>
      <c r="O1733" s="1959"/>
      <c r="P1733" s="1959"/>
      <c r="Q1733" s="1815"/>
      <c r="R1733" s="1815"/>
      <c r="S1733" s="1815"/>
    </row>
    <row r="1734" spans="1:19" ht="15">
      <c r="A1734" s="1711" t="s">
        <v>2071</v>
      </c>
      <c r="B1734" s="1700" t="s">
        <v>2850</v>
      </c>
      <c r="C1734" s="1861"/>
      <c r="D1734" s="1728"/>
      <c r="E1734" s="1861"/>
      <c r="F1734" s="1861"/>
      <c r="G1734" s="519"/>
      <c r="H1734" s="1861"/>
      <c r="I1734" s="1861"/>
      <c r="J1734" s="1861"/>
      <c r="K1734" s="1861"/>
      <c r="L1734" s="1861"/>
      <c r="M1734" s="1512">
        <v>3</v>
      </c>
      <c r="N1734" s="1765" t="s">
        <v>2071</v>
      </c>
      <c r="O1734" s="1857">
        <f>'Part IX A-Scoring Criteria'!O303</f>
        <v>0</v>
      </c>
      <c r="P1734" s="1857">
        <f>'Part IX A-Scoring Criteria'!P303</f>
        <v>0</v>
      </c>
      <c r="Q1734" s="1732"/>
      <c r="R1734" s="1871"/>
      <c r="S1734" s="1861"/>
    </row>
    <row r="1735" spans="1:19" ht="15" customHeight="1">
      <c r="A1735" s="1828"/>
      <c r="B1735" s="1909" t="s">
        <v>2072</v>
      </c>
      <c r="C1735" s="1792" t="s">
        <v>3866</v>
      </c>
      <c r="D1735" s="1792"/>
      <c r="E1735" s="1792"/>
      <c r="F1735" s="1792"/>
      <c r="G1735" s="1792"/>
      <c r="H1735" s="1792"/>
      <c r="I1735" s="1792"/>
      <c r="J1735" s="1792"/>
      <c r="K1735" s="1792"/>
      <c r="L1735" s="1792"/>
      <c r="M1735" s="1792"/>
      <c r="N1735" s="1878" t="s">
        <v>2072</v>
      </c>
      <c r="O1735" s="1790">
        <f>'Part IX A-Scoring Criteria'!O304</f>
        <v>0</v>
      </c>
      <c r="P1735" s="1790">
        <f>'Part IX A-Scoring Criteria'!P304</f>
        <v>0</v>
      </c>
      <c r="Q1735" s="1908"/>
      <c r="R1735" s="1899"/>
      <c r="S1735" s="1900"/>
    </row>
    <row r="1736" spans="1:19" ht="22.5">
      <c r="A1736" s="1828"/>
      <c r="B1736" s="1909"/>
      <c r="C1736" s="1841" t="s">
        <v>4344</v>
      </c>
      <c r="D1736" s="1795"/>
      <c r="E1736" s="1795"/>
      <c r="F1736" s="1795"/>
      <c r="G1736" s="1792">
        <f>'Part IX A-Scoring Criteria'!G305</f>
        <v>0</v>
      </c>
      <c r="H1736" s="1792"/>
      <c r="I1736" s="1792"/>
      <c r="J1736" s="1792"/>
      <c r="K1736" s="1795" t="s">
        <v>4345</v>
      </c>
      <c r="L1736" s="1960">
        <f>'Part IX A-Scoring Criteria'!L305</f>
        <v>0</v>
      </c>
      <c r="M1736" s="1792"/>
      <c r="N1736" s="1878"/>
      <c r="O1736" s="1878"/>
      <c r="P1736" s="1878"/>
      <c r="Q1736" s="1908"/>
      <c r="R1736" s="1899"/>
      <c r="S1736" s="1900"/>
    </row>
    <row r="1737" spans="1:19">
      <c r="A1737" s="1750"/>
      <c r="B1737" s="1909" t="s">
        <v>2074</v>
      </c>
      <c r="C1737" s="1815" t="s">
        <v>3757</v>
      </c>
      <c r="D1737" s="1815"/>
      <c r="E1737" s="1815"/>
      <c r="F1737" s="1815"/>
      <c r="G1737" s="1815"/>
      <c r="H1737" s="1815"/>
      <c r="I1737" s="1815"/>
      <c r="J1737" s="1815" t="s">
        <v>4343</v>
      </c>
      <c r="K1737" s="1815"/>
      <c r="L1737" s="1764">
        <f>'Part IX A-Scoring Criteria'!L306</f>
        <v>0</v>
      </c>
      <c r="M1737" s="1961">
        <f>IF('Part VI-Revenues &amp; Expenses'!$O$62=0,0,L1737/'Part VI-Revenues &amp; Expenses'!$O$62)</f>
        <v>0</v>
      </c>
      <c r="N1737" s="1878" t="s">
        <v>2074</v>
      </c>
      <c r="O1737" s="1790">
        <f>'Part IX A-Scoring Criteria'!O306</f>
        <v>0</v>
      </c>
      <c r="P1737" s="1790">
        <f>'Part IX A-Scoring Criteria'!P306</f>
        <v>0</v>
      </c>
      <c r="Q1737" s="1815"/>
      <c r="R1737" s="1815"/>
      <c r="S1737" s="1815"/>
    </row>
    <row r="1738" spans="1:19" ht="15">
      <c r="A1738" s="1861"/>
      <c r="B1738" s="1793" t="s">
        <v>1947</v>
      </c>
      <c r="C1738" s="518"/>
      <c r="D1738" s="1793"/>
      <c r="E1738" s="1795"/>
      <c r="F1738" s="1795"/>
      <c r="G1738" s="1795"/>
      <c r="H1738" s="1795"/>
      <c r="I1738" s="1795"/>
      <c r="J1738" s="1795"/>
      <c r="K1738" s="1795"/>
      <c r="L1738" s="1795"/>
      <c r="M1738" s="1795"/>
      <c r="N1738" s="1889"/>
      <c r="O1738" s="1864"/>
      <c r="P1738" s="1687"/>
      <c r="Q1738" s="1883"/>
      <c r="R1738" s="1861"/>
      <c r="S1738" s="1861"/>
    </row>
    <row r="1739" spans="1:19" ht="15.75">
      <c r="A1739" s="1792">
        <f>'Part IX A-Scoring Criteria'!A308</f>
        <v>0</v>
      </c>
      <c r="B1739" s="1792"/>
      <c r="C1739" s="1792"/>
      <c r="D1739" s="1792"/>
      <c r="E1739" s="1792"/>
      <c r="F1739" s="1792"/>
      <c r="G1739" s="1792"/>
      <c r="H1739" s="1792"/>
      <c r="I1739" s="1792"/>
      <c r="J1739" s="1792"/>
      <c r="K1739" s="1792"/>
      <c r="L1739" s="1792"/>
      <c r="M1739" s="1792"/>
      <c r="N1739" s="1792"/>
      <c r="O1739" s="1792"/>
      <c r="P1739" s="1792"/>
      <c r="Q1739" s="1866" t="s">
        <v>1308</v>
      </c>
      <c r="R1739" s="1861"/>
      <c r="S1739" s="1861"/>
    </row>
    <row r="1740" spans="1:19" ht="15">
      <c r="A1740" s="518"/>
      <c r="B1740" s="518"/>
      <c r="C1740" s="1795"/>
      <c r="D1740" s="1795"/>
      <c r="E1740" s="1795"/>
      <c r="F1740" s="1795"/>
      <c r="G1740" s="1795"/>
      <c r="H1740" s="1795"/>
      <c r="I1740" s="1795"/>
      <c r="J1740" s="1795"/>
      <c r="K1740" s="1795"/>
      <c r="L1740" s="1795"/>
      <c r="M1740" s="1795"/>
      <c r="N1740" s="1889"/>
      <c r="O1740" s="1864"/>
      <c r="P1740" s="1687"/>
      <c r="Q1740" s="1861"/>
      <c r="R1740" s="1861"/>
      <c r="S1740" s="1861"/>
    </row>
    <row r="1741" spans="1:19" ht="15">
      <c r="A1741" s="1858" t="s">
        <v>1745</v>
      </c>
      <c r="B1741" s="1859" t="s">
        <v>2851</v>
      </c>
      <c r="C1741" s="1861"/>
      <c r="D1741" s="1728"/>
      <c r="E1741" s="1861"/>
      <c r="F1741" s="1861"/>
      <c r="G1741" s="1929" t="s">
        <v>3750</v>
      </c>
      <c r="H1741" s="1861"/>
      <c r="I1741" s="1861"/>
      <c r="J1741" s="1861"/>
      <c r="K1741" s="1861"/>
      <c r="L1741" s="1861"/>
      <c r="M1741" s="1687">
        <v>2</v>
      </c>
      <c r="N1741" s="1765"/>
      <c r="O1741" s="1857">
        <f>'Part IX A-Scoring Criteria'!O310</f>
        <v>0</v>
      </c>
      <c r="P1741" s="1857">
        <f>'Part IX A-Scoring Criteria'!P310</f>
        <v>0</v>
      </c>
      <c r="Q1741" s="1687" t="s">
        <v>459</v>
      </c>
      <c r="R1741" s="1871" t="str">
        <f>IF(OR($O1745=$M1741,$O1745=0,$O1745=""),"","* * Check Score! * *")</f>
        <v/>
      </c>
      <c r="S1741" s="1861"/>
    </row>
    <row r="1742" spans="1:19" ht="15">
      <c r="A1742" s="1900"/>
      <c r="B1742" s="1909"/>
      <c r="C1742" s="1900"/>
      <c r="D1742" s="1900"/>
      <c r="E1742" s="1900"/>
      <c r="F1742" s="1834"/>
      <c r="G1742" s="1692"/>
      <c r="H1742" s="1900"/>
      <c r="I1742" s="1900"/>
      <c r="J1742" s="1900"/>
      <c r="K1742" s="1900"/>
      <c r="L1742" s="1900"/>
      <c r="M1742" s="1898"/>
      <c r="N1742" s="1898"/>
      <c r="O1742" s="1898"/>
      <c r="P1742" s="1898"/>
      <c r="Q1742" s="1532"/>
      <c r="R1742" s="1900"/>
      <c r="S1742" s="1900"/>
    </row>
    <row r="1743" spans="1:19" ht="15">
      <c r="A1743" s="1900"/>
      <c r="B1743" s="1949" t="s">
        <v>3867</v>
      </c>
      <c r="C1743" s="1900"/>
      <c r="D1743" s="519" t="str">
        <f>'Part IX A-Scoring Criteria'!D312</f>
        <v>&lt;&lt;Select applicable status&gt;&gt;</v>
      </c>
      <c r="E1743" s="519"/>
      <c r="F1743" s="519"/>
      <c r="G1743" s="519"/>
      <c r="H1743" s="519"/>
      <c r="I1743" s="519"/>
      <c r="J1743" s="1815" t="s">
        <v>3072</v>
      </c>
      <c r="K1743" s="1900"/>
      <c r="L1743" s="1962">
        <f>'Part III-Sources of Funds'!$I$47</f>
        <v>0</v>
      </c>
      <c r="M1743" s="1898"/>
      <c r="N1743" s="1898"/>
      <c r="O1743" s="1898"/>
      <c r="P1743" s="1898"/>
      <c r="Q1743" s="1532"/>
      <c r="R1743" s="1900"/>
      <c r="S1743" s="1900"/>
    </row>
    <row r="1744" spans="1:19" ht="15">
      <c r="A1744" s="1900"/>
      <c r="B1744" s="1909"/>
      <c r="C1744" s="1900"/>
      <c r="D1744" s="1900"/>
      <c r="E1744" s="1900"/>
      <c r="F1744" s="1900"/>
      <c r="G1744" s="1900"/>
      <c r="H1744" s="1900"/>
      <c r="I1744" s="1900"/>
      <c r="J1744" s="1900"/>
      <c r="K1744" s="1900"/>
      <c r="L1744" s="1900"/>
      <c r="M1744" s="1898"/>
      <c r="N1744" s="1898"/>
      <c r="O1744" s="1898"/>
      <c r="P1744" s="1898"/>
      <c r="Q1744" s="1532"/>
      <c r="R1744" s="1900"/>
      <c r="S1744" s="1900"/>
    </row>
    <row r="1745" spans="1:19" ht="15">
      <c r="A1745" s="1963" t="s">
        <v>2068</v>
      </c>
      <c r="B1745" s="1785" t="s">
        <v>4626</v>
      </c>
      <c r="C1745" s="1815"/>
      <c r="D1745" s="1815"/>
      <c r="E1745" s="1815"/>
      <c r="F1745" s="1815"/>
      <c r="G1745" s="1815"/>
      <c r="H1745" s="1815"/>
      <c r="I1745" s="1815"/>
      <c r="J1745" s="1815" t="s">
        <v>4261</v>
      </c>
      <c r="K1745" s="1900"/>
      <c r="L1745" s="1962">
        <f>'Part VI-Revenues &amp; Expenses'!$O$82</f>
        <v>0</v>
      </c>
      <c r="M1745" s="1898">
        <v>2</v>
      </c>
      <c r="N1745" s="1833" t="s">
        <v>2068</v>
      </c>
      <c r="O1745" s="1857">
        <f>'Part IX A-Scoring Criteria'!O314</f>
        <v>0</v>
      </c>
      <c r="P1745" s="1857">
        <f>'Part IX A-Scoring Criteria'!P314</f>
        <v>0</v>
      </c>
      <c r="Q1745" s="1532" t="s">
        <v>2834</v>
      </c>
      <c r="R1745" s="1900"/>
      <c r="S1745" s="1900"/>
    </row>
    <row r="1746" spans="1:19" ht="15" customHeight="1">
      <c r="A1746" s="1908"/>
      <c r="B1746" s="1792" t="s">
        <v>4262</v>
      </c>
      <c r="C1746" s="1792"/>
      <c r="D1746" s="1792"/>
      <c r="E1746" s="1792"/>
      <c r="F1746" s="1792"/>
      <c r="G1746" s="1792"/>
      <c r="H1746" s="1792"/>
      <c r="I1746" s="1815"/>
      <c r="J1746" s="1841" t="s">
        <v>3070</v>
      </c>
      <c r="K1746" s="1900"/>
      <c r="L1746" s="1962">
        <f>'Part VI-Revenues &amp; Expenses'!$O$62</f>
        <v>162</v>
      </c>
      <c r="M1746" s="1898"/>
      <c r="N1746" s="1898"/>
      <c r="O1746" s="1898"/>
      <c r="P1746" s="1898"/>
      <c r="Q1746" s="1532"/>
      <c r="R1746" s="1900"/>
      <c r="S1746" s="1900"/>
    </row>
    <row r="1747" spans="1:19" ht="15">
      <c r="A1747" s="1900"/>
      <c r="B1747" s="1792"/>
      <c r="C1747" s="1792"/>
      <c r="D1747" s="1792"/>
      <c r="E1747" s="1792"/>
      <c r="F1747" s="1792"/>
      <c r="G1747" s="1792"/>
      <c r="H1747" s="1792"/>
      <c r="I1747" s="1900"/>
      <c r="J1747" s="1728" t="s">
        <v>3071</v>
      </c>
      <c r="K1747" s="1900"/>
      <c r="L1747" s="1964">
        <f>IF(L1746=0,0,L1745/L1746)</f>
        <v>0</v>
      </c>
      <c r="M1747" s="1898"/>
      <c r="N1747" s="1898"/>
      <c r="O1747" s="1898"/>
      <c r="P1747" s="1898"/>
      <c r="Q1747" s="1532"/>
      <c r="R1747" s="1900"/>
      <c r="S1747" s="1900"/>
    </row>
    <row r="1748" spans="1:19" ht="15">
      <c r="A1748" s="1900"/>
      <c r="B1748" s="1909"/>
      <c r="C1748" s="1900"/>
      <c r="D1748" s="1900"/>
      <c r="E1748" s="1900"/>
      <c r="F1748" s="1834"/>
      <c r="G1748" s="1692"/>
      <c r="H1748" s="1900"/>
      <c r="I1748" s="1900"/>
      <c r="J1748" s="1900"/>
      <c r="K1748" s="1900"/>
      <c r="L1748" s="1900"/>
      <c r="M1748" s="1898"/>
      <c r="N1748" s="1898"/>
      <c r="O1748" s="1898"/>
      <c r="P1748" s="1898"/>
      <c r="Q1748" s="1532"/>
      <c r="R1748" s="1900"/>
      <c r="S1748" s="1900"/>
    </row>
    <row r="1749" spans="1:19" ht="15.75" customHeight="1">
      <c r="A1749" s="1750" t="s">
        <v>1410</v>
      </c>
      <c r="B1749" s="1792" t="str">
        <f>'Part IX A-Scoring Criteria'!B318</f>
        <v>&lt;&lt;  Enter here Applicant's Narrative of how building will be reused  &gt;&gt;</v>
      </c>
      <c r="C1749" s="1792"/>
      <c r="D1749" s="1792"/>
      <c r="E1749" s="1792"/>
      <c r="F1749" s="1792"/>
      <c r="G1749" s="1792"/>
      <c r="H1749" s="1792"/>
      <c r="I1749" s="1792"/>
      <c r="J1749" s="1792"/>
      <c r="K1749" s="1792"/>
      <c r="L1749" s="1792"/>
      <c r="M1749" s="1792"/>
      <c r="N1749" s="1792"/>
      <c r="O1749" s="1792"/>
      <c r="P1749" s="1792"/>
      <c r="Q1749" s="1680" t="s">
        <v>1308</v>
      </c>
      <c r="R1749" s="1680"/>
      <c r="S1749" s="1680"/>
    </row>
    <row r="1750" spans="1:19" ht="15">
      <c r="A1750" s="1900"/>
      <c r="B1750" s="1909"/>
      <c r="C1750" s="1900"/>
      <c r="D1750" s="1900"/>
      <c r="E1750" s="1900"/>
      <c r="F1750" s="1834"/>
      <c r="G1750" s="1692"/>
      <c r="H1750" s="1900"/>
      <c r="I1750" s="1900"/>
      <c r="J1750" s="1900"/>
      <c r="K1750" s="1900"/>
      <c r="L1750" s="1900"/>
      <c r="M1750" s="1898"/>
      <c r="N1750" s="1898"/>
      <c r="O1750" s="1898"/>
      <c r="P1750" s="1898"/>
      <c r="Q1750" s="1532"/>
      <c r="R1750" s="1900"/>
      <c r="S1750" s="1900"/>
    </row>
    <row r="1751" spans="1:19" ht="15">
      <c r="A1751" s="1963" t="s">
        <v>2071</v>
      </c>
      <c r="B1751" s="1785" t="s">
        <v>3688</v>
      </c>
      <c r="C1751" s="1815"/>
      <c r="D1751" s="1900"/>
      <c r="E1751" s="1900"/>
      <c r="F1751" s="1900"/>
      <c r="G1751" s="1900"/>
      <c r="H1751" s="1815"/>
      <c r="I1751" s="1900"/>
      <c r="J1751" s="1815" t="s">
        <v>3759</v>
      </c>
      <c r="K1751" s="1900"/>
      <c r="L1751" s="1962">
        <f>'Part VI-Revenues &amp; Expenses'!$O$84</f>
        <v>0</v>
      </c>
      <c r="M1751" s="1898">
        <v>1</v>
      </c>
      <c r="N1751" s="1833" t="s">
        <v>2071</v>
      </c>
      <c r="O1751" s="1857">
        <f>'Part IX A-Scoring Criteria'!O320</f>
        <v>0</v>
      </c>
      <c r="P1751" s="1857">
        <f>'Part IX A-Scoring Criteria'!P320</f>
        <v>0</v>
      </c>
      <c r="Q1751" s="1532" t="s">
        <v>2834</v>
      </c>
      <c r="R1751" s="1900"/>
      <c r="S1751" s="1900"/>
    </row>
    <row r="1752" spans="1:19" ht="15" customHeight="1">
      <c r="A1752" s="1963"/>
      <c r="B1752" s="1792" t="s">
        <v>4469</v>
      </c>
      <c r="C1752" s="1792"/>
      <c r="D1752" s="1792"/>
      <c r="E1752" s="1792"/>
      <c r="F1752" s="1792"/>
      <c r="G1752" s="1792"/>
      <c r="H1752" s="1792"/>
      <c r="I1752" s="1792"/>
      <c r="J1752" s="1841" t="s">
        <v>3070</v>
      </c>
      <c r="K1752" s="1900"/>
      <c r="L1752" s="1962">
        <f>'Part VI-Revenues &amp; Expenses'!$O$62</f>
        <v>162</v>
      </c>
      <c r="M1752" s="1898"/>
      <c r="N1752" s="1898"/>
      <c r="O1752" s="1898"/>
      <c r="P1752" s="1898"/>
      <c r="Q1752" s="1532"/>
      <c r="R1752" s="1900"/>
      <c r="S1752" s="1900"/>
    </row>
    <row r="1753" spans="1:19" ht="15">
      <c r="A1753" s="1963"/>
      <c r="B1753" s="1792"/>
      <c r="C1753" s="1792"/>
      <c r="D1753" s="1792"/>
      <c r="E1753" s="1792"/>
      <c r="F1753" s="1792"/>
      <c r="G1753" s="1792"/>
      <c r="H1753" s="1792"/>
      <c r="I1753" s="1792"/>
      <c r="J1753" s="1728" t="s">
        <v>3071</v>
      </c>
      <c r="K1753" s="1900"/>
      <c r="L1753" s="1964">
        <f>IF(L1752=0,0,L1751/L1752)</f>
        <v>0</v>
      </c>
      <c r="M1753" s="1898"/>
      <c r="N1753" s="1898"/>
      <c r="O1753" s="1898"/>
      <c r="P1753" s="1898"/>
      <c r="Q1753" s="1532"/>
      <c r="R1753" s="1900"/>
      <c r="S1753" s="1900"/>
    </row>
    <row r="1754" spans="1:19" ht="15">
      <c r="A1754" s="1861"/>
      <c r="B1754" s="1793" t="s">
        <v>1947</v>
      </c>
      <c r="C1754" s="518"/>
      <c r="D1754" s="1793"/>
      <c r="E1754" s="1795"/>
      <c r="F1754" s="1795"/>
      <c r="G1754" s="1795"/>
      <c r="H1754" s="1795"/>
      <c r="I1754" s="1795"/>
      <c r="J1754" s="1795"/>
      <c r="K1754" s="1795"/>
      <c r="L1754" s="1795"/>
      <c r="M1754" s="1795"/>
      <c r="N1754" s="1889"/>
      <c r="O1754" s="1864"/>
      <c r="P1754" s="1687"/>
      <c r="Q1754" s="1883"/>
      <c r="R1754" s="1861"/>
      <c r="S1754" s="1861"/>
    </row>
    <row r="1755" spans="1:19" ht="15.75">
      <c r="A1755" s="1792">
        <f>'Part IX A-Scoring Criteria'!A324</f>
        <v>0</v>
      </c>
      <c r="B1755" s="1792"/>
      <c r="C1755" s="1792"/>
      <c r="D1755" s="1792"/>
      <c r="E1755" s="1792"/>
      <c r="F1755" s="1792"/>
      <c r="G1755" s="1792"/>
      <c r="H1755" s="1792"/>
      <c r="I1755" s="1792"/>
      <c r="J1755" s="1792"/>
      <c r="K1755" s="1792"/>
      <c r="L1755" s="1792"/>
      <c r="M1755" s="1792"/>
      <c r="N1755" s="1792"/>
      <c r="O1755" s="1792"/>
      <c r="P1755" s="1792"/>
      <c r="Q1755" s="1866" t="s">
        <v>1308</v>
      </c>
      <c r="R1755" s="1861"/>
      <c r="S1755" s="1861"/>
    </row>
    <row r="1756" spans="1:19" ht="15">
      <c r="A1756" s="518"/>
      <c r="B1756" s="518"/>
      <c r="C1756" s="1795"/>
      <c r="D1756" s="1795"/>
      <c r="E1756" s="1795"/>
      <c r="F1756" s="1795"/>
      <c r="G1756" s="1795"/>
      <c r="H1756" s="1795"/>
      <c r="I1756" s="1795"/>
      <c r="J1756" s="1795"/>
      <c r="K1756" s="1795"/>
      <c r="L1756" s="1795"/>
      <c r="M1756" s="1795"/>
      <c r="N1756" s="1889"/>
      <c r="O1756" s="1864"/>
      <c r="P1756" s="1687"/>
      <c r="Q1756" s="1861"/>
      <c r="R1756" s="1861"/>
      <c r="S1756" s="1861"/>
    </row>
    <row r="1757" spans="1:19" ht="15">
      <c r="A1757" s="1933" t="s">
        <v>1746</v>
      </c>
      <c r="B1757" s="1859" t="s">
        <v>2734</v>
      </c>
      <c r="C1757" s="1861"/>
      <c r="D1757" s="1890"/>
      <c r="E1757" s="1890"/>
      <c r="F1757" s="1861"/>
      <c r="G1757" s="1861"/>
      <c r="H1757" s="1861"/>
      <c r="I1757" s="1930" t="s">
        <v>4627</v>
      </c>
      <c r="J1757" s="1890"/>
      <c r="K1757" s="1890"/>
      <c r="L1757" s="1861"/>
      <c r="M1757" s="1520">
        <v>5</v>
      </c>
      <c r="N1757" s="1861"/>
      <c r="O1757" s="1861"/>
      <c r="P1757" s="1687">
        <f>'Part IX A-Scoring Criteria'!P326</f>
        <v>0</v>
      </c>
      <c r="Q1757" s="1687" t="s">
        <v>459</v>
      </c>
      <c r="R1757" s="1861"/>
      <c r="S1757" s="1861"/>
    </row>
    <row r="1758" spans="1:19" ht="15">
      <c r="A1758" s="1933"/>
      <c r="B1758" s="1861"/>
      <c r="C1758" s="1861"/>
      <c r="D1758" s="1861"/>
      <c r="E1758" s="1861"/>
      <c r="F1758" s="1861"/>
      <c r="G1758" s="1861"/>
      <c r="H1758" s="1861"/>
      <c r="I1758" s="1861"/>
      <c r="J1758" s="1861"/>
      <c r="K1758" s="1861"/>
      <c r="L1758" s="1861"/>
      <c r="M1758" s="1965"/>
      <c r="N1758" s="1861"/>
      <c r="O1758" s="1861"/>
      <c r="P1758" s="1861"/>
      <c r="Q1758" s="1687"/>
      <c r="R1758" s="1861"/>
      <c r="S1758" s="1861"/>
    </row>
    <row r="1759" spans="1:19" ht="15">
      <c r="A1759" s="1933"/>
      <c r="B1759" s="522" t="s">
        <v>4470</v>
      </c>
      <c r="C1759" s="522"/>
      <c r="D1759" s="1966">
        <f>IF('Part VI-Revenues &amp; Expenses'!$O$62=0,0,'Part IV-Uses of Funds'!$J$172/'Part VI-Revenues &amp; Expenses'!$O$62)</f>
        <v>5268.7222222222226</v>
      </c>
      <c r="E1759" s="1966"/>
      <c r="F1759" s="522" t="s">
        <v>4471</v>
      </c>
      <c r="G1759" s="1967"/>
      <c r="H1759" s="1968">
        <f>IF('Part VI-Revenues &amp; Expenses'!$O$62=0,0,('Part VI-Revenues &amp; Expenses'!$O$77+'Part VI-Revenues &amp; Expenses'!$O$80+'Part VI-Revenues &amp; Expenses'!$O$84)/'Part VI-Revenues &amp; Expenses'!$O$62)</f>
        <v>0</v>
      </c>
      <c r="I1759" s="1727" t="s">
        <v>4628</v>
      </c>
      <c r="J1759" s="1890"/>
      <c r="K1759" s="1890"/>
      <c r="L1759" s="1861"/>
      <c r="M1759" s="1512">
        <v>20</v>
      </c>
      <c r="N1759" s="1512"/>
      <c r="O1759" s="1857">
        <f>'Part IX A-Scoring Criteria'!O328</f>
        <v>0</v>
      </c>
      <c r="P1759" s="1857">
        <f>'Part IX A-Scoring Criteria'!P328</f>
        <v>0</v>
      </c>
      <c r="Q1759" s="1687"/>
      <c r="R1759" s="1861"/>
      <c r="S1759" s="1861"/>
    </row>
    <row r="1760" spans="1:19" ht="15">
      <c r="A1760" s="1711" t="s">
        <v>2068</v>
      </c>
      <c r="B1760" s="1790" t="s">
        <v>2072</v>
      </c>
      <c r="C1760" s="519" t="s">
        <v>4264</v>
      </c>
      <c r="D1760" s="1861"/>
      <c r="E1760" s="519"/>
      <c r="F1760" s="519"/>
      <c r="G1760" s="519"/>
      <c r="H1760" s="1861"/>
      <c r="I1760" s="1861"/>
      <c r="J1760" s="1861"/>
      <c r="K1760" s="1861"/>
      <c r="L1760" s="1861"/>
      <c r="M1760" s="1898">
        <v>6</v>
      </c>
      <c r="N1760" s="1890"/>
      <c r="O1760" s="1969">
        <f>'Part IX A-Scoring Criteria'!O329</f>
        <v>0</v>
      </c>
      <c r="P1760" s="1969">
        <f>'Part IX A-Scoring Criteria'!P329</f>
        <v>0</v>
      </c>
      <c r="Q1760" s="1532" t="s">
        <v>2834</v>
      </c>
      <c r="R1760" s="1861"/>
      <c r="S1760" s="1861"/>
    </row>
    <row r="1761" spans="1:19" ht="15">
      <c r="A1761" s="1785"/>
      <c r="B1761" s="1790"/>
      <c r="C1761" s="1728" t="s">
        <v>4122</v>
      </c>
      <c r="D1761" s="1764">
        <f>'Part IX A-Scoring Criteria'!D330</f>
        <v>0</v>
      </c>
      <c r="E1761" s="519"/>
      <c r="F1761" s="1728" t="s">
        <v>4123</v>
      </c>
      <c r="G1761" s="1970">
        <f>'Part IX A-Scoring Criteria'!G330</f>
        <v>0</v>
      </c>
      <c r="H1761" s="1861"/>
      <c r="I1761" s="502" t="s">
        <v>4265</v>
      </c>
      <c r="J1761" s="502"/>
      <c r="K1761" s="1844">
        <f>'Part IX A-Scoring Criteria'!K330:L330</f>
        <v>0</v>
      </c>
      <c r="L1761" s="1844"/>
      <c r="M1761" s="1898"/>
      <c r="N1761" s="1890"/>
      <c r="O1761" s="1969"/>
      <c r="P1761" s="1969"/>
      <c r="Q1761" s="1532"/>
      <c r="R1761" s="1861"/>
      <c r="S1761" s="1861"/>
    </row>
    <row r="1762" spans="1:19" ht="15">
      <c r="A1762" s="1785" t="s">
        <v>1410</v>
      </c>
      <c r="B1762" s="1790" t="s">
        <v>2074</v>
      </c>
      <c r="C1762" s="519" t="s">
        <v>4266</v>
      </c>
      <c r="D1762" s="1861"/>
      <c r="E1762" s="519"/>
      <c r="F1762" s="519"/>
      <c r="G1762" s="519"/>
      <c r="H1762" s="1861"/>
      <c r="I1762" s="1861"/>
      <c r="J1762" s="1861"/>
      <c r="K1762" s="1861"/>
      <c r="L1762" s="1861"/>
      <c r="M1762" s="1898">
        <v>2</v>
      </c>
      <c r="N1762" s="1890"/>
      <c r="O1762" s="1969"/>
      <c r="P1762" s="1969"/>
      <c r="Q1762" s="1532"/>
      <c r="R1762" s="1861"/>
      <c r="S1762" s="1861"/>
    </row>
    <row r="1763" spans="1:19" ht="15">
      <c r="A1763" s="1785"/>
      <c r="B1763" s="1861"/>
      <c r="C1763" s="1728" t="s">
        <v>4122</v>
      </c>
      <c r="D1763" s="1764">
        <f>'Part IX A-Scoring Criteria'!D332</f>
        <v>0</v>
      </c>
      <c r="E1763" s="519"/>
      <c r="F1763" s="1728" t="s">
        <v>4123</v>
      </c>
      <c r="G1763" s="1970">
        <f>'Part IX A-Scoring Criteria'!G332</f>
        <v>0</v>
      </c>
      <c r="H1763" s="1861"/>
      <c r="I1763" s="502" t="s">
        <v>4265</v>
      </c>
      <c r="J1763" s="502"/>
      <c r="K1763" s="1844">
        <f>'Part IX A-Scoring Criteria'!K332:L332</f>
        <v>0</v>
      </c>
      <c r="L1763" s="1844"/>
      <c r="M1763" s="1898"/>
      <c r="N1763" s="1890"/>
      <c r="O1763" s="1969"/>
      <c r="P1763" s="1969"/>
      <c r="Q1763" s="1532"/>
      <c r="R1763" s="1861"/>
      <c r="S1763" s="1861"/>
    </row>
    <row r="1764" spans="1:19" ht="15" customHeight="1">
      <c r="A1764" s="1785" t="s">
        <v>1410</v>
      </c>
      <c r="B1764" s="1971" t="s">
        <v>2634</v>
      </c>
      <c r="C1764" s="1792" t="s">
        <v>3760</v>
      </c>
      <c r="D1764" s="1792"/>
      <c r="E1764" s="1792"/>
      <c r="F1764" s="1792"/>
      <c r="G1764" s="1792"/>
      <c r="H1764" s="1792"/>
      <c r="I1764" s="1792"/>
      <c r="J1764" s="1792"/>
      <c r="K1764" s="1792"/>
      <c r="L1764" s="1792"/>
      <c r="M1764" s="1898">
        <v>5</v>
      </c>
      <c r="N1764" s="1972"/>
      <c r="O1764" s="1969"/>
      <c r="P1764" s="1969"/>
      <c r="Q1764" s="1532"/>
      <c r="R1764" s="1900"/>
      <c r="S1764" s="1900"/>
    </row>
    <row r="1765" spans="1:19" ht="15">
      <c r="A1765" s="1785"/>
      <c r="B1765" s="1828"/>
      <c r="C1765" s="1841" t="s">
        <v>4110</v>
      </c>
      <c r="D1765" s="1959"/>
      <c r="E1765" s="1900"/>
      <c r="F1765" s="1900"/>
      <c r="G1765" s="1973">
        <f>'Part IX A-Scoring Criteria'!G334</f>
        <v>0</v>
      </c>
      <c r="H1765" s="1959"/>
      <c r="I1765" s="1841" t="s">
        <v>4109</v>
      </c>
      <c r="J1765" s="1900"/>
      <c r="K1765" s="1973">
        <f>'Part IX A-Scoring Criteria'!K334</f>
        <v>0</v>
      </c>
      <c r="L1765" s="1900"/>
      <c r="M1765" s="1959"/>
      <c r="N1765" s="1959"/>
      <c r="O1765" s="1959"/>
      <c r="P1765" s="1959"/>
      <c r="Q1765" s="1959"/>
      <c r="R1765" s="1959"/>
      <c r="S1765" s="1900"/>
    </row>
    <row r="1766" spans="1:19" ht="15" customHeight="1">
      <c r="A1766" s="1828" t="s">
        <v>2071</v>
      </c>
      <c r="B1766" s="1900"/>
      <c r="C1766" s="1792" t="s">
        <v>4267</v>
      </c>
      <c r="D1766" s="1792"/>
      <c r="E1766" s="1792"/>
      <c r="F1766" s="1792"/>
      <c r="G1766" s="1792"/>
      <c r="H1766" s="1792"/>
      <c r="I1766" s="1792"/>
      <c r="J1766" s="1792"/>
      <c r="K1766" s="1792"/>
      <c r="L1766" s="1792"/>
      <c r="M1766" s="1898">
        <v>2</v>
      </c>
      <c r="N1766" s="1972"/>
      <c r="O1766" s="1857">
        <f>'Part IX A-Scoring Criteria'!O335</f>
        <v>0</v>
      </c>
      <c r="P1766" s="1857">
        <f>'Part IX A-Scoring Criteria'!P335</f>
        <v>0</v>
      </c>
      <c r="Q1766" s="1454" t="s">
        <v>2834</v>
      </c>
      <c r="R1766" s="1900"/>
      <c r="S1766" s="1900"/>
    </row>
    <row r="1767" spans="1:19" ht="22.5">
      <c r="A1767" s="1828"/>
      <c r="B1767" s="1909"/>
      <c r="C1767" s="1841" t="s">
        <v>4346</v>
      </c>
      <c r="D1767" s="1795"/>
      <c r="E1767" s="1795"/>
      <c r="F1767" s="1792">
        <f>'Part IX A-Scoring Criteria'!F336</f>
        <v>0</v>
      </c>
      <c r="G1767" s="1792"/>
      <c r="H1767" s="1792"/>
      <c r="I1767" s="1792"/>
      <c r="K1767" s="1795" t="s">
        <v>4345</v>
      </c>
      <c r="L1767" s="1960">
        <f>'Part IX A-Scoring Criteria'!L336</f>
        <v>0</v>
      </c>
      <c r="M1767" s="1792"/>
      <c r="N1767" s="1878"/>
      <c r="O1767" s="1878"/>
      <c r="P1767" s="1878"/>
      <c r="Q1767" s="1908"/>
      <c r="R1767" s="1899"/>
      <c r="S1767" s="1900"/>
    </row>
    <row r="1768" spans="1:19" ht="15" customHeight="1">
      <c r="A1768" s="1828" t="s">
        <v>786</v>
      </c>
      <c r="B1768" s="1900"/>
      <c r="C1768" s="1792" t="s">
        <v>4268</v>
      </c>
      <c r="D1768" s="1792"/>
      <c r="E1768" s="1792"/>
      <c r="F1768" s="1792"/>
      <c r="G1768" s="1792"/>
      <c r="H1768" s="1792"/>
      <c r="I1768" s="1792"/>
      <c r="J1768" s="1792" t="s">
        <v>4270</v>
      </c>
      <c r="K1768" s="1792"/>
      <c r="L1768" s="1790" t="str">
        <f>'Part I-Project Information'!$H$90</f>
        <v>&lt;&lt;Select Pool&gt;&gt;</v>
      </c>
      <c r="M1768" s="1898">
        <v>3</v>
      </c>
      <c r="N1768" s="1972"/>
      <c r="O1768" s="1969">
        <f>'Part IX A-Scoring Criteria'!O337</f>
        <v>0</v>
      </c>
      <c r="P1768" s="1969">
        <f>'Part IX A-Scoring Criteria'!P337</f>
        <v>0</v>
      </c>
      <c r="Q1768" s="1532" t="s">
        <v>2834</v>
      </c>
      <c r="R1768" s="1900"/>
      <c r="S1768" s="1900"/>
    </row>
    <row r="1769" spans="1:19" ht="15" customHeight="1">
      <c r="A1769" s="1828"/>
      <c r="B1769" s="1900"/>
      <c r="C1769" s="1792"/>
      <c r="D1769" s="1792"/>
      <c r="E1769" s="1792"/>
      <c r="F1769" s="1792"/>
      <c r="G1769" s="1792"/>
      <c r="H1769" s="1792"/>
      <c r="I1769" s="1792"/>
      <c r="J1769" s="1792" t="s">
        <v>4271</v>
      </c>
      <c r="K1769" s="1792"/>
      <c r="L1769" s="1974">
        <f>'Part IX A-Scoring Criteria'!L338</f>
        <v>0</v>
      </c>
      <c r="M1769" s="1898"/>
      <c r="N1769" s="1972"/>
      <c r="O1769" s="1969"/>
      <c r="P1769" s="1969"/>
      <c r="Q1769" s="1532"/>
      <c r="R1769" s="1900"/>
      <c r="S1769" s="1900"/>
    </row>
    <row r="1770" spans="1:19" ht="15" customHeight="1">
      <c r="A1770" s="1828" t="s">
        <v>2203</v>
      </c>
      <c r="B1770" s="1900"/>
      <c r="C1770" s="1792" t="s">
        <v>4269</v>
      </c>
      <c r="D1770" s="1792"/>
      <c r="E1770" s="1792"/>
      <c r="F1770" s="1792"/>
      <c r="G1770" s="1792"/>
      <c r="H1770" s="1792"/>
      <c r="I1770" s="1815"/>
      <c r="J1770" s="1792" t="s">
        <v>4272</v>
      </c>
      <c r="K1770" s="1792"/>
      <c r="L1770" s="1974">
        <f>'Part IX A-Scoring Criteria'!L339</f>
        <v>0</v>
      </c>
      <c r="M1770" s="1898">
        <v>3</v>
      </c>
      <c r="N1770" s="1972"/>
      <c r="O1770" s="1857">
        <f>'Part IX A-Scoring Criteria'!O339</f>
        <v>0</v>
      </c>
      <c r="P1770" s="1857">
        <f>'Part IX A-Scoring Criteria'!P339</f>
        <v>0</v>
      </c>
      <c r="Q1770" s="1532" t="s">
        <v>2834</v>
      </c>
      <c r="R1770" s="1900"/>
      <c r="S1770" s="1900"/>
    </row>
    <row r="1771" spans="1:19" ht="15" customHeight="1">
      <c r="A1771" s="1828" t="s">
        <v>1811</v>
      </c>
      <c r="B1771" s="1790" t="s">
        <v>2072</v>
      </c>
      <c r="C1771" s="1792" t="s">
        <v>3854</v>
      </c>
      <c r="D1771" s="1792"/>
      <c r="E1771" s="1792"/>
      <c r="F1771" s="1792"/>
      <c r="G1771" s="1792"/>
      <c r="H1771" s="1792"/>
      <c r="I1771" s="1792"/>
      <c r="J1771" s="1792"/>
      <c r="K1771" s="1792"/>
      <c r="L1771" s="1792"/>
      <c r="M1771" s="1898">
        <v>2</v>
      </c>
      <c r="N1771" s="1890"/>
      <c r="O1771" s="1969">
        <f>'Part IX A-Scoring Criteria'!O340</f>
        <v>0</v>
      </c>
      <c r="P1771" s="1969">
        <f>'Part IX A-Scoring Criteria'!P340</f>
        <v>0</v>
      </c>
      <c r="Q1771" s="1532" t="s">
        <v>2834</v>
      </c>
      <c r="R1771" s="1861"/>
      <c r="S1771" s="1861"/>
    </row>
    <row r="1772" spans="1:19" ht="15" customHeight="1">
      <c r="A1772" s="1785" t="s">
        <v>1410</v>
      </c>
      <c r="B1772" s="1790" t="s">
        <v>2074</v>
      </c>
      <c r="C1772" s="1800" t="s">
        <v>3853</v>
      </c>
      <c r="D1772" s="1800"/>
      <c r="E1772" s="1800"/>
      <c r="F1772" s="1800"/>
      <c r="G1772" s="1800"/>
      <c r="H1772" s="1800"/>
      <c r="I1772" s="1800"/>
      <c r="J1772" s="1800"/>
      <c r="K1772" s="1800"/>
      <c r="L1772" s="1800"/>
      <c r="M1772" s="1518">
        <v>1</v>
      </c>
      <c r="N1772" s="1890"/>
      <c r="O1772" s="1969"/>
      <c r="P1772" s="1969"/>
      <c r="Q1772" s="502"/>
      <c r="R1772" s="1861"/>
      <c r="S1772" s="1861"/>
    </row>
    <row r="1773" spans="1:19" ht="15">
      <c r="A1773" s="1861"/>
      <c r="B1773" s="1785"/>
      <c r="C1773" s="1975" t="s">
        <v>4120</v>
      </c>
      <c r="D1773" s="1975"/>
      <c r="E1773" s="1975"/>
      <c r="F1773" s="1822" t="s">
        <v>4113</v>
      </c>
      <c r="G1773" s="1822" t="s">
        <v>4114</v>
      </c>
      <c r="H1773" s="1822" t="s">
        <v>4115</v>
      </c>
      <c r="I1773" s="1822" t="s">
        <v>4116</v>
      </c>
      <c r="J1773" s="1822" t="s">
        <v>4117</v>
      </c>
      <c r="K1773" s="1822" t="s">
        <v>4118</v>
      </c>
      <c r="L1773" s="1822" t="s">
        <v>4119</v>
      </c>
      <c r="M1773" s="1976"/>
      <c r="N1773" s="1976"/>
      <c r="O1773" s="1976"/>
      <c r="P1773" s="1976"/>
      <c r="Q1773" s="502"/>
      <c r="R1773" s="1861"/>
      <c r="S1773" s="1861"/>
    </row>
    <row r="1774" spans="1:19" ht="15">
      <c r="A1774" s="1861"/>
      <c r="B1774" s="1785"/>
      <c r="C1774" s="1756" t="s">
        <v>4121</v>
      </c>
      <c r="D1774" s="1756"/>
      <c r="E1774" s="1756"/>
      <c r="F1774" s="1977">
        <f>'Part IX A-Scoring Criteria'!F343</f>
        <v>0</v>
      </c>
      <c r="G1774" s="1977">
        <f>'Part IX A-Scoring Criteria'!G343</f>
        <v>0</v>
      </c>
      <c r="H1774" s="1977">
        <f>'Part IX A-Scoring Criteria'!H343</f>
        <v>0</v>
      </c>
      <c r="I1774" s="1977">
        <f>'Part IX A-Scoring Criteria'!I343</f>
        <v>0</v>
      </c>
      <c r="J1774" s="1977">
        <f>'Part IX A-Scoring Criteria'!J343</f>
        <v>0</v>
      </c>
      <c r="K1774" s="1977">
        <f>'Part IX A-Scoring Criteria'!K343</f>
        <v>0</v>
      </c>
      <c r="L1774" s="1977" t="str">
        <f>IF(OR(F1774=0,G1774=0,H1774=0,I1774=0,J1774=0,K1774=0),"Missing Rent Roll",AVERAGE(F1774,G1774,H1774,I1774,J1774,K1774))</f>
        <v>Missing Rent Roll</v>
      </c>
      <c r="M1774" s="1976"/>
      <c r="N1774" s="1976"/>
      <c r="O1774" s="1976"/>
      <c r="P1774" s="1976"/>
      <c r="Q1774" s="502"/>
      <c r="R1774" s="1861"/>
      <c r="S1774" s="1861"/>
    </row>
    <row r="1775" spans="1:19" ht="15" customHeight="1">
      <c r="A1775" s="1828" t="s">
        <v>1812</v>
      </c>
      <c r="B1775" s="1826" t="s">
        <v>2072</v>
      </c>
      <c r="C1775" s="1792" t="s">
        <v>3761</v>
      </c>
      <c r="D1775" s="1792"/>
      <c r="E1775" s="1792"/>
      <c r="F1775" s="1792"/>
      <c r="G1775" s="1792"/>
      <c r="H1775" s="1792"/>
      <c r="I1775" s="1792"/>
      <c r="J1775" s="1900"/>
      <c r="K1775" s="1792" t="s">
        <v>4473</v>
      </c>
      <c r="L1775" s="1792"/>
      <c r="M1775" s="1898">
        <v>2</v>
      </c>
      <c r="N1775" s="1972"/>
      <c r="O1775" s="1969">
        <f>'Part IX A-Scoring Criteria'!O344</f>
        <v>0</v>
      </c>
      <c r="P1775" s="1969">
        <f>'Part IX A-Scoring Criteria'!P344</f>
        <v>0</v>
      </c>
      <c r="Q1775" s="1532" t="s">
        <v>2834</v>
      </c>
      <c r="R1775" s="1900"/>
      <c r="S1775" s="1900"/>
    </row>
    <row r="1776" spans="1:19" ht="15" customHeight="1">
      <c r="A1776" s="1785" t="s">
        <v>1410</v>
      </c>
      <c r="B1776" s="1826" t="s">
        <v>2074</v>
      </c>
      <c r="C1776" s="1792" t="s">
        <v>3762</v>
      </c>
      <c r="D1776" s="1792"/>
      <c r="E1776" s="1792"/>
      <c r="F1776" s="1792"/>
      <c r="G1776" s="1792"/>
      <c r="H1776" s="1792"/>
      <c r="I1776" s="1792"/>
      <c r="J1776" s="1792"/>
      <c r="K1776" s="1694">
        <f>'Part IX A-Scoring Criteria'!K345</f>
        <v>0</v>
      </c>
      <c r="L1776" s="1694"/>
      <c r="M1776" s="1898">
        <v>1</v>
      </c>
      <c r="N1776" s="1972"/>
      <c r="O1776" s="1969"/>
      <c r="P1776" s="1969"/>
      <c r="Q1776" s="1532"/>
      <c r="R1776" s="1900"/>
      <c r="S1776" s="1900"/>
    </row>
    <row r="1777" spans="1:19" ht="15" customHeight="1">
      <c r="A1777" s="1711" t="s">
        <v>2031</v>
      </c>
      <c r="B1777" s="1876"/>
      <c r="C1777" s="1757" t="s">
        <v>3763</v>
      </c>
      <c r="D1777" s="1757"/>
      <c r="E1777" s="1757"/>
      <c r="F1777" s="1757"/>
      <c r="G1777" s="1757"/>
      <c r="H1777" s="1757"/>
      <c r="I1777" s="1757"/>
      <c r="J1777" s="1757"/>
      <c r="K1777" s="1757"/>
      <c r="L1777" s="1757"/>
      <c r="M1777" s="1515">
        <v>2</v>
      </c>
      <c r="N1777" s="1978"/>
      <c r="O1777" s="1857">
        <f>'Part IX A-Scoring Criteria'!O346</f>
        <v>0</v>
      </c>
      <c r="P1777" s="1857">
        <f>'Part IX A-Scoring Criteria'!P346</f>
        <v>0</v>
      </c>
      <c r="Q1777" s="1532" t="s">
        <v>2834</v>
      </c>
      <c r="R1777" s="1876"/>
      <c r="S1777" s="1876"/>
    </row>
    <row r="1778" spans="1:19" ht="15" customHeight="1">
      <c r="A1778" s="1711"/>
      <c r="B1778" s="1861"/>
      <c r="C1778" s="1728" t="s">
        <v>4273</v>
      </c>
      <c r="D1778" s="1976"/>
      <c r="E1778" s="1955">
        <f>'Part IV-Uses of Funds'!$B$44</f>
        <v>15104404.5</v>
      </c>
      <c r="F1778" s="1955"/>
      <c r="G1778" s="519" t="s">
        <v>4274</v>
      </c>
      <c r="H1778" s="519"/>
      <c r="I1778" s="1979">
        <f>'Part IV-Uses of Funds'!$G$131</f>
        <v>23748176.5</v>
      </c>
      <c r="J1778" s="1757" t="s">
        <v>4275</v>
      </c>
      <c r="K1778" s="1757"/>
      <c r="L1778" s="1977">
        <f>IF(I1778=0, 0,E1778/I1778)</f>
        <v>0.63602375955054902</v>
      </c>
      <c r="M1778" s="1513"/>
      <c r="N1778" s="1513"/>
      <c r="O1778" s="1513"/>
      <c r="P1778" s="1513"/>
      <c r="Q1778" s="1532"/>
      <c r="R1778" s="1861"/>
      <c r="S1778" s="1861"/>
    </row>
    <row r="1779" spans="1:19" ht="15" customHeight="1">
      <c r="A1779" s="1828" t="s">
        <v>3708</v>
      </c>
      <c r="B1779" s="1900"/>
      <c r="C1779" s="1792" t="s">
        <v>3764</v>
      </c>
      <c r="D1779" s="1792"/>
      <c r="E1779" s="1792"/>
      <c r="F1779" s="1792"/>
      <c r="G1779" s="1792"/>
      <c r="H1779" s="1792"/>
      <c r="I1779" s="1792"/>
      <c r="J1779" s="1792"/>
      <c r="K1779" s="1792"/>
      <c r="L1779" s="1792"/>
      <c r="M1779" s="1980">
        <v>2</v>
      </c>
      <c r="N1779" s="1972"/>
      <c r="O1779" s="1857">
        <f>'Part IX A-Scoring Criteria'!O348</f>
        <v>0</v>
      </c>
      <c r="P1779" s="1857">
        <f>'Part IX A-Scoring Criteria'!P348</f>
        <v>0</v>
      </c>
      <c r="Q1779" s="1454" t="s">
        <v>2834</v>
      </c>
      <c r="R1779" s="1900"/>
      <c r="S1779" s="1900"/>
    </row>
    <row r="1780" spans="1:19" ht="15" customHeight="1">
      <c r="A1780" s="1828" t="s">
        <v>646</v>
      </c>
      <c r="B1780" s="1900"/>
      <c r="C1780" s="1792" t="s">
        <v>3855</v>
      </c>
      <c r="D1780" s="1792"/>
      <c r="E1780" s="1792"/>
      <c r="F1780" s="1792"/>
      <c r="G1780" s="1792"/>
      <c r="H1780" s="1792"/>
      <c r="I1780" s="1792"/>
      <c r="J1780" s="1792"/>
      <c r="K1780" s="1792"/>
      <c r="L1780" s="1792"/>
      <c r="M1780" s="1980">
        <v>2</v>
      </c>
      <c r="N1780" s="1972"/>
      <c r="O1780" s="1857">
        <f>'Part IX A-Scoring Criteria'!O349</f>
        <v>0</v>
      </c>
      <c r="P1780" s="1857">
        <f>'Part IX A-Scoring Criteria'!P349</f>
        <v>0</v>
      </c>
      <c r="Q1780" s="1454" t="s">
        <v>2834</v>
      </c>
      <c r="R1780" s="1900"/>
      <c r="S1780" s="1900"/>
    </row>
    <row r="1781" spans="1:19" ht="15" customHeight="1">
      <c r="A1781" s="1828" t="s">
        <v>3709</v>
      </c>
      <c r="B1781" s="1900"/>
      <c r="C1781" s="1792" t="s">
        <v>3765</v>
      </c>
      <c r="D1781" s="1792"/>
      <c r="E1781" s="1792"/>
      <c r="F1781" s="1792"/>
      <c r="G1781" s="1792"/>
      <c r="H1781" s="1792"/>
      <c r="I1781" s="1792"/>
      <c r="J1781" s="1792"/>
      <c r="K1781" s="1792"/>
      <c r="L1781" s="1792"/>
      <c r="M1781" s="1980">
        <v>1</v>
      </c>
      <c r="N1781" s="1972"/>
      <c r="O1781" s="1857">
        <f>'Part IX A-Scoring Criteria'!O350</f>
        <v>0</v>
      </c>
      <c r="P1781" s="1857">
        <f>'Part IX A-Scoring Criteria'!P350</f>
        <v>0</v>
      </c>
      <c r="Q1781" s="1454" t="s">
        <v>2834</v>
      </c>
      <c r="R1781" s="1900"/>
      <c r="S1781" s="1900"/>
    </row>
    <row r="1782" spans="1:19" ht="22.5" customHeight="1">
      <c r="A1782" s="1828" t="s">
        <v>4276</v>
      </c>
      <c r="B1782" s="1900"/>
      <c r="C1782" s="1792" t="s">
        <v>4277</v>
      </c>
      <c r="D1782" s="1792"/>
      <c r="E1782" s="1792"/>
      <c r="F1782" s="1792"/>
      <c r="G1782" s="1792"/>
      <c r="H1782" s="1792"/>
      <c r="I1782" s="1792"/>
      <c r="J1782" s="1792"/>
      <c r="K1782" s="1792" t="s">
        <v>4278</v>
      </c>
      <c r="L1782" s="1979">
        <f>'Part IV-Uses of Funds'!$G$127</f>
        <v>0</v>
      </c>
      <c r="M1782" s="1980">
        <v>1</v>
      </c>
      <c r="N1782" s="1980"/>
      <c r="O1782" s="1857">
        <f>'Part IX A-Scoring Criteria'!O351</f>
        <v>0</v>
      </c>
      <c r="P1782" s="1857">
        <f>'Part IX A-Scoring Criteria'!P351</f>
        <v>0</v>
      </c>
      <c r="Q1782" s="1454" t="s">
        <v>2834</v>
      </c>
      <c r="R1782" s="1900"/>
      <c r="S1782" s="1900"/>
    </row>
    <row r="1783" spans="1:19" ht="22.5">
      <c r="A1783" s="1828"/>
      <c r="B1783" s="1900"/>
      <c r="C1783" s="1792"/>
      <c r="D1783" s="1792"/>
      <c r="E1783" s="1792"/>
      <c r="F1783" s="1792"/>
      <c r="G1783" s="1792"/>
      <c r="H1783" s="1792"/>
      <c r="I1783" s="1792"/>
      <c r="J1783" s="1792"/>
      <c r="K1783" s="1792" t="s">
        <v>4279</v>
      </c>
      <c r="L1783" s="1979">
        <f>'Part IV-Uses of Funds'!$G$20</f>
        <v>0</v>
      </c>
      <c r="M1783" s="1980"/>
      <c r="N1783" s="1980"/>
      <c r="O1783" s="1980"/>
      <c r="P1783" s="1980"/>
      <c r="Q1783" s="1454"/>
      <c r="R1783" s="1900"/>
      <c r="S1783" s="1900"/>
    </row>
    <row r="1784" spans="1:19" ht="15">
      <c r="A1784" s="518"/>
      <c r="B1784" s="1756" t="s">
        <v>268</v>
      </c>
      <c r="C1784" s="518"/>
      <c r="D1784" s="522"/>
      <c r="E1784" s="522"/>
      <c r="F1784" s="522"/>
      <c r="G1784" s="522"/>
      <c r="H1784" s="519"/>
      <c r="I1784" s="519"/>
      <c r="J1784" s="519"/>
      <c r="K1784" s="519"/>
      <c r="L1784" s="1861"/>
      <c r="M1784" s="1512"/>
      <c r="N1784" s="1518"/>
      <c r="O1784" s="1857"/>
      <c r="P1784" s="1520"/>
      <c r="Q1784" s="1861"/>
      <c r="R1784" s="1861"/>
      <c r="S1784" s="1861"/>
    </row>
    <row r="1785" spans="1:19" ht="15.75">
      <c r="A1785" s="1792">
        <f>'Part IX A-Scoring Criteria'!A354</f>
        <v>0</v>
      </c>
      <c r="B1785" s="1792"/>
      <c r="C1785" s="1792"/>
      <c r="D1785" s="1792"/>
      <c r="E1785" s="1792"/>
      <c r="F1785" s="1792"/>
      <c r="G1785" s="1792"/>
      <c r="H1785" s="1792"/>
      <c r="I1785" s="1792"/>
      <c r="J1785" s="1792"/>
      <c r="K1785" s="1792"/>
      <c r="L1785" s="1792"/>
      <c r="M1785" s="1792"/>
      <c r="N1785" s="1792"/>
      <c r="O1785" s="1792"/>
      <c r="P1785" s="1792"/>
      <c r="Q1785" s="1866" t="s">
        <v>1308</v>
      </c>
      <c r="R1785" s="1861"/>
      <c r="S1785" s="1861"/>
    </row>
    <row r="1786" spans="1:19" ht="15">
      <c r="A1786" s="518"/>
      <c r="B1786" s="1756" t="s">
        <v>1947</v>
      </c>
      <c r="C1786" s="518"/>
      <c r="D1786" s="1793"/>
      <c r="E1786" s="1795"/>
      <c r="F1786" s="1795"/>
      <c r="G1786" s="1795"/>
      <c r="H1786" s="1795"/>
      <c r="I1786" s="1795"/>
      <c r="J1786" s="1795"/>
      <c r="K1786" s="1795"/>
      <c r="L1786" s="1795"/>
      <c r="M1786" s="1795"/>
      <c r="N1786" s="1889"/>
      <c r="O1786" s="1864"/>
      <c r="P1786" s="1687"/>
      <c r="Q1786" s="1883"/>
      <c r="R1786" s="1861"/>
      <c r="S1786" s="1861"/>
    </row>
    <row r="1787" spans="1:19" ht="15.75">
      <c r="A1787" s="1792">
        <f>'Part IX A-Scoring Criteria'!A356</f>
        <v>0</v>
      </c>
      <c r="B1787" s="1792"/>
      <c r="C1787" s="1792"/>
      <c r="D1787" s="1792"/>
      <c r="E1787" s="1792"/>
      <c r="F1787" s="1792"/>
      <c r="G1787" s="1792"/>
      <c r="H1787" s="1792"/>
      <c r="I1787" s="1792"/>
      <c r="J1787" s="1792"/>
      <c r="K1787" s="1792"/>
      <c r="L1787" s="1792"/>
      <c r="M1787" s="1792"/>
      <c r="N1787" s="1792"/>
      <c r="O1787" s="1792"/>
      <c r="P1787" s="1792"/>
      <c r="Q1787" s="1866" t="s">
        <v>1308</v>
      </c>
      <c r="R1787" s="1861"/>
      <c r="S1787" s="1861"/>
    </row>
    <row r="1788" spans="1:19" ht="15">
      <c r="A1788" s="518"/>
      <c r="B1788" s="1861"/>
      <c r="C1788" s="1795"/>
      <c r="D1788" s="1795"/>
      <c r="E1788" s="1795"/>
      <c r="F1788" s="1795"/>
      <c r="G1788" s="1795"/>
      <c r="H1788" s="1795"/>
      <c r="I1788" s="1795"/>
      <c r="J1788" s="1795"/>
      <c r="K1788" s="1795"/>
      <c r="L1788" s="1795"/>
      <c r="M1788" s="1795"/>
      <c r="N1788" s="1889"/>
      <c r="O1788" s="1864"/>
      <c r="P1788" s="1687"/>
      <c r="Q1788" s="1861"/>
      <c r="R1788" s="1861"/>
      <c r="S1788" s="1861"/>
    </row>
    <row r="1789" spans="1:19" ht="15">
      <c r="A1789" s="1933" t="s">
        <v>3073</v>
      </c>
      <c r="B1789" s="1859" t="s">
        <v>3776</v>
      </c>
      <c r="C1789" s="1861"/>
      <c r="D1789" s="1890"/>
      <c r="E1789" s="1890"/>
      <c r="F1789" s="1890"/>
      <c r="G1789" s="1890"/>
      <c r="H1789" s="1890"/>
      <c r="I1789" s="1890"/>
      <c r="J1789" s="1890"/>
      <c r="K1789" s="1890"/>
      <c r="L1789" s="1890"/>
      <c r="M1789" s="1687">
        <v>2</v>
      </c>
      <c r="N1789" s="1891"/>
      <c r="O1789" s="1857">
        <f>'Part IX A-Scoring Criteria'!O358</f>
        <v>0</v>
      </c>
      <c r="P1789" s="1857">
        <f>'Part IX A-Scoring Criteria'!P358</f>
        <v>0</v>
      </c>
      <c r="Q1789" s="1687" t="s">
        <v>459</v>
      </c>
      <c r="R1789" s="1532"/>
      <c r="S1789" s="1861"/>
    </row>
    <row r="1790" spans="1:19" ht="15" customHeight="1">
      <c r="A1790" s="1861"/>
      <c r="B1790" s="1800" t="s">
        <v>3778</v>
      </c>
      <c r="C1790" s="1800"/>
      <c r="D1790" s="1800"/>
      <c r="E1790" s="1800"/>
      <c r="F1790" s="1800"/>
      <c r="G1790" s="1800"/>
      <c r="H1790" s="1800"/>
      <c r="I1790" s="1800"/>
      <c r="J1790" s="1800"/>
      <c r="K1790" s="1800"/>
      <c r="L1790" s="1800"/>
      <c r="M1790" s="1800"/>
      <c r="N1790" s="1800"/>
      <c r="O1790" s="1790">
        <f>'Part IX A-Scoring Criteria'!O359</f>
        <v>0</v>
      </c>
      <c r="P1790" s="1790">
        <f>'Part IX A-Scoring Criteria'!P359</f>
        <v>0</v>
      </c>
      <c r="Q1790" s="1861"/>
      <c r="R1790" s="1871"/>
      <c r="S1790" s="1861"/>
    </row>
    <row r="1791" spans="1:19" ht="15">
      <c r="A1791" s="1711"/>
      <c r="B1791" s="1800"/>
      <c r="C1791" s="1800"/>
      <c r="D1791" s="1800"/>
      <c r="E1791" s="1800"/>
      <c r="F1791" s="1800"/>
      <c r="G1791" s="1800"/>
      <c r="H1791" s="1800"/>
      <c r="I1791" s="1800"/>
      <c r="J1791" s="1800"/>
      <c r="K1791" s="1800"/>
      <c r="L1791" s="1800"/>
      <c r="M1791" s="1800"/>
      <c r="N1791" s="1861"/>
      <c r="O1791" s="1861"/>
      <c r="P1791" s="1861"/>
      <c r="Q1791" s="1861"/>
      <c r="R1791" s="1871"/>
      <c r="S1791" s="1861"/>
    </row>
    <row r="1792" spans="1:19" ht="15" customHeight="1">
      <c r="A1792" s="1711"/>
      <c r="B1792" s="1728" t="s">
        <v>4280</v>
      </c>
      <c r="C1792" s="1861"/>
      <c r="D1792" s="1861"/>
      <c r="E1792" s="1861"/>
      <c r="F1792" s="519" t="s">
        <v>3773</v>
      </c>
      <c r="G1792" s="519"/>
      <c r="H1792" s="1861"/>
      <c r="I1792" s="1861"/>
      <c r="J1792" s="1757">
        <f>'Part IX A-Scoring Criteria'!J361</f>
        <v>0</v>
      </c>
      <c r="K1792" s="1757"/>
      <c r="L1792" s="1757"/>
      <c r="M1792" s="1757"/>
      <c r="N1792" s="1757"/>
      <c r="O1792" s="1606" t="s">
        <v>3874</v>
      </c>
      <c r="P1792" s="1861"/>
      <c r="Q1792" s="1861"/>
      <c r="R1792" s="1861"/>
      <c r="S1792" s="1861"/>
    </row>
    <row r="1793" spans="1:19" ht="15">
      <c r="A1793" s="1711"/>
      <c r="B1793" s="1861"/>
      <c r="C1793" s="1981"/>
      <c r="D1793" s="1981"/>
      <c r="E1793" s="1981"/>
      <c r="F1793" s="1871"/>
      <c r="G1793" s="1861"/>
      <c r="H1793" s="1981"/>
      <c r="I1793" s="1981"/>
      <c r="J1793" s="1981"/>
      <c r="K1793" s="1981"/>
      <c r="L1793" s="1981"/>
      <c r="M1793" s="1861"/>
      <c r="N1793" s="1800"/>
      <c r="O1793" s="1606"/>
      <c r="P1793" s="1800"/>
      <c r="Q1793" s="1861"/>
      <c r="R1793" s="1861"/>
      <c r="S1793" s="1861"/>
    </row>
    <row r="1794" spans="1:19" ht="15" customHeight="1">
      <c r="A1794" s="1711"/>
      <c r="B1794" s="1861"/>
      <c r="C1794" s="1981"/>
      <c r="D1794" s="1981"/>
      <c r="E1794" s="1981"/>
      <c r="F1794" s="502" t="s">
        <v>3190</v>
      </c>
      <c r="G1794" s="502"/>
      <c r="H1794" s="1861"/>
      <c r="I1794" s="1861"/>
      <c r="J1794" s="1844" t="str">
        <f>'Part I-Project Information'!$H$67</f>
        <v>HFOP</v>
      </c>
      <c r="K1794" s="1844"/>
      <c r="L1794" s="1981"/>
      <c r="M1794" s="1606" t="s">
        <v>4142</v>
      </c>
      <c r="N1794" s="1800"/>
      <c r="O1794" s="1606"/>
      <c r="P1794" s="1800"/>
      <c r="Q1794" s="1861"/>
      <c r="R1794" s="1861"/>
      <c r="S1794" s="1861"/>
    </row>
    <row r="1795" spans="1:19" ht="15" customHeight="1">
      <c r="A1795" s="1711"/>
      <c r="B1795" s="1672" t="s">
        <v>3774</v>
      </c>
      <c r="C1795" s="1763"/>
      <c r="D1795" s="1763"/>
      <c r="E1795" s="1981"/>
      <c r="F1795" s="1871"/>
      <c r="G1795" s="1861"/>
      <c r="H1795" s="1981"/>
      <c r="I1795" s="1981"/>
      <c r="J1795" s="1981"/>
      <c r="K1795" s="1981"/>
      <c r="L1795" s="1981"/>
      <c r="M1795" s="1606"/>
      <c r="N1795" s="1800"/>
      <c r="O1795" s="1606"/>
      <c r="P1795" s="1757" t="s">
        <v>3770</v>
      </c>
      <c r="Q1795" s="1861"/>
      <c r="R1795" s="1861"/>
      <c r="S1795" s="1861"/>
    </row>
    <row r="1796" spans="1:19" ht="15">
      <c r="A1796" s="1711"/>
      <c r="B1796" s="1861"/>
      <c r="C1796" s="1723"/>
      <c r="D1796" s="1861"/>
      <c r="E1796" s="1861"/>
      <c r="F1796" s="1728" t="s">
        <v>3775</v>
      </c>
      <c r="G1796" s="1861"/>
      <c r="H1796" s="1981"/>
      <c r="I1796" s="1814" t="s">
        <v>3769</v>
      </c>
      <c r="J1796" s="1843" t="s">
        <v>3771</v>
      </c>
      <c r="K1796" s="1787" t="s">
        <v>3770</v>
      </c>
      <c r="L1796" s="1515" t="s">
        <v>3772</v>
      </c>
      <c r="M1796" s="1606"/>
      <c r="N1796" s="1513"/>
      <c r="O1796" s="1606"/>
      <c r="P1796" s="1757"/>
      <c r="Q1796" s="1861"/>
      <c r="R1796" s="1861"/>
      <c r="S1796" s="1861"/>
    </row>
    <row r="1797" spans="1:19" ht="15">
      <c r="A1797" s="1711"/>
      <c r="B1797" s="1765" t="s">
        <v>2532</v>
      </c>
      <c r="C1797" s="1763" t="s">
        <v>3768</v>
      </c>
      <c r="D1797" s="1763"/>
      <c r="E1797" s="1981"/>
      <c r="F1797" s="1757">
        <f>'Part IX A-Scoring Criteria'!F366</f>
        <v>0</v>
      </c>
      <c r="G1797" s="1757"/>
      <c r="H1797" s="1757"/>
      <c r="I1797" s="1822">
        <f>'Part IX A-Scoring Criteria'!I366</f>
        <v>0</v>
      </c>
      <c r="J1797" s="1822">
        <f>'Part IX A-Scoring Criteria'!J366</f>
        <v>0</v>
      </c>
      <c r="K1797" s="1982">
        <f>'Part IX A-Scoring Criteria'!K366</f>
        <v>0</v>
      </c>
      <c r="L1797" s="1513">
        <v>78</v>
      </c>
      <c r="M1797" s="1515" t="str">
        <f>IF(K1797="","",IF(K1797&gt;=L1797,"Yes",IF(K1797&lt;L1797,"No","")))</f>
        <v>No</v>
      </c>
      <c r="N1797" s="1513"/>
      <c r="O1797" s="1515" t="str">
        <f>IF(P1797="","",IF(P1797&gt;=L1797,"Yes",IF(P1797&lt;L1797,"No","")))</f>
        <v>No</v>
      </c>
      <c r="P1797" s="1982">
        <f>'Part IX A-Scoring Criteria'!P366</f>
        <v>0</v>
      </c>
      <c r="Q1797" s="519" t="s">
        <v>4474</v>
      </c>
      <c r="R1797" s="1861"/>
      <c r="S1797" s="1861"/>
    </row>
    <row r="1798" spans="1:19" ht="15">
      <c r="A1798" s="1711"/>
      <c r="B1798" s="1833" t="s">
        <v>2533</v>
      </c>
      <c r="C1798" s="1763" t="s">
        <v>3766</v>
      </c>
      <c r="D1798" s="1763"/>
      <c r="E1798" s="1981"/>
      <c r="F1798" s="1757">
        <f>'Part IX A-Scoring Criteria'!F367</f>
        <v>0</v>
      </c>
      <c r="G1798" s="1757"/>
      <c r="H1798" s="1757"/>
      <c r="I1798" s="1822">
        <f>'Part IX A-Scoring Criteria'!I367</f>
        <v>0</v>
      </c>
      <c r="J1798" s="1822">
        <f>'Part IX A-Scoring Criteria'!J367</f>
        <v>0</v>
      </c>
      <c r="K1798" s="1982">
        <f>'Part IX A-Scoring Criteria'!K367</f>
        <v>0</v>
      </c>
      <c r="L1798" s="1513">
        <v>75</v>
      </c>
      <c r="M1798" s="1515" t="str">
        <f>IF(K1798="","",IF(K1798&gt;=L1798,"Yes",IF(K1798&lt;L1798,"No","")))</f>
        <v>No</v>
      </c>
      <c r="N1798" s="1513"/>
      <c r="O1798" s="1515" t="str">
        <f>IF(P1798="","",IF(P1798&gt;=L1798,"Yes",IF(P1798&lt;L1798,"No","")))</f>
        <v>No</v>
      </c>
      <c r="P1798" s="1982">
        <f>'Part IX A-Scoring Criteria'!P367</f>
        <v>0</v>
      </c>
      <c r="Q1798" s="519" t="s">
        <v>4474</v>
      </c>
      <c r="R1798" s="1861"/>
      <c r="S1798" s="1861"/>
    </row>
    <row r="1799" spans="1:19" ht="15">
      <c r="A1799" s="1711"/>
      <c r="B1799" s="1765" t="s">
        <v>2534</v>
      </c>
      <c r="C1799" s="1763" t="s">
        <v>3767</v>
      </c>
      <c r="D1799" s="1763"/>
      <c r="E1799" s="1981"/>
      <c r="F1799" s="1757">
        <f>'Part IX A-Scoring Criteria'!F368</f>
        <v>0</v>
      </c>
      <c r="G1799" s="1757"/>
      <c r="H1799" s="1757"/>
      <c r="I1799" s="1822">
        <f>'Part IX A-Scoring Criteria'!I368</f>
        <v>0</v>
      </c>
      <c r="J1799" s="1822">
        <f>'Part IX A-Scoring Criteria'!J368</f>
        <v>0</v>
      </c>
      <c r="K1799" s="1982">
        <f>'Part IX A-Scoring Criteria'!K368</f>
        <v>0</v>
      </c>
      <c r="L1799" s="1513">
        <v>72</v>
      </c>
      <c r="M1799" s="1515" t="str">
        <f>IF(K1799="","",IF(K1799&gt;=L1799,"Yes",IF(K1799&lt;L1799,"No","")))</f>
        <v>No</v>
      </c>
      <c r="N1799" s="1513"/>
      <c r="O1799" s="1515" t="str">
        <f>IF(P1799="","",IF(P1799&gt;=L1799,"Yes",IF(P1799&lt;L1799,"No","")))</f>
        <v>No</v>
      </c>
      <c r="P1799" s="1982">
        <f>'Part IX A-Scoring Criteria'!P368</f>
        <v>0</v>
      </c>
      <c r="Q1799" s="519" t="s">
        <v>4474</v>
      </c>
      <c r="R1799" s="1861"/>
      <c r="S1799" s="1861"/>
    </row>
    <row r="1800" spans="1:19" ht="15">
      <c r="A1800" s="518"/>
      <c r="B1800" s="1756" t="s">
        <v>268</v>
      </c>
      <c r="C1800" s="518"/>
      <c r="D1800" s="522"/>
      <c r="E1800" s="522"/>
      <c r="F1800" s="522"/>
      <c r="G1800" s="522"/>
      <c r="H1800" s="519"/>
      <c r="I1800" s="519"/>
      <c r="J1800" s="519"/>
      <c r="K1800" s="519"/>
      <c r="L1800" s="1861"/>
      <c r="M1800" s="1512"/>
      <c r="N1800" s="1518"/>
      <c r="O1800" s="1857"/>
      <c r="P1800" s="1520"/>
      <c r="Q1800" s="1861"/>
      <c r="R1800" s="1861"/>
      <c r="S1800" s="1861"/>
    </row>
    <row r="1801" spans="1:19" ht="15.75">
      <c r="A1801" s="1792">
        <f>'Part IX A-Scoring Criteria'!A370</f>
        <v>0</v>
      </c>
      <c r="B1801" s="1792"/>
      <c r="C1801" s="1792"/>
      <c r="D1801" s="1792"/>
      <c r="E1801" s="1792"/>
      <c r="F1801" s="1792"/>
      <c r="G1801" s="1792"/>
      <c r="H1801" s="1792"/>
      <c r="I1801" s="1792"/>
      <c r="J1801" s="1792"/>
      <c r="K1801" s="1792"/>
      <c r="L1801" s="1792"/>
      <c r="M1801" s="1792"/>
      <c r="N1801" s="1792"/>
      <c r="O1801" s="1792"/>
      <c r="P1801" s="1792"/>
      <c r="Q1801" s="1866" t="s">
        <v>1308</v>
      </c>
      <c r="R1801" s="1861"/>
      <c r="S1801" s="1861"/>
    </row>
    <row r="1802" spans="1:19" ht="15">
      <c r="A1802" s="518"/>
      <c r="B1802" s="1756" t="s">
        <v>1947</v>
      </c>
      <c r="C1802" s="518"/>
      <c r="D1802" s="1793"/>
      <c r="E1802" s="1795"/>
      <c r="F1802" s="1795"/>
      <c r="G1802" s="1795"/>
      <c r="H1802" s="1795"/>
      <c r="I1802" s="1795"/>
      <c r="J1802" s="1795"/>
      <c r="K1802" s="1795"/>
      <c r="L1802" s="1795"/>
      <c r="M1802" s="1795"/>
      <c r="N1802" s="1889"/>
      <c r="O1802" s="1864"/>
      <c r="P1802" s="1687"/>
      <c r="Q1802" s="1883"/>
      <c r="R1802" s="1861"/>
      <c r="S1802" s="1861"/>
    </row>
    <row r="1803" spans="1:19" ht="15.75">
      <c r="A1803" s="1792">
        <f>'Part IX A-Scoring Criteria'!A372</f>
        <v>0</v>
      </c>
      <c r="B1803" s="1792"/>
      <c r="C1803" s="1792"/>
      <c r="D1803" s="1792"/>
      <c r="E1803" s="1792"/>
      <c r="F1803" s="1792"/>
      <c r="G1803" s="1792"/>
      <c r="H1803" s="1792"/>
      <c r="I1803" s="1792"/>
      <c r="J1803" s="1792"/>
      <c r="K1803" s="1792"/>
      <c r="L1803" s="1792"/>
      <c r="M1803" s="1792"/>
      <c r="N1803" s="1792"/>
      <c r="O1803" s="1792"/>
      <c r="P1803" s="1792"/>
      <c r="Q1803" s="1866" t="s">
        <v>1308</v>
      </c>
      <c r="R1803" s="1861"/>
      <c r="S1803" s="1861"/>
    </row>
    <row r="1804" spans="1:19" ht="15">
      <c r="A1804" s="518"/>
      <c r="B1804" s="1861"/>
      <c r="C1804" s="1795"/>
      <c r="D1804" s="1795"/>
      <c r="E1804" s="1795"/>
      <c r="F1804" s="1795"/>
      <c r="G1804" s="1795"/>
      <c r="H1804" s="1795"/>
      <c r="I1804" s="1795"/>
      <c r="J1804" s="1795"/>
      <c r="K1804" s="1795"/>
      <c r="L1804" s="1795"/>
      <c r="M1804" s="1795"/>
      <c r="N1804" s="1889"/>
      <c r="O1804" s="1864"/>
      <c r="P1804" s="1687"/>
      <c r="Q1804" s="1861"/>
      <c r="R1804" s="1861"/>
      <c r="S1804" s="1861"/>
    </row>
    <row r="1805" spans="1:19" ht="15">
      <c r="A1805" s="1933" t="s">
        <v>3076</v>
      </c>
      <c r="B1805" s="1859" t="s">
        <v>3075</v>
      </c>
      <c r="C1805" s="1861"/>
      <c r="D1805" s="1890"/>
      <c r="E1805" s="1890"/>
      <c r="F1805" s="1890"/>
      <c r="G1805" s="1787" t="s">
        <v>4281</v>
      </c>
      <c r="H1805" s="1890"/>
      <c r="I1805" s="1861"/>
      <c r="J1805" s="1861"/>
      <c r="K1805" s="1861"/>
      <c r="L1805" s="1861"/>
      <c r="M1805" s="1687">
        <v>2</v>
      </c>
      <c r="N1805" s="1891"/>
      <c r="O1805" s="1857">
        <f>'Part IX A-Scoring Criteria'!O374</f>
        <v>0</v>
      </c>
      <c r="P1805" s="1857">
        <f>'Part IX A-Scoring Criteria'!P374</f>
        <v>0</v>
      </c>
      <c r="Q1805" s="1687" t="s">
        <v>459</v>
      </c>
      <c r="R1805" s="519" t="s">
        <v>2834</v>
      </c>
      <c r="S1805" s="1861"/>
    </row>
    <row r="1806" spans="1:19">
      <c r="A1806" s="502"/>
      <c r="B1806" s="502"/>
      <c r="C1806" s="502"/>
      <c r="D1806" s="502"/>
      <c r="E1806" s="502"/>
      <c r="F1806" s="502"/>
      <c r="G1806" s="502"/>
      <c r="H1806" s="502"/>
      <c r="I1806" s="502"/>
      <c r="J1806" s="502"/>
      <c r="K1806" s="502"/>
      <c r="L1806" s="502"/>
      <c r="M1806" s="502"/>
      <c r="N1806" s="502"/>
      <c r="O1806" s="502"/>
      <c r="P1806" s="502"/>
      <c r="Q1806" s="502"/>
      <c r="R1806" s="1983"/>
      <c r="S1806" s="502"/>
    </row>
    <row r="1807" spans="1:19">
      <c r="A1807" s="502"/>
      <c r="B1807" s="1711" t="s">
        <v>2068</v>
      </c>
      <c r="C1807" s="519" t="s">
        <v>4629</v>
      </c>
      <c r="D1807" s="502"/>
      <c r="E1807" s="502"/>
      <c r="F1807" s="502"/>
      <c r="G1807" s="502"/>
      <c r="H1807" s="502"/>
      <c r="I1807" s="502"/>
      <c r="J1807" s="502"/>
      <c r="K1807" s="502"/>
      <c r="L1807" s="502"/>
      <c r="M1807" s="1843">
        <v>2</v>
      </c>
      <c r="N1807" s="502"/>
      <c r="O1807" s="502"/>
      <c r="P1807" s="502"/>
      <c r="Q1807" s="502"/>
      <c r="R1807" s="1983"/>
      <c r="S1807" s="502"/>
    </row>
    <row r="1808" spans="1:19">
      <c r="A1808" s="502"/>
      <c r="B1808" s="1711" t="s">
        <v>2071</v>
      </c>
      <c r="C1808" s="519" t="s">
        <v>4630</v>
      </c>
      <c r="D1808" s="502"/>
      <c r="E1808" s="502"/>
      <c r="F1808" s="502"/>
      <c r="G1808" s="502"/>
      <c r="H1808" s="502"/>
      <c r="I1808" s="502"/>
      <c r="J1808" s="502"/>
      <c r="K1808" s="502"/>
      <c r="L1808" s="502"/>
      <c r="M1808" s="1843">
        <v>1</v>
      </c>
      <c r="N1808" s="502"/>
      <c r="O1808" s="502"/>
      <c r="P1808" s="502"/>
      <c r="Q1808" s="502"/>
      <c r="R1808" s="1983"/>
      <c r="S1808" s="502"/>
    </row>
    <row r="1809" spans="1:19">
      <c r="A1809" s="502"/>
      <c r="B1809" s="502"/>
      <c r="C1809" s="502"/>
      <c r="D1809" s="1786"/>
      <c r="E1809" s="1786"/>
      <c r="F1809" s="1786"/>
      <c r="G1809" s="1786"/>
      <c r="H1809" s="1786"/>
      <c r="I1809" s="1786"/>
      <c r="J1809" s="1786"/>
      <c r="K1809" s="1786"/>
      <c r="L1809" s="1786"/>
      <c r="M1809" s="1786"/>
      <c r="N1809" s="502"/>
      <c r="O1809" s="502"/>
      <c r="P1809" s="502"/>
      <c r="Q1809" s="502"/>
      <c r="R1809" s="1983"/>
      <c r="S1809" s="502"/>
    </row>
    <row r="1810" spans="1:19" ht="12.75" customHeight="1">
      <c r="A1810" s="502"/>
      <c r="B1810" s="1984" t="s">
        <v>4282</v>
      </c>
      <c r="C1810" s="1984"/>
      <c r="D1810" s="1865" t="s">
        <v>3077</v>
      </c>
      <c r="E1810" s="1851" t="s">
        <v>3777</v>
      </c>
      <c r="F1810" s="1851"/>
      <c r="G1810" s="1851"/>
      <c r="H1810" s="1851"/>
      <c r="I1810" s="1851"/>
      <c r="J1810" s="1851"/>
      <c r="K1810" s="1851"/>
      <c r="L1810" s="1851"/>
      <c r="M1810" s="1865" t="s">
        <v>1669</v>
      </c>
      <c r="N1810" s="1851" t="s">
        <v>2699</v>
      </c>
      <c r="O1810" s="1851"/>
      <c r="P1810" s="502"/>
      <c r="Q1810" s="502"/>
      <c r="R1810" s="502"/>
      <c r="S1810" s="502"/>
    </row>
    <row r="1811" spans="1:19" ht="12.75" customHeight="1">
      <c r="A1811" s="1791"/>
      <c r="B1811" s="1984"/>
      <c r="C1811" s="1984"/>
      <c r="D1811" s="1865" t="s">
        <v>1258</v>
      </c>
      <c r="E1811" s="1792" t="s">
        <v>3081</v>
      </c>
      <c r="F1811" s="1792"/>
      <c r="G1811" s="1792"/>
      <c r="H1811" s="1792"/>
      <c r="I1811" s="1792"/>
      <c r="J1811" s="1792"/>
      <c r="K1811" s="1792"/>
      <c r="L1811" s="1792"/>
      <c r="M1811" s="1865" t="s">
        <v>2713</v>
      </c>
      <c r="N1811" s="1851" t="s">
        <v>1333</v>
      </c>
      <c r="O1811" s="1851"/>
      <c r="P1811" s="502"/>
      <c r="Q1811" s="502"/>
      <c r="R1811" s="502"/>
      <c r="S1811" s="502"/>
    </row>
    <row r="1812" spans="1:19">
      <c r="A1812" s="1791"/>
      <c r="B1812" s="1984"/>
      <c r="C1812" s="1984"/>
      <c r="D1812" s="1979">
        <v>20000</v>
      </c>
      <c r="E1812" s="1955">
        <v>15000</v>
      </c>
      <c r="F1812" s="1955"/>
      <c r="G1812" s="1955"/>
      <c r="H1812" s="1955"/>
      <c r="I1812" s="1955"/>
      <c r="J1812" s="1955"/>
      <c r="K1812" s="1955"/>
      <c r="L1812" s="1955"/>
      <c r="M1812" s="1979">
        <v>6000</v>
      </c>
      <c r="N1812" s="1955">
        <v>3000</v>
      </c>
      <c r="O1812" s="1955"/>
      <c r="P1812" s="502"/>
      <c r="Q1812" s="502"/>
      <c r="R1812" s="502"/>
      <c r="S1812" s="502"/>
    </row>
    <row r="1813" spans="1:19">
      <c r="A1813" s="1791"/>
      <c r="B1813" s="1791"/>
      <c r="C1813" s="502"/>
      <c r="D1813" s="502"/>
      <c r="E1813" s="502"/>
      <c r="F1813" s="502"/>
      <c r="G1813" s="502"/>
      <c r="H1813" s="502"/>
      <c r="I1813" s="1843" t="s">
        <v>4152</v>
      </c>
      <c r="J1813" s="1843" t="s">
        <v>4153</v>
      </c>
      <c r="K1813" s="1979"/>
      <c r="L1813" s="1979"/>
      <c r="M1813" s="1979"/>
      <c r="N1813" s="502"/>
      <c r="O1813" s="502"/>
      <c r="P1813" s="502"/>
      <c r="Q1813" s="502"/>
      <c r="R1813" s="1983"/>
      <c r="S1813" s="502"/>
    </row>
    <row r="1814" spans="1:19">
      <c r="A1814" s="502"/>
      <c r="B1814" s="502"/>
      <c r="C1814" s="1985" t="s">
        <v>4287</v>
      </c>
      <c r="D1814" s="1979"/>
      <c r="E1814" s="1979"/>
      <c r="F1814" s="1979"/>
      <c r="G1814" s="1979"/>
      <c r="H1814" s="1979"/>
      <c r="I1814" s="1979">
        <f>'Part IX A-Scoring Criteria'!I383</f>
        <v>0</v>
      </c>
      <c r="J1814" s="1979">
        <f>'Part IX A-Scoring Criteria'!J383</f>
        <v>0</v>
      </c>
      <c r="K1814" s="1984" t="str">
        <f>IF(J1815&lt;J1814,"Threshold not met!","")</f>
        <v/>
      </c>
      <c r="L1814" s="502" t="s">
        <v>3078</v>
      </c>
      <c r="M1814" s="1844" t="str">
        <f>'Part I-Project Information'!$F$28</f>
        <v>Atlanta</v>
      </c>
      <c r="N1814" s="1844"/>
      <c r="O1814" s="1844"/>
      <c r="P1814" s="1844"/>
      <c r="Q1814" s="502"/>
      <c r="R1814" s="502"/>
      <c r="S1814" s="502"/>
    </row>
    <row r="1815" spans="1:19" ht="13.5">
      <c r="A1815" s="1846"/>
      <c r="B1815" s="1846"/>
      <c r="C1815" s="1886" t="s">
        <v>4283</v>
      </c>
      <c r="D1815" s="502"/>
      <c r="E1815" s="502"/>
      <c r="F1815" s="502"/>
      <c r="G1815" s="502"/>
      <c r="H1815" s="1986" t="str">
        <f>IF(I1815&lt;I1814,"Threshold not met!","")</f>
        <v/>
      </c>
      <c r="I1815" s="1979">
        <f>'Part IX A-Scoring Criteria'!I384</f>
        <v>0</v>
      </c>
      <c r="J1815" s="1979">
        <f>'Part IX A-Scoring Criteria'!J384</f>
        <v>0</v>
      </c>
      <c r="K1815" s="1984"/>
      <c r="L1815" s="1844" t="s">
        <v>3079</v>
      </c>
      <c r="M1815" s="1844" t="str">
        <f>'Part I-Project Information'!$J$29</f>
        <v>Fulton</v>
      </c>
      <c r="N1815" s="1844"/>
      <c r="O1815" s="1844"/>
      <c r="P1815" s="1844"/>
      <c r="Q1815" s="502"/>
      <c r="R1815" s="502"/>
      <c r="S1815" s="502"/>
    </row>
    <row r="1816" spans="1:19" ht="13.5">
      <c r="A1816" s="1846"/>
      <c r="B1816" s="1846"/>
      <c r="C1816" s="1886" t="s">
        <v>4631</v>
      </c>
      <c r="D1816" s="502"/>
      <c r="E1816" s="502"/>
      <c r="F1816" s="502"/>
      <c r="G1816" s="502"/>
      <c r="H1816" s="502"/>
      <c r="I1816" s="1979">
        <f>'Part IX A-Scoring Criteria'!I385</f>
        <v>0</v>
      </c>
      <c r="J1816" s="1979">
        <f>'Part IX A-Scoring Criteria'!J385</f>
        <v>0</v>
      </c>
      <c r="K1816" s="502"/>
      <c r="L1816" s="1886" t="s">
        <v>3080</v>
      </c>
      <c r="M1816" s="1844" t="str">
        <f>'Part I-Project Information'!$O$30</f>
        <v>Atlanta-Sandy Springs-Marietta</v>
      </c>
      <c r="N1816" s="1844"/>
      <c r="O1816" s="1844"/>
      <c r="P1816" s="1844"/>
      <c r="Q1816" s="502"/>
      <c r="R1816" s="502"/>
      <c r="S1816" s="502"/>
    </row>
    <row r="1817" spans="1:19">
      <c r="A1817" s="502"/>
      <c r="B1817" s="502"/>
      <c r="C1817" s="502"/>
      <c r="D1817" s="502"/>
      <c r="E1817" s="502"/>
      <c r="F1817" s="502"/>
      <c r="G1817" s="502"/>
      <c r="H1817" s="502"/>
      <c r="I1817" s="502"/>
      <c r="J1817" s="502"/>
      <c r="K1817" s="502"/>
      <c r="L1817" s="1886" t="s">
        <v>3191</v>
      </c>
      <c r="M1817" s="1844" t="str">
        <f>VLOOKUP('Part I-Project Information'!$J$29,'DCA Underwriting Assumptions'!$G$141:$J$300,4)</f>
        <v>MSA</v>
      </c>
      <c r="N1817" s="1844"/>
      <c r="O1817" s="1844"/>
      <c r="P1817" s="1844"/>
      <c r="Q1817" s="502"/>
      <c r="R1817" s="502"/>
      <c r="S1817" s="502"/>
    </row>
    <row r="1818" spans="1:19">
      <c r="A1818" s="502"/>
      <c r="B1818" s="502"/>
      <c r="C1818" s="1886" t="s">
        <v>4632</v>
      </c>
      <c r="D1818" s="502"/>
      <c r="E1818" s="502"/>
      <c r="F1818" s="502"/>
      <c r="G1818" s="502"/>
      <c r="H1818" s="502"/>
      <c r="I1818" s="1885">
        <f>IF(I1815=0,0,I1816/I1815)</f>
        <v>0</v>
      </c>
      <c r="J1818" s="1917">
        <f>IF(J1815=0,0,J1816/J1815)</f>
        <v>0</v>
      </c>
      <c r="K1818" s="502"/>
      <c r="L1818" s="502" t="s">
        <v>4284</v>
      </c>
      <c r="M1818" s="1844" t="str">
        <f>'Part I-Project Information'!$K$30</f>
        <v>Urban</v>
      </c>
      <c r="N1818" s="1844"/>
      <c r="O1818" s="1844"/>
      <c r="P1818" s="1844"/>
      <c r="Q1818" s="502"/>
      <c r="R1818" s="502"/>
      <c r="S1818" s="502"/>
    </row>
    <row r="1819" spans="1:19">
      <c r="A1819" s="1791"/>
      <c r="B1819" s="1886"/>
      <c r="C1819" s="1886"/>
      <c r="D1819" s="1843"/>
      <c r="E1819" s="1843"/>
      <c r="F1819" s="1791"/>
      <c r="G1819" s="1791"/>
      <c r="H1819" s="1791"/>
      <c r="I1819" s="1791"/>
      <c r="J1819" s="1791"/>
      <c r="K1819" s="1791"/>
      <c r="L1819" s="502"/>
      <c r="M1819" s="502"/>
      <c r="N1819" s="502"/>
      <c r="O1819" s="502"/>
      <c r="P1819" s="502"/>
      <c r="Q1819" s="502"/>
      <c r="R1819" s="1983"/>
      <c r="S1819" s="502"/>
    </row>
    <row r="1820" spans="1:19" ht="15">
      <c r="A1820" s="518"/>
      <c r="B1820" s="1756" t="s">
        <v>268</v>
      </c>
      <c r="C1820" s="518"/>
      <c r="D1820" s="522"/>
      <c r="E1820" s="522"/>
      <c r="F1820" s="522"/>
      <c r="G1820" s="522"/>
      <c r="H1820" s="519"/>
      <c r="I1820" s="519"/>
      <c r="J1820" s="519"/>
      <c r="K1820" s="519"/>
      <c r="L1820" s="1861"/>
      <c r="M1820" s="1512"/>
      <c r="N1820" s="1518"/>
      <c r="O1820" s="1857"/>
      <c r="P1820" s="1520"/>
      <c r="Q1820" s="1861"/>
      <c r="R1820" s="1861"/>
      <c r="S1820" s="1861"/>
    </row>
    <row r="1821" spans="1:19" ht="15.75">
      <c r="A1821" s="1792">
        <f>'Part IX A-Scoring Criteria'!A390</f>
        <v>0</v>
      </c>
      <c r="B1821" s="1792"/>
      <c r="C1821" s="1792"/>
      <c r="D1821" s="1792"/>
      <c r="E1821" s="1792"/>
      <c r="F1821" s="1792"/>
      <c r="G1821" s="1792"/>
      <c r="H1821" s="1792"/>
      <c r="I1821" s="1792"/>
      <c r="J1821" s="1792"/>
      <c r="K1821" s="1792"/>
      <c r="L1821" s="1792"/>
      <c r="M1821" s="1792"/>
      <c r="N1821" s="1792"/>
      <c r="O1821" s="1792"/>
      <c r="P1821" s="1792"/>
      <c r="Q1821" s="1866" t="s">
        <v>1308</v>
      </c>
      <c r="R1821" s="1861"/>
      <c r="S1821" s="1861"/>
    </row>
    <row r="1822" spans="1:19" ht="15">
      <c r="A1822" s="518"/>
      <c r="B1822" s="1756" t="s">
        <v>1947</v>
      </c>
      <c r="C1822" s="518"/>
      <c r="D1822" s="1793"/>
      <c r="E1822" s="1795"/>
      <c r="F1822" s="1795"/>
      <c r="G1822" s="1795"/>
      <c r="H1822" s="1795"/>
      <c r="I1822" s="1795"/>
      <c r="J1822" s="1795"/>
      <c r="K1822" s="1795"/>
      <c r="L1822" s="1795"/>
      <c r="M1822" s="1795"/>
      <c r="N1822" s="1889"/>
      <c r="O1822" s="1864"/>
      <c r="P1822" s="1687"/>
      <c r="Q1822" s="1883"/>
      <c r="R1822" s="1861"/>
      <c r="S1822" s="1861"/>
    </row>
    <row r="1823" spans="1:19" ht="15.75">
      <c r="A1823" s="1792">
        <f>'Part IX A-Scoring Criteria'!A392</f>
        <v>0</v>
      </c>
      <c r="B1823" s="1792"/>
      <c r="C1823" s="1792"/>
      <c r="D1823" s="1792"/>
      <c r="E1823" s="1792"/>
      <c r="F1823" s="1792"/>
      <c r="G1823" s="1792"/>
      <c r="H1823" s="1792"/>
      <c r="I1823" s="1792"/>
      <c r="J1823" s="1792"/>
      <c r="K1823" s="1792"/>
      <c r="L1823" s="1792"/>
      <c r="M1823" s="1792"/>
      <c r="N1823" s="1792"/>
      <c r="O1823" s="1792"/>
      <c r="P1823" s="1792"/>
      <c r="Q1823" s="1866" t="s">
        <v>1308</v>
      </c>
      <c r="R1823" s="1861"/>
      <c r="S1823" s="1861"/>
    </row>
    <row r="1824" spans="1:19" ht="15">
      <c r="A1824" s="518"/>
      <c r="B1824" s="1861"/>
      <c r="C1824" s="1795"/>
      <c r="D1824" s="1795"/>
      <c r="E1824" s="1795"/>
      <c r="F1824" s="1795"/>
      <c r="G1824" s="1795"/>
      <c r="H1824" s="1795"/>
      <c r="I1824" s="1795"/>
      <c r="J1824" s="1795"/>
      <c r="K1824" s="1795"/>
      <c r="L1824" s="1795"/>
      <c r="M1824" s="1795"/>
      <c r="N1824" s="1889"/>
      <c r="O1824" s="1864"/>
      <c r="P1824" s="1687"/>
      <c r="Q1824" s="1861"/>
      <c r="R1824" s="1861"/>
      <c r="S1824" s="1861"/>
    </row>
    <row r="1825" spans="1:19" ht="15">
      <c r="A1825" s="1933" t="s">
        <v>3074</v>
      </c>
      <c r="B1825" s="1859" t="s">
        <v>1747</v>
      </c>
      <c r="C1825" s="1876"/>
      <c r="D1825" s="1870"/>
      <c r="E1825" s="1870"/>
      <c r="F1825" s="519"/>
      <c r="G1825" s="519"/>
      <c r="H1825" s="1876"/>
      <c r="I1825" s="519"/>
      <c r="J1825" s="519"/>
      <c r="K1825" s="519"/>
      <c r="L1825" s="1871" t="str">
        <f>IF(OR($O1825=$M1825,$O1825&lt;=0,$O1825=""),"","* * Check Score! * *")</f>
        <v/>
      </c>
      <c r="M1825" s="1687">
        <v>10</v>
      </c>
      <c r="N1825" s="1512"/>
      <c r="O1825" s="1857">
        <f>'Part IX A-Scoring Criteria'!O394</f>
        <v>10</v>
      </c>
      <c r="P1825" s="1857">
        <f>'Part IX A-Scoring Criteria'!P394</f>
        <v>10</v>
      </c>
      <c r="Q1825" s="1687" t="s">
        <v>459</v>
      </c>
      <c r="R1825" s="1876"/>
      <c r="S1825" s="1876"/>
    </row>
    <row r="1826" spans="1:19" ht="15">
      <c r="A1826" s="1933"/>
      <c r="B1826" s="1859"/>
      <c r="C1826" s="1876"/>
      <c r="D1826" s="1870"/>
      <c r="E1826" s="1870"/>
      <c r="F1826" s="519"/>
      <c r="G1826" s="519"/>
      <c r="H1826" s="1876"/>
      <c r="I1826" s="519"/>
      <c r="J1826" s="519"/>
      <c r="K1826" s="519"/>
      <c r="L1826" s="1871"/>
      <c r="M1826" s="1687"/>
      <c r="N1826" s="1512"/>
      <c r="O1826" s="1512"/>
      <c r="P1826" s="1512"/>
      <c r="Q1826" s="1687"/>
      <c r="R1826" s="1876"/>
      <c r="S1826" s="1876"/>
    </row>
    <row r="1827" spans="1:19" ht="15">
      <c r="A1827" s="1933"/>
      <c r="B1827" s="1786" t="s">
        <v>4400</v>
      </c>
      <c r="C1827" s="1876"/>
      <c r="D1827" s="1870"/>
      <c r="E1827" s="1870"/>
      <c r="F1827" s="519"/>
      <c r="G1827" s="519"/>
      <c r="H1827" s="1876"/>
      <c r="I1827" s="519"/>
      <c r="J1827" s="519"/>
      <c r="K1827" s="519"/>
      <c r="L1827" s="1871"/>
      <c r="M1827" s="1687"/>
      <c r="N1827" s="1512"/>
      <c r="O1827" s="1857">
        <v>10</v>
      </c>
      <c r="P1827" s="1857">
        <v>10</v>
      </c>
      <c r="Q1827" s="1687"/>
      <c r="R1827" s="1876"/>
      <c r="S1827" s="1876"/>
    </row>
    <row r="1828" spans="1:19" ht="15">
      <c r="A1828" s="1933"/>
      <c r="B1828" s="1786" t="s">
        <v>4401</v>
      </c>
      <c r="C1828" s="1876"/>
      <c r="D1828" s="1870"/>
      <c r="E1828" s="1870"/>
      <c r="F1828" s="519"/>
      <c r="G1828" s="519"/>
      <c r="H1828" s="1876"/>
      <c r="I1828" s="519"/>
      <c r="J1828" s="519"/>
      <c r="K1828" s="519"/>
      <c r="L1828" s="1871"/>
      <c r="M1828" s="1687"/>
      <c r="N1828" s="1512"/>
      <c r="O1828" s="1857">
        <f>'Part IX A-Scoring Criteria'!O397</f>
        <v>0</v>
      </c>
      <c r="P1828" s="1857">
        <f>'Part IX A-Scoring Criteria'!P397</f>
        <v>0</v>
      </c>
      <c r="Q1828" s="1687"/>
      <c r="R1828" s="1876"/>
      <c r="S1828" s="1876"/>
    </row>
    <row r="1829" spans="1:19" ht="15">
      <c r="A1829" s="1933"/>
      <c r="B1829" s="1786" t="s">
        <v>4402</v>
      </c>
      <c r="C1829" s="1876"/>
      <c r="D1829" s="1870"/>
      <c r="E1829" s="1870"/>
      <c r="F1829" s="519"/>
      <c r="G1829" s="519"/>
      <c r="H1829" s="1876"/>
      <c r="I1829" s="519"/>
      <c r="J1829" s="519"/>
      <c r="K1829" s="519"/>
      <c r="L1829" s="1871"/>
      <c r="M1829" s="1687"/>
      <c r="N1829" s="1512"/>
      <c r="O1829" s="1857">
        <f>'Part IX A-Scoring Criteria'!O398</f>
        <v>0</v>
      </c>
      <c r="P1829" s="1857">
        <f>'Part IX A-Scoring Criteria'!P398</f>
        <v>0</v>
      </c>
      <c r="Q1829" s="1687"/>
      <c r="R1829" s="1876"/>
      <c r="S1829" s="1876"/>
    </row>
    <row r="1830" spans="1:19" ht="15">
      <c r="A1830" s="1933"/>
      <c r="B1830" s="1700"/>
      <c r="C1830" s="1876"/>
      <c r="D1830" s="1870"/>
      <c r="E1830" s="1870"/>
      <c r="F1830" s="519"/>
      <c r="G1830" s="519"/>
      <c r="H1830" s="1876"/>
      <c r="I1830" s="519"/>
      <c r="J1830" s="519"/>
      <c r="K1830" s="519"/>
      <c r="L1830" s="1871"/>
      <c r="M1830" s="1687"/>
      <c r="N1830" s="1687"/>
      <c r="O1830" s="1687"/>
      <c r="P1830" s="1687"/>
      <c r="Q1830" s="1687"/>
      <c r="R1830" s="1876"/>
      <c r="S1830" s="1876"/>
    </row>
    <row r="1831" spans="1:19">
      <c r="A1831" s="1711" t="s">
        <v>2068</v>
      </c>
      <c r="B1831" s="1700" t="s">
        <v>1500</v>
      </c>
      <c r="D1831" s="518"/>
      <c r="E1831" s="518"/>
      <c r="F1831" s="518"/>
      <c r="G1831" s="518"/>
      <c r="H1831" s="518"/>
      <c r="I1831" s="518"/>
      <c r="J1831" s="518"/>
      <c r="K1831" s="518"/>
      <c r="L1831" s="518"/>
      <c r="M1831" s="1512"/>
      <c r="N1831" s="1765" t="s">
        <v>2068</v>
      </c>
      <c r="O1831" s="1857">
        <f>'Part IX A-Scoring Criteria'!O400</f>
        <v>0</v>
      </c>
      <c r="P1831" s="1857">
        <f>'Part IX A-Scoring Criteria'!P400</f>
        <v>0</v>
      </c>
      <c r="Q1831" s="1532" t="s">
        <v>2834</v>
      </c>
    </row>
    <row r="1832" spans="1:19" ht="15">
      <c r="A1832" s="1756"/>
      <c r="B1832" s="1756" t="s">
        <v>1947</v>
      </c>
      <c r="C1832" s="518"/>
      <c r="D1832" s="1756"/>
      <c r="E1832" s="1723"/>
      <c r="F1832" s="1723"/>
      <c r="G1832" s="1723"/>
      <c r="H1832" s="1723"/>
      <c r="I1832" s="1723"/>
      <c r="J1832" s="1723"/>
      <c r="K1832" s="1723"/>
      <c r="L1832" s="1723"/>
      <c r="M1832" s="1723"/>
      <c r="N1832" s="1817"/>
      <c r="O1832" s="1698"/>
      <c r="P1832" s="1687"/>
      <c r="Q1832" s="1876"/>
      <c r="R1832" s="1876"/>
      <c r="S1832" s="1876"/>
    </row>
    <row r="1833" spans="1:19" ht="15.75">
      <c r="A1833" s="1792">
        <f>'Part IX A-Scoring Criteria'!A402</f>
        <v>0</v>
      </c>
      <c r="B1833" s="1792"/>
      <c r="C1833" s="1792"/>
      <c r="D1833" s="1792"/>
      <c r="E1833" s="1792"/>
      <c r="F1833" s="1792"/>
      <c r="G1833" s="1792"/>
      <c r="H1833" s="1792"/>
      <c r="I1833" s="1792"/>
      <c r="J1833" s="1792"/>
      <c r="K1833" s="1792"/>
      <c r="L1833" s="1792"/>
      <c r="M1833" s="1792"/>
      <c r="N1833" s="1792"/>
      <c r="O1833" s="1792"/>
      <c r="P1833" s="1792"/>
      <c r="Q1833" s="1866" t="s">
        <v>1308</v>
      </c>
      <c r="R1833" s="1866"/>
      <c r="S1833" s="1861"/>
    </row>
    <row r="1834" spans="1:19" ht="15">
      <c r="A1834" s="518"/>
      <c r="B1834" s="518"/>
      <c r="C1834" s="1795"/>
      <c r="D1834" s="1795"/>
      <c r="E1834" s="1795"/>
      <c r="F1834" s="1795"/>
      <c r="G1834" s="1795"/>
      <c r="H1834" s="1795"/>
      <c r="I1834" s="1795"/>
      <c r="J1834" s="1795"/>
      <c r="K1834" s="1795"/>
      <c r="L1834" s="1839" t="s">
        <v>4540</v>
      </c>
      <c r="M1834" s="1795"/>
      <c r="N1834" s="1889"/>
      <c r="O1834" s="1987">
        <f>'Part IX A-Scoring Criteria'!O404</f>
        <v>24</v>
      </c>
      <c r="P1834" s="1987">
        <f>'Part IX A-Scoring Criteria'!P404</f>
        <v>24</v>
      </c>
      <c r="Q1834" s="1861"/>
      <c r="R1834" s="1861"/>
      <c r="S1834" s="1861"/>
    </row>
    <row r="1835" spans="1:19" ht="15">
      <c r="A1835" s="1570"/>
      <c r="B1835" s="1988"/>
      <c r="C1835" s="518"/>
      <c r="F1835" s="1861"/>
      <c r="G1835" s="1861"/>
      <c r="H1835" s="1989" t="s">
        <v>442</v>
      </c>
      <c r="I1835" s="1855"/>
      <c r="J1835" s="1855"/>
      <c r="K1835" s="1855"/>
      <c r="L1835" s="1876"/>
      <c r="M1835" s="1990">
        <f>M1439+M1460+M1474+M1487+M1510+M1517+M1540+M1556+M1599+M1622+M1633+M1641+M1649+M1662+M1676+M1715+M1728+M1741+M1757+M1789+M1805+M1825</f>
        <v>103</v>
      </c>
      <c r="N1835" s="1991"/>
      <c r="O1835" s="1990">
        <f>O1439+O1460+O1474+O1487+O1510+O1517+O1540+O1556+O1599+O1622+O1633+O1649+O1662+O1676+O1728+O1741+O1789+O1805+O1825</f>
        <v>24</v>
      </c>
      <c r="P1835" s="1990">
        <f>P1439+P1460+P1474+P1487+P1510+P1517+P1540+P1556+P1599+P1622+P1633+P1641+P1649+P1662+P1676+P1715+P1728+P1741+P1757+P1789+P1805+P1825</f>
        <v>24</v>
      </c>
      <c r="Q1835" s="518"/>
      <c r="R1835" s="518"/>
      <c r="S1835" s="518"/>
    </row>
    <row r="1836" spans="1:19" ht="15.75">
      <c r="A1836" s="1861"/>
      <c r="B1836" s="1988"/>
      <c r="C1836" s="1861"/>
      <c r="F1836" s="1856"/>
      <c r="G1836" s="1856"/>
      <c r="H1836" s="1700"/>
      <c r="I1836" s="1700" t="s">
        <v>3196</v>
      </c>
      <c r="J1836" s="1682"/>
      <c r="K1836" s="1682"/>
      <c r="L1836" s="1861"/>
      <c r="N1836" s="1687"/>
      <c r="O1836" s="1915"/>
      <c r="P1836" s="1915">
        <f>P1641</f>
        <v>0</v>
      </c>
      <c r="Q1836" s="518"/>
      <c r="R1836" s="518"/>
      <c r="S1836" s="518"/>
    </row>
    <row r="1837" spans="1:19" ht="15.75">
      <c r="A1837" s="1861"/>
      <c r="B1837" s="1988"/>
      <c r="C1837" s="1861"/>
      <c r="F1837" s="1856"/>
      <c r="G1837" s="1856"/>
      <c r="H1837" s="518"/>
      <c r="I1837" s="1700" t="s">
        <v>3197</v>
      </c>
      <c r="J1837" s="1682"/>
      <c r="K1837" s="1682"/>
      <c r="L1837" s="1861"/>
      <c r="N1837" s="1687"/>
      <c r="O1837" s="1687"/>
      <c r="P1837" s="1915">
        <f>P1715</f>
        <v>0</v>
      </c>
      <c r="Q1837" s="518"/>
      <c r="R1837" s="518"/>
      <c r="S1837" s="518"/>
    </row>
    <row r="1838" spans="1:19" ht="15">
      <c r="A1838" s="518"/>
      <c r="B1838" s="518"/>
      <c r="C1838" s="1795"/>
      <c r="D1838" s="1795"/>
      <c r="E1838" s="1795"/>
      <c r="F1838" s="1795"/>
      <c r="G1838" s="1795"/>
      <c r="H1838" s="1861"/>
      <c r="I1838" s="1700" t="s">
        <v>3198</v>
      </c>
      <c r="J1838" s="1795"/>
      <c r="K1838" s="1795"/>
      <c r="L1838" s="1795"/>
      <c r="M1838" s="1795"/>
      <c r="N1838" s="1889"/>
      <c r="O1838" s="1864"/>
      <c r="P1838" s="1915">
        <f>P1757</f>
        <v>0</v>
      </c>
      <c r="Q1838" s="1861"/>
      <c r="R1838" s="1861"/>
      <c r="S1838" s="1861"/>
    </row>
    <row r="1839" spans="1:19" ht="15">
      <c r="A1839" s="518"/>
      <c r="B1839" s="1861"/>
      <c r="C1839" s="1861"/>
      <c r="D1839" s="519"/>
      <c r="E1839" s="519"/>
      <c r="F1839" s="1687"/>
      <c r="G1839" s="1687"/>
      <c r="H1839" s="521" t="s">
        <v>3199</v>
      </c>
      <c r="I1839" s="1687"/>
      <c r="J1839" s="1728"/>
      <c r="K1839" s="1728"/>
      <c r="L1839" s="1728"/>
      <c r="M1839" s="1787"/>
      <c r="N1839" s="1687"/>
      <c r="O1839" s="1520"/>
      <c r="P1839" s="1915">
        <f>P1835-P1836-P1837-P1838</f>
        <v>24</v>
      </c>
      <c r="Q1839" s="1861"/>
      <c r="R1839" s="1861"/>
      <c r="S1839" s="1861"/>
    </row>
    <row r="1840" spans="1:19" ht="15.75">
      <c r="A1840" s="1861"/>
      <c r="B1840" s="1988"/>
      <c r="C1840" s="1861"/>
      <c r="F1840" s="1728"/>
      <c r="G1840" s="1728"/>
      <c r="H1840" s="1856"/>
      <c r="I1840" s="1856"/>
      <c r="J1840" s="1682"/>
      <c r="K1840" s="1682"/>
      <c r="L1840" s="1861"/>
      <c r="N1840" s="1687"/>
      <c r="O1840" s="1687"/>
      <c r="P1840" s="1857"/>
    </row>
    <row r="1841" spans="1:19" ht="15" customHeight="1">
      <c r="A1841" s="1992" t="s">
        <v>4516</v>
      </c>
      <c r="B1841" s="1992"/>
      <c r="C1841" s="1992"/>
      <c r="D1841" s="1992"/>
      <c r="E1841" s="1992"/>
      <c r="F1841" s="1992"/>
      <c r="G1841" s="1992"/>
      <c r="H1841" s="1992"/>
      <c r="I1841" s="1992"/>
      <c r="J1841" s="1992"/>
      <c r="K1841" s="1992"/>
      <c r="L1841" s="1992"/>
      <c r="M1841" s="1992"/>
      <c r="N1841" s="1992"/>
      <c r="O1841" s="1992"/>
      <c r="P1841" s="1992"/>
      <c r="Q1841" s="1861"/>
      <c r="R1841" s="1861"/>
      <c r="S1841" s="1861"/>
    </row>
    <row r="1842" spans="1:19" ht="15.75">
      <c r="A1842" s="1792">
        <f>'Part IX A-Scoring Criteria'!A411</f>
        <v>0</v>
      </c>
      <c r="B1842" s="1792"/>
      <c r="C1842" s="1792"/>
      <c r="D1842" s="1792"/>
      <c r="E1842" s="1792"/>
      <c r="F1842" s="1792"/>
      <c r="G1842" s="1792"/>
      <c r="H1842" s="1792"/>
      <c r="I1842" s="1792"/>
      <c r="J1842" s="1792"/>
      <c r="K1842" s="1792"/>
      <c r="L1842" s="1792"/>
      <c r="M1842" s="1792"/>
      <c r="N1842" s="1792"/>
      <c r="O1842" s="1792"/>
      <c r="P1842" s="1792"/>
      <c r="Q1842" s="1866" t="s">
        <v>1308</v>
      </c>
      <c r="R1842" s="1866"/>
      <c r="S1842" s="1861"/>
    </row>
    <row r="1846" spans="1:19" ht="15.75">
      <c r="A1846" s="1995" t="s">
        <v>4633</v>
      </c>
      <c r="B1846" s="548"/>
      <c r="C1846" s="548"/>
      <c r="D1846" s="548"/>
      <c r="E1846" s="548"/>
      <c r="F1846" s="548"/>
    </row>
    <row r="1847" spans="1:19" ht="16.5">
      <c r="A1847" s="1996" t="str">
        <f>'Part I-Project Information'!$F$24</f>
        <v>Gateway Capitol View</v>
      </c>
      <c r="B1847" s="1997"/>
      <c r="C1847" s="1997"/>
      <c r="D1847" s="1997"/>
      <c r="E1847" s="1997"/>
      <c r="F1847" s="1997"/>
    </row>
    <row r="1848" spans="1:19" ht="16.5">
      <c r="A1848" s="1996" t="str">
        <f>CONCATENATE('Part I-Project Information'!$F$28,", ", 'Part I-Project Information'!$J$29," County")</f>
        <v>Atlanta, Fulton County</v>
      </c>
      <c r="B1848" s="1997"/>
      <c r="C1848" s="1997"/>
      <c r="D1848" s="1997"/>
      <c r="E1848" s="1997"/>
      <c r="F1848" s="1997"/>
    </row>
    <row r="1849" spans="1:19">
      <c r="A1849" s="548"/>
      <c r="B1849" s="548"/>
      <c r="C1849" s="548"/>
      <c r="D1849" s="548"/>
      <c r="E1849" s="548"/>
      <c r="F1849" s="548"/>
    </row>
    <row r="1850" spans="1:19" ht="12.75" customHeight="1">
      <c r="A1850" s="1998" t="str">
        <f>'Pt IX B-GICH Project Narrative'!A5</f>
        <v>&lt;&lt; Enter paragraph(s) here. Press and hold Alt-Enter to start new paragraphs. &gt;&gt;</v>
      </c>
      <c r="B1850" s="2872" t="s">
        <v>2808</v>
      </c>
      <c r="C1850" s="2873"/>
      <c r="D1850" s="2873"/>
      <c r="E1850" s="2873"/>
      <c r="F1850" s="2873"/>
    </row>
    <row r="1851" spans="1:19">
      <c r="A1851" s="1998"/>
      <c r="B1851" s="2872"/>
      <c r="C1851" s="2873"/>
      <c r="D1851" s="2873"/>
      <c r="E1851" s="2873"/>
      <c r="F1851" s="2873"/>
    </row>
    <row r="1852" spans="1:19">
      <c r="A1852" s="1998"/>
      <c r="B1852" s="548"/>
      <c r="C1852" s="1999"/>
      <c r="D1852" s="548"/>
      <c r="E1852" s="548"/>
      <c r="F1852" s="548"/>
    </row>
    <row r="1853" spans="1:19">
      <c r="A1853" s="1998"/>
      <c r="B1853" s="548"/>
      <c r="C1853" s="548"/>
      <c r="D1853" s="548"/>
      <c r="E1853" s="548"/>
      <c r="F1853" s="548"/>
    </row>
    <row r="1854" spans="1:19">
      <c r="A1854" s="1998"/>
      <c r="B1854" s="548"/>
      <c r="C1854" s="548"/>
      <c r="D1854" s="548"/>
      <c r="E1854" s="548"/>
      <c r="F1854" s="548"/>
    </row>
    <row r="1855" spans="1:19" ht="12.75" customHeight="1">
      <c r="A1855" s="1998"/>
      <c r="B1855" s="548"/>
      <c r="C1855" s="548"/>
      <c r="D1855" s="548"/>
      <c r="E1855" s="548"/>
      <c r="F1855" s="548"/>
    </row>
    <row r="1856" spans="1:19">
      <c r="A1856" s="1998"/>
      <c r="B1856" s="548"/>
      <c r="C1856" s="548"/>
      <c r="D1856" s="548"/>
      <c r="E1856" s="548"/>
      <c r="F1856" s="548"/>
    </row>
    <row r="1857" spans="1:6">
      <c r="A1857" s="1998"/>
      <c r="B1857" s="548"/>
      <c r="C1857" s="548"/>
      <c r="D1857" s="548"/>
      <c r="E1857" s="548"/>
      <c r="F1857" s="548"/>
    </row>
    <row r="1858" spans="1:6">
      <c r="A1858" s="1998"/>
      <c r="B1858" s="548"/>
      <c r="C1858" s="548"/>
      <c r="D1858" s="548"/>
      <c r="E1858" s="548"/>
      <c r="F1858" s="548"/>
    </row>
    <row r="1859" spans="1:6">
      <c r="A1859" s="1998"/>
      <c r="B1859" s="548"/>
      <c r="C1859" s="548"/>
      <c r="D1859" s="548"/>
      <c r="E1859" s="548"/>
      <c r="F1859" s="548"/>
    </row>
    <row r="1860" spans="1:6">
      <c r="A1860" s="1998"/>
      <c r="B1860" s="548"/>
      <c r="C1860" s="548"/>
      <c r="D1860" s="548"/>
      <c r="E1860" s="548"/>
      <c r="F1860" s="548"/>
    </row>
    <row r="1861" spans="1:6">
      <c r="A1861" s="1998"/>
      <c r="B1861" s="548"/>
      <c r="C1861" s="548"/>
      <c r="D1861" s="548"/>
      <c r="E1861" s="548"/>
      <c r="F1861" s="548"/>
    </row>
    <row r="1862" spans="1:6">
      <c r="A1862" s="1998"/>
      <c r="B1862" s="548"/>
      <c r="C1862" s="548"/>
      <c r="D1862" s="548"/>
      <c r="E1862" s="548"/>
      <c r="F1862" s="548"/>
    </row>
    <row r="1863" spans="1:6">
      <c r="A1863" s="1998"/>
      <c r="B1863" s="548"/>
      <c r="C1863" s="548"/>
      <c r="D1863" s="548"/>
      <c r="E1863" s="548"/>
      <c r="F1863" s="548"/>
    </row>
    <row r="1864" spans="1:6">
      <c r="A1864" s="1998"/>
      <c r="B1864" s="548"/>
      <c r="C1864" s="548"/>
      <c r="D1864" s="548"/>
      <c r="E1864" s="548"/>
      <c r="F1864" s="548"/>
    </row>
    <row r="1865" spans="1:6">
      <c r="A1865" s="1998"/>
      <c r="B1865" s="548"/>
      <c r="C1865" s="548"/>
      <c r="D1865" s="548"/>
      <c r="E1865" s="548"/>
      <c r="F1865" s="548"/>
    </row>
    <row r="1866" spans="1:6">
      <c r="A1866" s="1998"/>
      <c r="B1866" s="548"/>
      <c r="C1866" s="548"/>
      <c r="D1866" s="548"/>
      <c r="E1866" s="548"/>
      <c r="F1866" s="548"/>
    </row>
    <row r="1867" spans="1:6">
      <c r="A1867" s="1998"/>
      <c r="B1867" s="548"/>
      <c r="C1867" s="548"/>
      <c r="D1867" s="548"/>
      <c r="E1867" s="548"/>
      <c r="F1867" s="548"/>
    </row>
    <row r="1868" spans="1:6">
      <c r="A1868" s="1998"/>
      <c r="B1868" s="548"/>
      <c r="C1868" s="548"/>
      <c r="D1868" s="548"/>
      <c r="E1868" s="548"/>
      <c r="F1868" s="548"/>
    </row>
    <row r="1873" spans="1:1" ht="15.75">
      <c r="A1873" s="1635" t="s">
        <v>3985</v>
      </c>
    </row>
    <row r="1874" spans="1:1" ht="16.5">
      <c r="A1874" s="1993" t="str">
        <f>'Part I-Project Information'!$F$24</f>
        <v>Gateway Capitol View</v>
      </c>
    </row>
    <row r="1875" spans="1:1" ht="16.5">
      <c r="A1875" s="1993" t="str">
        <f>CONCATENATE('Part I-Project Information'!$F$28,", ", 'Part I-Project Information'!$J$29," County")</f>
        <v>Atlanta, Fulton County</v>
      </c>
    </row>
    <row r="1876" spans="1:1" ht="16.5">
      <c r="A1876" s="1994" t="str">
        <f>CONCATENATE("Identified Complex Issue: ",'Part IX A-Scoring Criteria'!$K$286)</f>
        <v xml:space="preserve">Identified Complex Issue: </v>
      </c>
    </row>
    <row r="1878" spans="1:1" ht="114.75">
      <c r="A1878" s="1526" t="str">
        <f>'Pt IX C-Innovative Project Narr'!A6</f>
        <v>&lt;&lt; Enter paragraph(s) here. Press and hold Alt-Enter to start new paragraphs. &gt;&gt;</v>
      </c>
    </row>
    <row r="1879" spans="1:1">
      <c r="A1879" s="1526"/>
    </row>
    <row r="1880" spans="1:1">
      <c r="A1880" s="1526"/>
    </row>
    <row r="1881" spans="1:1">
      <c r="A1881" s="1526"/>
    </row>
    <row r="1882" spans="1:1">
      <c r="A1882" s="1526"/>
    </row>
    <row r="1883" spans="1:1">
      <c r="A1883" s="1526"/>
    </row>
    <row r="1884" spans="1:1">
      <c r="A1884" s="1526"/>
    </row>
    <row r="1885" spans="1:1">
      <c r="A1885" s="1526"/>
    </row>
    <row r="1886" spans="1:1">
      <c r="A1886" s="1526"/>
    </row>
    <row r="1887" spans="1:1">
      <c r="A1887" s="1526"/>
    </row>
    <row r="1888" spans="1:1">
      <c r="A1888" s="1526"/>
    </row>
    <row r="1889" spans="1:1">
      <c r="A1889" s="1526"/>
    </row>
    <row r="1890" spans="1:1">
      <c r="A1890" s="1526"/>
    </row>
    <row r="1891" spans="1:1">
      <c r="A1891" s="1526"/>
    </row>
    <row r="1892" spans="1:1">
      <c r="A1892" s="1526"/>
    </row>
    <row r="1893" spans="1:1">
      <c r="A1893" s="1526"/>
    </row>
    <row r="1894" spans="1:1">
      <c r="A1894" s="1526"/>
    </row>
    <row r="1895" spans="1:1">
      <c r="A1895" s="1526"/>
    </row>
    <row r="1896" spans="1:1">
      <c r="A1896" s="1526"/>
    </row>
  </sheetData>
  <sheetProtection algorithmName="SHA-512" hashValue="LUN5T1+s+fsWosHTYR0tOVQRfhuYAdOhS2TYVd/dwQZQJ5825fC8Pn9YaoU6ex3hK6kVmWe/akIxyIC0OdTT5g==" saltValue="Zi8qVLi137gsHYyCPp8hBQ==" spinCount="100000" sheet="1" objects="1" scenarios="1" selectLockedCells="1" selectUnlockedCells="1"/>
  <mergeCells count="1">
    <mergeCell ref="B1850:F1851"/>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629:M629">
    <cfRule type="cellIs" dxfId="28" priority="32" operator="equal">
      <formula>"""&lt;&lt;Select Fuel &gt;&gt;"""</formula>
    </cfRule>
  </conditionalFormatting>
  <conditionalFormatting sqref="I629:M629">
    <cfRule type="cellIs" dxfId="27" priority="30" operator="equal">
      <formula>"Select Fuel"</formula>
    </cfRule>
    <cfRule type="cellIs" dxfId="26" priority="31" operator="equal">
      <formula>"&lt;&lt;Select Fuel &gt;&gt;"</formula>
    </cfRule>
  </conditionalFormatting>
  <conditionalFormatting sqref="J629:M629">
    <cfRule type="cellIs" dxfId="25" priority="29" operator="equal">
      <formula>"Select Fuel"</formula>
    </cfRule>
  </conditionalFormatting>
  <conditionalFormatting sqref="I644:M644">
    <cfRule type="cellIs" dxfId="24" priority="28" operator="equal">
      <formula>"""&lt;&lt;Select Fuel &gt;&gt;"""</formula>
    </cfRule>
  </conditionalFormatting>
  <conditionalFormatting sqref="I644:M644">
    <cfRule type="cellIs" dxfId="23" priority="26" operator="equal">
      <formula>"Select Fuel"</formula>
    </cfRule>
    <cfRule type="cellIs" dxfId="22" priority="27" operator="equal">
      <formula>"&lt;&lt;Select Fuel &gt;&gt;"</formula>
    </cfRule>
  </conditionalFormatting>
  <conditionalFormatting sqref="J644:M644">
    <cfRule type="cellIs" dxfId="21" priority="25" operator="equal">
      <formula>"Select Fuel"</formula>
    </cfRule>
  </conditionalFormatting>
  <conditionalFormatting sqref="H671:H708">
    <cfRule type="expression" priority="22" stopIfTrue="1">
      <formula>AND($B671="PHA", $H671&gt;0)</formula>
    </cfRule>
  </conditionalFormatting>
  <conditionalFormatting sqref="R746:T763 R717:T741 R773:T780">
    <cfRule type="cellIs" dxfId="20" priority="23" stopIfTrue="1" operator="greaterThan">
      <formula>0</formula>
    </cfRule>
  </conditionalFormatting>
  <conditionalFormatting sqref="A671:A708">
    <cfRule type="cellIs" dxfId="19" priority="24" stopIfTrue="1" operator="equal">
      <formula>1</formula>
    </cfRule>
  </conditionalFormatting>
  <conditionalFormatting sqref="I671:I708">
    <cfRule type="expression" priority="21" stopIfTrue="1">
      <formula>AND($B671="PHA", $H671&gt;0)</formula>
    </cfRule>
  </conditionalFormatting>
  <conditionalFormatting sqref="O783">
    <cfRule type="cellIs" dxfId="18" priority="20" operator="greaterThan">
      <formula>0.02</formula>
    </cfRule>
  </conditionalFormatting>
  <conditionalFormatting sqref="R765:T772">
    <cfRule type="cellIs" dxfId="17" priority="19" stopIfTrue="1" operator="greaterThan">
      <formula>0</formula>
    </cfRule>
  </conditionalFormatting>
  <conditionalFormatting sqref="P671:P708">
    <cfRule type="expression" dxfId="16" priority="18">
      <formula>AND($O$10="New Construction",$P$10="Yes")</formula>
    </cfRule>
  </conditionalFormatting>
  <conditionalFormatting sqref="F1560 B1558">
    <cfRule type="expression" dxfId="15" priority="16">
      <formula>AND($O$109&gt;0,$O$109&lt;4,OR($I$109="Statutory Redevelopment Plan",$I$109="Redevelopment Zone",$I$109="Local Redevelopment Plan"))</formula>
    </cfRule>
  </conditionalFormatting>
  <conditionalFormatting sqref="Q1498">
    <cfRule type="cellIs" dxfId="14" priority="15" stopIfTrue="1" operator="equal">
      <formula>"* * Check Score! * *"</formula>
    </cfRule>
  </conditionalFormatting>
  <conditionalFormatting sqref="N1662:N1663 L1663">
    <cfRule type="cellIs" dxfId="13" priority="14" stopIfTrue="1" operator="equal">
      <formula>"* * Check Score! * *"</formula>
    </cfRule>
  </conditionalFormatting>
  <conditionalFormatting sqref="R1718">
    <cfRule type="cellIs" dxfId="12" priority="13" stopIfTrue="1" operator="equal">
      <formula>"* * Check Score! * *"</formula>
    </cfRule>
  </conditionalFormatting>
  <conditionalFormatting sqref="R1723">
    <cfRule type="cellIs" dxfId="11" priority="8" stopIfTrue="1" operator="equal">
      <formula>"* * Check Score! * *"</formula>
    </cfRule>
  </conditionalFormatting>
  <conditionalFormatting sqref="R1724">
    <cfRule type="cellIs" dxfId="10" priority="7" stopIfTrue="1" operator="equal">
      <formula>"* * Check Score! * *"</formula>
    </cfRule>
  </conditionalFormatting>
  <conditionalFormatting sqref="R1719">
    <cfRule type="cellIs" dxfId="9" priority="12" stopIfTrue="1" operator="equal">
      <formula>"* * Check Score! * *"</formula>
    </cfRule>
  </conditionalFormatting>
  <conditionalFormatting sqref="R1720">
    <cfRule type="cellIs" dxfId="8" priority="11" stopIfTrue="1" operator="equal">
      <formula>"* * Check Score! * *"</formula>
    </cfRule>
  </conditionalFormatting>
  <conditionalFormatting sqref="R1721">
    <cfRule type="cellIs" dxfId="7" priority="10" stopIfTrue="1" operator="equal">
      <formula>"* * Check Score! * *"</formula>
    </cfRule>
  </conditionalFormatting>
  <conditionalFormatting sqref="R1722">
    <cfRule type="cellIs" dxfId="6" priority="9" stopIfTrue="1" operator="equal">
      <formula>"* * Check Score! * *"</formula>
    </cfRule>
  </conditionalFormatting>
  <conditionalFormatting sqref="R1735:R1736">
    <cfRule type="cellIs" dxfId="5" priority="6" stopIfTrue="1" operator="equal">
      <formula>"* * Check Score! * *"</formula>
    </cfRule>
  </conditionalFormatting>
  <conditionalFormatting sqref="O1656:P1658 N1652 N1654">
    <cfRule type="cellIs" dxfId="4" priority="5" stopIfTrue="1" operator="equal">
      <formula>"* * Check Score! * *"</formula>
    </cfRule>
  </conditionalFormatting>
  <conditionalFormatting sqref="R1644">
    <cfRule type="cellIs" dxfId="3" priority="4" stopIfTrue="1" operator="equal">
      <formula>"* * Check Score! * *"</formula>
    </cfRule>
  </conditionalFormatting>
  <conditionalFormatting sqref="L1670">
    <cfRule type="cellIs" dxfId="2" priority="3" stopIfTrue="1" operator="equal">
      <formula>"* * Check Score! * *"</formula>
    </cfRule>
  </conditionalFormatting>
  <conditionalFormatting sqref="N1670">
    <cfRule type="cellIs" dxfId="1" priority="2" stopIfTrue="1" operator="equal">
      <formula>"* * Check Score! * *"</formula>
    </cfRule>
  </conditionalFormatting>
  <conditionalFormatting sqref="R1767">
    <cfRule type="cellIs" dxfId="0" priority="1" stopIfTrue="1" operator="equal">
      <formula>"* * Check Score! * *"</formula>
    </cfRule>
  </conditionalFormatting>
  <hyperlinks>
    <hyperlink ref="N58" r:id="rId1"/>
    <hyperlink ref="N59" r:id="rId2"/>
    <hyperlink ref="N216" r:id="rId3"/>
    <hyperlink ref="G167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2204" t="str">
        <f>CONCATENATE("PART ONE - PROJECT INFORMATION"," - ",$O$4," ",$F$24,", ",'Part I-Project Information'!F28,", ",'Part I-Project Information'!J29," County")</f>
        <v>PART ONE - PROJECT INFORMATION - 2016-508 Gateway Capitol View, Atlanta, Fulton County</v>
      </c>
      <c r="B1" s="2205"/>
      <c r="C1" s="2205"/>
      <c r="D1" s="2205"/>
      <c r="E1" s="2205"/>
      <c r="F1" s="2205"/>
      <c r="G1" s="2205"/>
      <c r="H1" s="2205"/>
      <c r="I1" s="2205"/>
      <c r="J1" s="2205"/>
      <c r="K1" s="2205"/>
      <c r="L1" s="2205"/>
      <c r="M1" s="2205"/>
      <c r="N1" s="2205"/>
      <c r="O1" s="2205"/>
      <c r="P1" s="2206"/>
    </row>
    <row r="2" spans="1:16" s="326" customFormat="1" ht="9" customHeight="1">
      <c r="A2" s="1292"/>
      <c r="B2" s="1292"/>
      <c r="C2" s="1292"/>
      <c r="D2" s="1292"/>
      <c r="E2" s="1292"/>
      <c r="F2" s="1292"/>
      <c r="G2" s="1292"/>
      <c r="H2" s="1292"/>
      <c r="I2" s="1292"/>
      <c r="J2" s="1292"/>
      <c r="K2" s="1292"/>
      <c r="L2" s="1292"/>
      <c r="M2" s="1292"/>
      <c r="N2" s="1292"/>
      <c r="O2" s="1292"/>
      <c r="P2" s="1292"/>
    </row>
    <row r="3" spans="1:16" s="326" customFormat="1" ht="12" customHeight="1" thickBot="1">
      <c r="B3" s="296" t="s">
        <v>2458</v>
      </c>
      <c r="F3" s="327"/>
      <c r="G3" s="298" t="s">
        <v>461</v>
      </c>
      <c r="L3" s="1292"/>
      <c r="O3" s="2215" t="s">
        <v>2792</v>
      </c>
      <c r="P3" s="2215"/>
    </row>
    <row r="4" spans="1:16" s="326" customFormat="1" ht="12" customHeight="1" thickBot="1">
      <c r="A4" s="545"/>
      <c r="B4" s="328"/>
      <c r="F4" s="329"/>
      <c r="G4" s="298" t="s">
        <v>462</v>
      </c>
      <c r="H4" s="2009"/>
      <c r="I4" s="2009"/>
      <c r="J4" s="2009"/>
      <c r="O4" s="2875" t="s">
        <v>4755</v>
      </c>
      <c r="P4" s="2876"/>
    </row>
    <row r="5" spans="1:16" s="326" customFormat="1" ht="12" customHeight="1">
      <c r="A5" s="545"/>
      <c r="B5" s="328"/>
      <c r="C5" s="328"/>
      <c r="D5" s="188"/>
      <c r="F5" s="680"/>
      <c r="G5" s="188" t="s">
        <v>3646</v>
      </c>
      <c r="H5" s="2009"/>
      <c r="I5" s="2009"/>
      <c r="J5" s="2009"/>
    </row>
    <row r="6" spans="1:16" s="326" customFormat="1" ht="9" customHeight="1">
      <c r="A6" s="545"/>
      <c r="B6" s="328"/>
      <c r="C6" s="328"/>
      <c r="D6" s="328"/>
      <c r="E6" s="2009"/>
      <c r="H6" s="2009"/>
      <c r="I6" s="2009"/>
      <c r="J6" s="2009"/>
      <c r="K6" s="296"/>
      <c r="M6" s="2009"/>
    </row>
    <row r="7" spans="1:16" s="326" customFormat="1" ht="13.15" customHeight="1">
      <c r="A7" s="328" t="s">
        <v>646</v>
      </c>
      <c r="B7" s="328" t="s">
        <v>2471</v>
      </c>
      <c r="D7" s="299"/>
      <c r="E7" s="330"/>
      <c r="F7" s="331" t="s">
        <v>1791</v>
      </c>
      <c r="J7" s="2209">
        <f>'Part IV-Uses of Funds'!J174</f>
        <v>853533</v>
      </c>
      <c r="K7" s="2210"/>
      <c r="M7" s="2009"/>
    </row>
    <row r="8" spans="1:16" s="1" customFormat="1" ht="13.15" customHeight="1">
      <c r="A8" s="4"/>
      <c r="B8" s="4"/>
      <c r="D8" s="28"/>
      <c r="E8" s="410"/>
      <c r="F8" s="326" t="s">
        <v>1340</v>
      </c>
      <c r="J8" s="2211">
        <f>'Part III-Sources of Funds'!E10</f>
        <v>3000000</v>
      </c>
      <c r="K8" s="2212"/>
      <c r="L8" s="326"/>
      <c r="M8" s="2009"/>
      <c r="N8" s="326"/>
      <c r="O8" s="326"/>
      <c r="P8" s="326"/>
    </row>
    <row r="9" spans="1:16" s="326" customFormat="1" ht="4.5" customHeight="1">
      <c r="A9" s="328"/>
      <c r="B9" s="328"/>
      <c r="D9" s="299"/>
      <c r="E9" s="330"/>
      <c r="F9" s="330"/>
      <c r="I9" s="332"/>
      <c r="N9" s="333"/>
    </row>
    <row r="10" spans="1:16" s="326" customFormat="1" ht="13.15" customHeight="1">
      <c r="A10" s="332" t="s">
        <v>777</v>
      </c>
      <c r="B10" s="328" t="s">
        <v>2128</v>
      </c>
      <c r="F10" s="2877" t="s">
        <v>4634</v>
      </c>
      <c r="G10" s="2878"/>
      <c r="H10" s="2879"/>
      <c r="I10" s="364"/>
      <c r="J10" s="617" t="s">
        <v>4446</v>
      </c>
      <c r="K10" s="337"/>
      <c r="L10" s="2009"/>
      <c r="O10" s="2880" t="s">
        <v>2812</v>
      </c>
      <c r="P10" s="2881"/>
    </row>
    <row r="11" spans="1:16" s="326" customFormat="1" ht="12.75" customHeight="1">
      <c r="A11" s="545"/>
      <c r="H11" s="2009"/>
      <c r="J11" s="618" t="s">
        <v>2870</v>
      </c>
      <c r="K11" s="296"/>
      <c r="M11" s="2009"/>
      <c r="O11" s="2688" t="s">
        <v>1847</v>
      </c>
      <c r="P11" s="2690"/>
    </row>
    <row r="12" spans="1:16" s="326" customFormat="1" ht="1.5" customHeight="1">
      <c r="I12" s="299"/>
      <c r="J12" s="299"/>
      <c r="K12" s="299"/>
      <c r="L12" s="299"/>
      <c r="M12" s="299"/>
      <c r="N12" s="299"/>
      <c r="O12" s="299"/>
      <c r="P12" s="299"/>
    </row>
    <row r="13" spans="1:16" s="326" customFormat="1" ht="13.15" customHeight="1">
      <c r="A13" s="332" t="s">
        <v>779</v>
      </c>
      <c r="B13" s="328" t="s">
        <v>1538</v>
      </c>
      <c r="D13" s="331"/>
      <c r="E13" s="330"/>
      <c r="G13" s="334"/>
      <c r="H13" s="334"/>
      <c r="I13" s="334"/>
      <c r="K13" s="333"/>
      <c r="L13" s="333"/>
    </row>
    <row r="14" spans="1:16" s="326" customFormat="1" ht="1.5" customHeight="1">
      <c r="A14" s="332"/>
      <c r="B14" s="330"/>
      <c r="C14" s="328"/>
      <c r="D14" s="331"/>
      <c r="E14" s="330"/>
      <c r="G14" s="334"/>
      <c r="H14" s="334"/>
      <c r="I14" s="334"/>
      <c r="K14" s="333"/>
      <c r="L14" s="333"/>
      <c r="O14" s="1292"/>
    </row>
    <row r="15" spans="1:16" s="326" customFormat="1" ht="13.15" customHeight="1">
      <c r="B15" s="326" t="s">
        <v>2392</v>
      </c>
      <c r="F15" s="2882" t="s">
        <v>4635</v>
      </c>
      <c r="G15" s="2883"/>
      <c r="H15" s="2883"/>
      <c r="I15" s="2883"/>
      <c r="J15" s="2883"/>
      <c r="K15" s="2883"/>
      <c r="L15" s="2884"/>
      <c r="M15" s="2002" t="s">
        <v>2065</v>
      </c>
      <c r="N15" s="2882" t="s">
        <v>4636</v>
      </c>
      <c r="O15" s="2883"/>
      <c r="P15" s="2884"/>
    </row>
    <row r="16" spans="1:16" s="326" customFormat="1" ht="13.15" customHeight="1">
      <c r="B16" s="331" t="s">
        <v>2066</v>
      </c>
      <c r="F16" s="2882" t="s">
        <v>4637</v>
      </c>
      <c r="G16" s="2883"/>
      <c r="H16" s="2883"/>
      <c r="I16" s="2883"/>
      <c r="J16" s="2883"/>
      <c r="K16" s="2883"/>
      <c r="L16" s="2884"/>
      <c r="M16" s="2002" t="s">
        <v>1797</v>
      </c>
      <c r="O16" s="2885">
        <v>4049493873</v>
      </c>
      <c r="P16" s="2886"/>
    </row>
    <row r="17" spans="1:16" s="326" customFormat="1" ht="13.15" customHeight="1">
      <c r="B17" s="331" t="s">
        <v>648</v>
      </c>
      <c r="F17" s="2887" t="s">
        <v>1258</v>
      </c>
      <c r="G17" s="2888"/>
      <c r="H17" s="2889"/>
      <c r="M17" s="2002" t="s">
        <v>1878</v>
      </c>
      <c r="O17" s="2890">
        <v>4049493880</v>
      </c>
      <c r="P17" s="2891"/>
    </row>
    <row r="18" spans="1:16" s="326" customFormat="1" ht="13.15" customHeight="1">
      <c r="B18" s="331" t="s">
        <v>1875</v>
      </c>
      <c r="F18" s="2892" t="s">
        <v>887</v>
      </c>
      <c r="I18" s="2009" t="s">
        <v>2319</v>
      </c>
      <c r="J18" s="2893">
        <v>303272800</v>
      </c>
      <c r="K18" s="2894"/>
      <c r="M18" s="2002" t="s">
        <v>2064</v>
      </c>
      <c r="O18" s="2890">
        <v>7708619049</v>
      </c>
      <c r="P18" s="2891"/>
    </row>
    <row r="19" spans="1:16" s="326" customFormat="1" ht="13.15" customHeight="1">
      <c r="B19" s="331" t="s">
        <v>1796</v>
      </c>
      <c r="F19" s="2890">
        <v>4049493873</v>
      </c>
      <c r="G19" s="2895"/>
      <c r="H19" s="2891"/>
      <c r="I19" s="2003" t="s">
        <v>1795</v>
      </c>
      <c r="J19" s="2896"/>
      <c r="K19" s="2009" t="s">
        <v>2069</v>
      </c>
      <c r="L19" s="2882" t="s">
        <v>4638</v>
      </c>
      <c r="M19" s="2883"/>
      <c r="N19" s="2883"/>
      <c r="O19" s="2883"/>
      <c r="P19" s="2884"/>
    </row>
    <row r="20" spans="1:16" s="326" customFormat="1" ht="13.15" customHeight="1">
      <c r="A20" s="328"/>
      <c r="B20" s="319" t="s">
        <v>686</v>
      </c>
      <c r="D20" s="330"/>
      <c r="G20" s="330"/>
      <c r="H20" s="330"/>
      <c r="I20" s="334"/>
    </row>
    <row r="21" spans="1:16" s="326" customFormat="1" ht="4.5" customHeight="1">
      <c r="A21" s="545"/>
      <c r="B21" s="545"/>
      <c r="C21" s="335"/>
      <c r="D21" s="2012"/>
      <c r="E21" s="2012"/>
      <c r="F21" s="2012"/>
      <c r="H21" s="2009"/>
      <c r="I21" s="2012"/>
      <c r="J21" s="335"/>
      <c r="K21" s="2012"/>
      <c r="P21" s="336"/>
    </row>
    <row r="22" spans="1:16" s="326" customFormat="1" ht="13.15" customHeight="1">
      <c r="A22" s="332" t="s">
        <v>1868</v>
      </c>
      <c r="B22" s="328" t="s">
        <v>1539</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15" customHeight="1">
      <c r="A24" s="328"/>
      <c r="B24" s="326" t="s">
        <v>647</v>
      </c>
      <c r="D24" s="337"/>
      <c r="F24" s="2897" t="s">
        <v>4639</v>
      </c>
      <c r="G24" s="2898"/>
      <c r="H24" s="2898"/>
      <c r="I24" s="2898"/>
      <c r="J24" s="2898"/>
      <c r="K24" s="2899"/>
      <c r="L24" s="2002" t="s">
        <v>2281</v>
      </c>
      <c r="O24" s="2882" t="s">
        <v>3300</v>
      </c>
      <c r="P24" s="2884"/>
    </row>
    <row r="25" spans="1:16" s="326" customFormat="1" ht="13.15" customHeight="1">
      <c r="A25" s="338"/>
      <c r="B25" s="326" t="s">
        <v>2819</v>
      </c>
      <c r="D25" s="339"/>
      <c r="F25" s="2900" t="s">
        <v>4641</v>
      </c>
      <c r="G25" s="2901"/>
      <c r="H25" s="2901"/>
      <c r="I25" s="2901"/>
      <c r="J25" s="2901"/>
      <c r="K25" s="2902"/>
      <c r="L25" s="326" t="s">
        <v>4483</v>
      </c>
      <c r="O25" s="2900" t="s">
        <v>1013</v>
      </c>
      <c r="P25" s="2902"/>
    </row>
    <row r="26" spans="1:16" s="326" customFormat="1" ht="13.15" customHeight="1">
      <c r="A26" s="338"/>
      <c r="B26" s="326" t="s">
        <v>2873</v>
      </c>
      <c r="D26" s="339"/>
      <c r="F26" s="2900"/>
      <c r="G26" s="2901"/>
      <c r="H26" s="2901"/>
      <c r="I26" s="2901"/>
      <c r="J26" s="2901"/>
      <c r="K26" s="2902"/>
      <c r="L26" s="2002" t="s">
        <v>2138</v>
      </c>
      <c r="N26" s="2903" t="s">
        <v>3300</v>
      </c>
      <c r="O26" s="2009" t="s">
        <v>4482</v>
      </c>
      <c r="P26" s="2903" t="s">
        <v>1013</v>
      </c>
    </row>
    <row r="27" spans="1:16" s="326" customFormat="1" ht="13.15" customHeight="1">
      <c r="A27" s="338"/>
      <c r="B27" s="326" t="s">
        <v>3009</v>
      </c>
      <c r="D27" s="339"/>
      <c r="F27" s="2900" t="s">
        <v>4642</v>
      </c>
      <c r="G27" s="2901"/>
      <c r="H27" s="2901"/>
      <c r="I27" s="2901"/>
      <c r="J27" s="2901"/>
      <c r="K27" s="2902"/>
      <c r="L27" s="2002" t="s">
        <v>2374</v>
      </c>
      <c r="O27" s="2904">
        <v>3.089</v>
      </c>
      <c r="P27" s="2905"/>
    </row>
    <row r="28" spans="1:16" s="326" customFormat="1" ht="13.15" customHeight="1">
      <c r="A28" s="545"/>
      <c r="B28" s="326" t="s">
        <v>648</v>
      </c>
      <c r="F28" s="2882" t="s">
        <v>1258</v>
      </c>
      <c r="G28" s="2883"/>
      <c r="H28" s="2884"/>
      <c r="I28" s="343" t="s">
        <v>2820</v>
      </c>
      <c r="J28" s="2893">
        <v>303100000</v>
      </c>
      <c r="K28" s="2894"/>
      <c r="L28" s="402" t="str">
        <f>IF(AND(NOT(F24=""),NOT(F28="Select from list"),J28=""),"Enter Zip!","")</f>
        <v/>
      </c>
      <c r="M28" s="341" t="s">
        <v>3205</v>
      </c>
      <c r="O28" s="2906" t="s">
        <v>4640</v>
      </c>
      <c r="P28" s="2907"/>
    </row>
    <row r="29" spans="1:16" s="326" customFormat="1" ht="13.15" customHeight="1">
      <c r="A29" s="545"/>
      <c r="B29" s="2012" t="s">
        <v>4096</v>
      </c>
      <c r="D29" s="2012"/>
      <c r="F29" s="2900" t="s">
        <v>4706</v>
      </c>
      <c r="G29" s="2901"/>
      <c r="H29" s="2902"/>
      <c r="I29" s="340" t="s">
        <v>649</v>
      </c>
      <c r="J29" s="2908" t="str">
        <f>IF($F$28="","",VLOOKUP($F$28,'DCA Underwriting Assumptions'!$R$141:$S$771,2,FALSE))</f>
        <v>Fulton</v>
      </c>
      <c r="K29" s="2909"/>
      <c r="M29" s="2002" t="s">
        <v>471</v>
      </c>
      <c r="N29" s="2910" t="s">
        <v>3297</v>
      </c>
      <c r="O29" s="2009" t="s">
        <v>472</v>
      </c>
      <c r="P29" s="2910"/>
    </row>
    <row r="30" spans="1:16" s="326" customFormat="1" ht="13.15" customHeight="1">
      <c r="A30" s="545"/>
      <c r="B30" s="328"/>
      <c r="C30" s="326" t="s">
        <v>1625</v>
      </c>
      <c r="F30" s="2911" t="s">
        <v>3300</v>
      </c>
      <c r="G30" s="2213" t="s">
        <v>3010</v>
      </c>
      <c r="H30" s="2214"/>
      <c r="I30" s="648" t="str">
        <f>IF($J$29="","",IF(VLOOKUP($J$29,'DCA Underwriting Assumptions'!G141:M300,7,FALSE)="Rural","Yes",IF(VLOOKUP($J$29,'DCA Underwriting Assumptions'!G141:M300,7,FALSE)="Urban","No","")))</f>
        <v>No</v>
      </c>
      <c r="J30" s="2003" t="s">
        <v>3031</v>
      </c>
      <c r="K30" s="2003" t="str">
        <f>IF(OR(F30="Yes",I30="Yes"),"Rural","Urban")</f>
        <v>Urban</v>
      </c>
      <c r="M30" s="2002" t="s">
        <v>2711</v>
      </c>
      <c r="N30" s="469" t="str">
        <f>VLOOKUP($J$29,'DCA Underwriting Assumptions'!$G$141:$J$300,4)</f>
        <v>MSA</v>
      </c>
      <c r="O30" s="2912" t="s">
        <v>802</v>
      </c>
      <c r="P30" s="2913"/>
    </row>
    <row r="31" spans="1:16" s="326" customFormat="1" ht="3" customHeight="1">
      <c r="A31" s="545"/>
      <c r="B31" s="328"/>
      <c r="C31" s="328"/>
      <c r="I31" s="331"/>
      <c r="J31" s="2012"/>
      <c r="L31" s="2019"/>
      <c r="M31" s="2019"/>
      <c r="N31" s="2019"/>
      <c r="O31" s="2019"/>
      <c r="P31" s="2019"/>
    </row>
    <row r="32" spans="1:16" s="326" customFormat="1" ht="13.15" customHeight="1">
      <c r="A32" s="545"/>
      <c r="C32" s="326" t="s">
        <v>2883</v>
      </c>
      <c r="F32" s="2208" t="s">
        <v>2967</v>
      </c>
      <c r="G32" s="2208"/>
      <c r="H32" s="2207" t="s">
        <v>773</v>
      </c>
      <c r="I32" s="2207"/>
      <c r="J32" s="2207" t="s">
        <v>774</v>
      </c>
      <c r="K32" s="2207"/>
      <c r="L32" s="611" t="s">
        <v>2821</v>
      </c>
    </row>
    <row r="33" spans="1:17" s="326" customFormat="1" ht="13.15" customHeight="1">
      <c r="A33" s="545"/>
      <c r="B33" s="326" t="s">
        <v>2966</v>
      </c>
      <c r="D33" s="328"/>
      <c r="F33" s="2914">
        <v>5</v>
      </c>
      <c r="G33" s="2915"/>
      <c r="H33" s="2914">
        <v>36</v>
      </c>
      <c r="I33" s="2915"/>
      <c r="J33" s="2914">
        <v>58</v>
      </c>
      <c r="K33" s="2915"/>
      <c r="L33" s="607" t="s">
        <v>1337</v>
      </c>
      <c r="N33" s="2198" t="s">
        <v>1338</v>
      </c>
      <c r="O33" s="2198"/>
      <c r="P33" s="2198"/>
    </row>
    <row r="34" spans="1:17" s="326" customFormat="1" ht="12.75" customHeight="1">
      <c r="A34" s="545"/>
      <c r="B34" s="331" t="s">
        <v>775</v>
      </c>
      <c r="F34" s="2914"/>
      <c r="G34" s="2915"/>
      <c r="H34" s="2914"/>
      <c r="I34" s="2915"/>
      <c r="J34" s="2914"/>
      <c r="K34" s="2915"/>
      <c r="L34" s="607" t="s">
        <v>2965</v>
      </c>
      <c r="N34" s="2199" t="s">
        <v>2964</v>
      </c>
      <c r="O34" s="2199"/>
    </row>
    <row r="35" spans="1:17" s="326" customFormat="1" ht="3" customHeight="1">
      <c r="A35" s="545"/>
      <c r="I35" s="2019"/>
      <c r="J35" s="2019"/>
      <c r="K35" s="2019"/>
      <c r="L35" s="2012"/>
      <c r="M35" s="2012"/>
      <c r="N35" s="2012"/>
      <c r="O35" s="2012"/>
      <c r="P35" s="2012"/>
    </row>
    <row r="36" spans="1:17" s="326" customFormat="1" ht="13.15" customHeight="1">
      <c r="A36" s="545"/>
      <c r="B36" s="328" t="s">
        <v>667</v>
      </c>
      <c r="F36" s="2916" t="s">
        <v>4444</v>
      </c>
      <c r="G36" s="2917"/>
      <c r="H36" s="2917"/>
      <c r="I36" s="2917"/>
      <c r="J36" s="2918"/>
      <c r="K36" s="2919"/>
      <c r="L36" s="1288" t="s">
        <v>2832</v>
      </c>
      <c r="M36" s="2900" t="s">
        <v>4643</v>
      </c>
      <c r="N36" s="2901"/>
      <c r="O36" s="2901"/>
      <c r="P36" s="2902"/>
    </row>
    <row r="37" spans="1:17" s="326" customFormat="1" ht="13.15" customHeight="1">
      <c r="A37" s="545"/>
      <c r="B37" s="326" t="s">
        <v>668</v>
      </c>
      <c r="F37" s="2920" t="s">
        <v>4644</v>
      </c>
      <c r="G37" s="2921"/>
      <c r="H37" s="2922"/>
      <c r="I37" s="2004" t="s">
        <v>2065</v>
      </c>
      <c r="J37" s="2900" t="s">
        <v>4645</v>
      </c>
      <c r="K37" s="2902"/>
      <c r="L37" s="1288"/>
    </row>
    <row r="38" spans="1:17" s="326" customFormat="1" ht="13.15" customHeight="1">
      <c r="A38" s="545"/>
      <c r="B38" s="326" t="s">
        <v>2066</v>
      </c>
      <c r="F38" s="2920" t="s">
        <v>4646</v>
      </c>
      <c r="G38" s="2921"/>
      <c r="H38" s="2921"/>
      <c r="I38" s="2921"/>
      <c r="J38" s="2923"/>
      <c r="K38" s="2924"/>
      <c r="L38" s="362" t="s">
        <v>648</v>
      </c>
      <c r="M38" s="2920" t="s">
        <v>1258</v>
      </c>
      <c r="N38" s="2921"/>
      <c r="O38" s="2921"/>
      <c r="P38" s="2922"/>
    </row>
    <row r="39" spans="1:17" s="326" customFormat="1" ht="13.15" customHeight="1">
      <c r="A39" s="545"/>
      <c r="B39" s="2002" t="s">
        <v>2319</v>
      </c>
      <c r="F39" s="2925">
        <v>303030000</v>
      </c>
      <c r="G39" s="2926"/>
      <c r="H39" s="2003" t="s">
        <v>2067</v>
      </c>
      <c r="I39" s="2927">
        <v>4043306100</v>
      </c>
      <c r="J39" s="2928"/>
      <c r="K39" s="2929"/>
      <c r="L39" s="331" t="s">
        <v>1876</v>
      </c>
      <c r="M39" s="2920"/>
      <c r="N39" s="2921"/>
      <c r="O39" s="2921"/>
      <c r="P39" s="2922"/>
    </row>
    <row r="40" spans="1:17" s="326" customFormat="1" ht="4.5" customHeight="1">
      <c r="A40" s="545"/>
      <c r="B40" s="545"/>
      <c r="C40" s="342"/>
      <c r="D40" s="343"/>
      <c r="E40" s="343"/>
      <c r="F40" s="2009"/>
      <c r="G40" s="2009"/>
      <c r="H40" s="2009"/>
      <c r="I40" s="2009"/>
      <c r="J40" s="343"/>
      <c r="K40" s="2009"/>
      <c r="L40" s="2009"/>
      <c r="N40" s="2012"/>
      <c r="O40" s="2012"/>
      <c r="P40" s="336"/>
    </row>
    <row r="41" spans="1:17" s="326" customFormat="1" ht="12" customHeight="1">
      <c r="A41" s="332" t="s">
        <v>1870</v>
      </c>
      <c r="B41" s="328" t="s">
        <v>1540</v>
      </c>
      <c r="F41" s="344"/>
      <c r="I41" s="2002"/>
      <c r="J41" s="2012"/>
      <c r="K41" s="2012"/>
      <c r="L41" s="2012"/>
      <c r="M41" s="2012"/>
    </row>
    <row r="42" spans="1:17" s="326" customFormat="1" ht="1.5" customHeight="1">
      <c r="A42" s="545"/>
      <c r="B42" s="328"/>
      <c r="C42" s="328"/>
      <c r="I42" s="2002"/>
      <c r="J42" s="2012"/>
      <c r="K42" s="2012"/>
      <c r="L42" s="2012"/>
      <c r="M42" s="2012"/>
      <c r="N42" s="2012"/>
      <c r="O42" s="2012"/>
      <c r="P42" s="2012"/>
      <c r="Q42" s="2012"/>
    </row>
    <row r="43" spans="1:17" s="326" customFormat="1" ht="12.75">
      <c r="A43" s="545"/>
      <c r="B43" s="545" t="s">
        <v>2068</v>
      </c>
      <c r="C43" s="328" t="s">
        <v>754</v>
      </c>
      <c r="I43" s="2012"/>
      <c r="J43" s="2012"/>
      <c r="K43" s="608"/>
      <c r="L43" s="2012"/>
      <c r="M43" s="610"/>
      <c r="N43" s="610"/>
      <c r="O43" s="610"/>
      <c r="P43" s="610"/>
      <c r="Q43" s="2009"/>
    </row>
    <row r="44" spans="1:17" ht="13.15" customHeight="1">
      <c r="B44" s="545"/>
      <c r="C44" s="326" t="s">
        <v>2386</v>
      </c>
      <c r="D44" s="326"/>
      <c r="E44" s="326"/>
      <c r="H44" s="346">
        <f>'Part VI-Revenues &amp; Expenses'!$O$74</f>
        <v>162</v>
      </c>
      <c r="K44" s="331" t="s">
        <v>4464</v>
      </c>
      <c r="L44" s="326"/>
      <c r="M44" s="1474" t="s">
        <v>4463</v>
      </c>
      <c r="N44" s="346">
        <f>'Part VI-Revenues &amp; Expenses'!$O$81</f>
        <v>0</v>
      </c>
      <c r="O44" s="1475" t="s">
        <v>3688</v>
      </c>
      <c r="P44" s="346">
        <f>'Part VI-Revenues &amp; Expenses'!$O$82</f>
        <v>0</v>
      </c>
      <c r="Q44" s="2009"/>
    </row>
    <row r="45" spans="1:17" s="326" customFormat="1" ht="12.75">
      <c r="A45" s="545"/>
      <c r="B45" s="545"/>
      <c r="C45" s="347" t="s">
        <v>361</v>
      </c>
      <c r="H45" s="346">
        <f>'Part VI-Revenues &amp; Expenses'!$O$80</f>
        <v>0</v>
      </c>
      <c r="K45" s="347" t="s">
        <v>381</v>
      </c>
      <c r="P45" s="346">
        <f>'Part VI-Revenues &amp; Expenses'!$O$84</f>
        <v>0</v>
      </c>
    </row>
    <row r="46" spans="1:17" s="326" customFormat="1" ht="13.15" customHeight="1">
      <c r="B46" s="545"/>
      <c r="C46" s="331" t="s">
        <v>360</v>
      </c>
      <c r="D46" s="2012"/>
      <c r="H46" s="346">
        <f>'Part VI-Revenues &amp; Expenses'!$O$77</f>
        <v>0</v>
      </c>
      <c r="I46" s="547" t="s">
        <v>3211</v>
      </c>
      <c r="K46" s="326" t="s">
        <v>362</v>
      </c>
      <c r="P46" s="2930" t="s">
        <v>1013</v>
      </c>
      <c r="Q46" s="2009"/>
    </row>
    <row r="47" spans="1:17" s="326" customFormat="1" ht="3.6" customHeight="1">
      <c r="A47" s="545"/>
      <c r="P47" s="2012"/>
    </row>
    <row r="48" spans="1:17" s="326" customFormat="1" ht="12.75">
      <c r="A48" s="545"/>
      <c r="B48" s="545" t="s">
        <v>2071</v>
      </c>
      <c r="C48" s="328" t="s">
        <v>2387</v>
      </c>
      <c r="H48" s="2896" t="s">
        <v>3300</v>
      </c>
      <c r="K48" s="2012"/>
      <c r="L48" s="2012"/>
      <c r="M48" s="2012"/>
      <c r="N48" s="2012"/>
      <c r="O48" s="610"/>
      <c r="P48" s="608"/>
      <c r="Q48" s="2012"/>
    </row>
    <row r="49" spans="1:19" s="326" customFormat="1" ht="3" customHeight="1">
      <c r="A49" s="545"/>
      <c r="I49" s="2012"/>
      <c r="J49" s="608"/>
      <c r="K49" s="609"/>
      <c r="L49" s="608"/>
      <c r="M49" s="609"/>
      <c r="N49" s="609"/>
      <c r="O49" s="609"/>
      <c r="P49" s="609"/>
      <c r="Q49" s="2012"/>
    </row>
    <row r="50" spans="1:19" s="326" customFormat="1" ht="13.15" customHeight="1">
      <c r="A50" s="545"/>
      <c r="B50" s="338" t="s">
        <v>786</v>
      </c>
      <c r="C50" s="337" t="s">
        <v>2367</v>
      </c>
      <c r="D50" s="2012"/>
      <c r="I50" s="2017" t="s">
        <v>4090</v>
      </c>
      <c r="J50" s="338" t="s">
        <v>2203</v>
      </c>
      <c r="K50" s="348" t="s">
        <v>2393</v>
      </c>
      <c r="M50" s="2012"/>
      <c r="N50" s="2012"/>
      <c r="O50" s="2012"/>
      <c r="P50" s="2009"/>
      <c r="Q50" s="2009"/>
      <c r="R50" s="2009"/>
      <c r="S50" s="2012"/>
    </row>
    <row r="51" spans="1:19" s="326" customFormat="1" ht="13.15" customHeight="1">
      <c r="A51" s="545"/>
      <c r="B51" s="2001"/>
      <c r="C51" s="335" t="s">
        <v>2368</v>
      </c>
      <c r="D51" s="2012"/>
      <c r="E51" s="2012"/>
      <c r="H51" s="945">
        <f>SUM(H52:H53)</f>
        <v>162</v>
      </c>
      <c r="I51" s="945">
        <f>SUM(I52:I53)</f>
        <v>162</v>
      </c>
      <c r="J51" s="545"/>
      <c r="K51" s="335" t="s">
        <v>3001</v>
      </c>
      <c r="M51" s="2012"/>
      <c r="N51" s="2012"/>
      <c r="O51" s="2012"/>
      <c r="P51" s="1203">
        <f>'Part VI-Revenues &amp; Expenses'!$O$115</f>
        <v>134359</v>
      </c>
    </row>
    <row r="52" spans="1:19" s="326" customFormat="1" ht="13.15" customHeight="1">
      <c r="A52" s="545"/>
      <c r="B52" s="345"/>
      <c r="D52" s="350" t="s">
        <v>400</v>
      </c>
      <c r="E52" s="2012"/>
      <c r="H52" s="1203">
        <f>'Part VI-Revenues &amp; Expenses'!$O$57</f>
        <v>33</v>
      </c>
      <c r="I52" s="1203">
        <f>'Part VI-Revenues &amp; Expenses'!$O$65</f>
        <v>33</v>
      </c>
      <c r="K52" s="335" t="s">
        <v>3002</v>
      </c>
      <c r="M52" s="2012"/>
      <c r="N52" s="2012"/>
      <c r="O52" s="2012"/>
      <c r="P52" s="1203">
        <f>'Part VI-Revenues &amp; Expenses'!$O$116</f>
        <v>0</v>
      </c>
    </row>
    <row r="53" spans="1:19" s="326" customFormat="1" ht="13.15" customHeight="1">
      <c r="A53" s="545"/>
      <c r="D53" s="350" t="s">
        <v>1899</v>
      </c>
      <c r="E53" s="350"/>
      <c r="H53" s="1204">
        <f>'Part VI-Revenues &amp; Expenses'!$O$56</f>
        <v>129</v>
      </c>
      <c r="I53" s="1204">
        <f>'Part VI-Revenues &amp; Expenses'!$O$64</f>
        <v>129</v>
      </c>
      <c r="K53" s="335" t="s">
        <v>3003</v>
      </c>
      <c r="M53" s="2012"/>
      <c r="N53" s="2012"/>
      <c r="O53" s="2012"/>
      <c r="P53" s="349">
        <f>P51+P52</f>
        <v>134359</v>
      </c>
    </row>
    <row r="54" spans="1:19" s="326" customFormat="1" ht="13.15" customHeight="1">
      <c r="A54" s="545"/>
      <c r="C54" s="335" t="s">
        <v>265</v>
      </c>
      <c r="D54" s="2012"/>
      <c r="E54" s="2012"/>
      <c r="H54" s="349">
        <f>'Part VI-Revenues &amp; Expenses'!$O$59</f>
        <v>0</v>
      </c>
      <c r="J54" s="545"/>
      <c r="K54" s="335" t="s">
        <v>3004</v>
      </c>
      <c r="M54" s="2012"/>
      <c r="N54" s="2012"/>
      <c r="O54" s="2012"/>
      <c r="P54" s="349">
        <f>'Part VI-Revenues &amp; Expenses'!$O$118</f>
        <v>0</v>
      </c>
    </row>
    <row r="55" spans="1:19" s="326" customFormat="1" ht="13.15" customHeight="1">
      <c r="A55" s="545"/>
      <c r="C55" s="335" t="s">
        <v>2503</v>
      </c>
      <c r="D55" s="2012"/>
      <c r="E55" s="2012"/>
      <c r="H55" s="349">
        <f>H51+H54</f>
        <v>162</v>
      </c>
      <c r="J55" s="545"/>
      <c r="K55" s="335" t="s">
        <v>1481</v>
      </c>
      <c r="M55" s="2012"/>
      <c r="N55" s="2012"/>
      <c r="O55" s="2012"/>
      <c r="P55" s="349">
        <f>+P53+P54</f>
        <v>134359</v>
      </c>
    </row>
    <row r="56" spans="1:19" s="326" customFormat="1" ht="13.15" customHeight="1">
      <c r="A56" s="545"/>
      <c r="C56" s="335" t="s">
        <v>2504</v>
      </c>
      <c r="D56" s="2012"/>
      <c r="E56" s="2012"/>
      <c r="H56" s="349">
        <f>'Part VI-Revenues &amp; Expenses'!$O$61</f>
        <v>0</v>
      </c>
      <c r="J56" s="545"/>
    </row>
    <row r="57" spans="1:19" s="326" customFormat="1" ht="13.15" customHeight="1">
      <c r="A57" s="545"/>
      <c r="C57" s="335" t="s">
        <v>1869</v>
      </c>
      <c r="D57" s="2012"/>
      <c r="E57" s="2012"/>
      <c r="H57" s="349">
        <f>+H55+H56</f>
        <v>162</v>
      </c>
      <c r="J57" s="2012"/>
    </row>
    <row r="58" spans="1:19" s="326" customFormat="1" ht="3" customHeight="1">
      <c r="A58" s="545"/>
      <c r="I58" s="2009"/>
      <c r="L58" s="2009"/>
      <c r="M58" s="2009"/>
      <c r="N58" s="2012"/>
      <c r="P58" s="336"/>
    </row>
    <row r="59" spans="1:19" s="326" customFormat="1" ht="13.15" customHeight="1">
      <c r="A59" s="545"/>
      <c r="B59" s="545" t="s">
        <v>1811</v>
      </c>
      <c r="C59" s="337" t="s">
        <v>2388</v>
      </c>
      <c r="D59" s="350" t="s">
        <v>2082</v>
      </c>
      <c r="G59" s="2012"/>
      <c r="H59" s="2931">
        <v>1</v>
      </c>
      <c r="K59" s="335" t="s">
        <v>1172</v>
      </c>
      <c r="O59" s="2012"/>
      <c r="P59" s="2931"/>
    </row>
    <row r="60" spans="1:19" s="326" customFormat="1" ht="13.15" customHeight="1">
      <c r="A60" s="545"/>
      <c r="B60" s="545"/>
      <c r="D60" s="2001" t="s">
        <v>2083</v>
      </c>
      <c r="H60" s="2931">
        <v>0</v>
      </c>
      <c r="I60" s="2012"/>
      <c r="K60" s="335" t="s">
        <v>264</v>
      </c>
      <c r="O60" s="2012"/>
      <c r="P60" s="349">
        <f>+P55+P59</f>
        <v>134359</v>
      </c>
    </row>
    <row r="61" spans="1:19" s="326" customFormat="1" ht="13.15" customHeight="1">
      <c r="A61" s="545"/>
      <c r="B61" s="545"/>
      <c r="D61" s="2001" t="s">
        <v>2084</v>
      </c>
      <c r="H61" s="349">
        <f>+H59+H60</f>
        <v>1</v>
      </c>
      <c r="I61" s="2012"/>
    </row>
    <row r="62" spans="1:19" s="326" customFormat="1" ht="3" customHeight="1">
      <c r="A62" s="545"/>
      <c r="B62" s="545"/>
      <c r="C62" s="2012"/>
      <c r="D62" s="2012"/>
      <c r="E62" s="2012"/>
      <c r="F62" s="2012"/>
      <c r="G62" s="2009"/>
      <c r="I62" s="335"/>
      <c r="J62" s="2012"/>
      <c r="P62" s="336"/>
    </row>
    <row r="63" spans="1:19" s="326" customFormat="1" ht="13.15" customHeight="1">
      <c r="A63" s="545"/>
      <c r="B63" s="545" t="s">
        <v>1812</v>
      </c>
      <c r="C63" s="337" t="s">
        <v>3091</v>
      </c>
      <c r="D63" s="2012"/>
      <c r="E63" s="2012"/>
      <c r="F63" s="2012"/>
      <c r="G63" s="2012"/>
      <c r="H63" s="2931"/>
      <c r="K63" s="326" t="s">
        <v>3094</v>
      </c>
    </row>
    <row r="64" spans="1:19" s="326" customFormat="1" ht="6.75" customHeight="1">
      <c r="A64" s="545"/>
      <c r="B64" s="545"/>
      <c r="C64" s="335"/>
      <c r="D64" s="2012"/>
      <c r="E64" s="2012"/>
      <c r="F64" s="2012"/>
      <c r="G64" s="2009"/>
      <c r="H64" s="2012"/>
      <c r="I64" s="335"/>
      <c r="J64" s="335"/>
      <c r="K64" s="2012"/>
      <c r="P64" s="336"/>
    </row>
    <row r="65" spans="1:16" s="326" customFormat="1" ht="13.15" customHeight="1">
      <c r="A65" s="545" t="s">
        <v>555</v>
      </c>
      <c r="B65" s="351" t="s">
        <v>1241</v>
      </c>
      <c r="D65" s="351"/>
      <c r="E65" s="351"/>
      <c r="F65" s="2012"/>
      <c r="G65" s="2009"/>
      <c r="H65" s="646"/>
      <c r="K65" s="2012"/>
    </row>
    <row r="66" spans="1:16" s="326" customFormat="1" ht="3" customHeight="1">
      <c r="A66" s="545"/>
      <c r="C66" s="2007"/>
      <c r="D66" s="2007"/>
      <c r="E66" s="2007"/>
      <c r="F66" s="2012"/>
      <c r="G66" s="2009"/>
      <c r="K66" s="2012"/>
      <c r="P66" s="336"/>
    </row>
    <row r="67" spans="1:16" s="326" customFormat="1" ht="13.15" customHeight="1">
      <c r="A67" s="545"/>
      <c r="B67" s="545" t="s">
        <v>2068</v>
      </c>
      <c r="C67" s="296" t="s">
        <v>2810</v>
      </c>
      <c r="D67" s="2007"/>
      <c r="E67" s="2007"/>
      <c r="F67" s="2012"/>
      <c r="G67" s="2009"/>
      <c r="H67" s="2932" t="s">
        <v>3214</v>
      </c>
      <c r="I67" s="2933"/>
      <c r="K67" s="2196" t="s">
        <v>1848</v>
      </c>
      <c r="L67" s="2196"/>
      <c r="N67" s="2882" t="s">
        <v>1013</v>
      </c>
      <c r="O67" s="2883"/>
      <c r="P67" s="2884"/>
    </row>
    <row r="68" spans="1:16" s="326" customFormat="1" ht="3" customHeight="1">
      <c r="A68" s="545"/>
      <c r="B68" s="545"/>
      <c r="D68" s="2001"/>
      <c r="E68" s="2001"/>
      <c r="F68" s="2001"/>
      <c r="G68" s="2001"/>
      <c r="I68" s="2009"/>
      <c r="K68" s="2002"/>
      <c r="L68" s="2002"/>
      <c r="M68" s="2009"/>
      <c r="N68" s="2012"/>
      <c r="P68" s="336"/>
    </row>
    <row r="69" spans="1:16" s="326" customFormat="1" ht="13.15" customHeight="1">
      <c r="A69" s="545"/>
      <c r="B69" s="545"/>
      <c r="E69" s="2007"/>
      <c r="K69" s="2197" t="s">
        <v>3647</v>
      </c>
      <c r="L69" s="2197"/>
      <c r="M69" s="352" t="s">
        <v>3212</v>
      </c>
      <c r="N69" s="2931" t="s">
        <v>1013</v>
      </c>
      <c r="O69" s="352" t="s">
        <v>3213</v>
      </c>
      <c r="P69" s="2931" t="s">
        <v>1013</v>
      </c>
    </row>
    <row r="70" spans="1:16" s="326" customFormat="1" ht="3" customHeight="1">
      <c r="A70" s="545"/>
      <c r="B70" s="545"/>
      <c r="D70" s="2001"/>
      <c r="E70" s="2001"/>
      <c r="F70" s="2001"/>
      <c r="G70" s="2001"/>
      <c r="K70" s="2197"/>
      <c r="L70" s="2197"/>
      <c r="M70" s="2009"/>
      <c r="N70" s="2012"/>
      <c r="P70" s="336"/>
    </row>
    <row r="71" spans="1:16" s="326" customFormat="1" ht="13.15" customHeight="1">
      <c r="A71" s="545"/>
      <c r="B71" s="545"/>
      <c r="D71" s="2002"/>
      <c r="E71" s="2007"/>
      <c r="K71" s="2197"/>
      <c r="L71" s="2197"/>
      <c r="M71" s="339" t="s">
        <v>3214</v>
      </c>
      <c r="N71" s="2931" t="s">
        <v>1013</v>
      </c>
      <c r="O71" s="339" t="s">
        <v>1669</v>
      </c>
      <c r="P71" s="2931" t="s">
        <v>1013</v>
      </c>
    </row>
    <row r="72" spans="1:16" s="326" customFormat="1" ht="3" customHeight="1">
      <c r="A72" s="545"/>
      <c r="B72" s="545"/>
      <c r="D72" s="2001"/>
      <c r="E72" s="2001"/>
      <c r="F72" s="2001"/>
      <c r="G72" s="2001"/>
      <c r="I72" s="2009"/>
      <c r="K72" s="2002"/>
      <c r="L72" s="2002"/>
      <c r="M72" s="2009"/>
      <c r="N72" s="2012"/>
      <c r="P72" s="336"/>
    </row>
    <row r="73" spans="1:16" s="326" customFormat="1" ht="13.15" customHeight="1">
      <c r="A73" s="545"/>
      <c r="B73" s="545" t="s">
        <v>2071</v>
      </c>
      <c r="C73" s="337" t="s">
        <v>1472</v>
      </c>
      <c r="D73" s="2012"/>
      <c r="E73" s="350"/>
      <c r="F73" s="2001" t="s">
        <v>835</v>
      </c>
      <c r="H73" s="2931">
        <v>9</v>
      </c>
      <c r="K73" s="2196" t="s">
        <v>545</v>
      </c>
      <c r="L73" s="2196"/>
      <c r="N73" s="353">
        <f>IF('Part VI-Revenues &amp; Expenses'!$O$62=0,0,H73/'Part VI-Revenues &amp; Expenses'!$O$62)</f>
        <v>5.5555555555555552E-2</v>
      </c>
      <c r="O73" s="339" t="s">
        <v>4523</v>
      </c>
      <c r="P73" s="1504">
        <f>'DCA Underwriting Assumptions'!$Q$124</f>
        <v>0.05</v>
      </c>
    </row>
    <row r="74" spans="1:16" s="326" customFormat="1" ht="12.75" customHeight="1">
      <c r="A74" s="545"/>
      <c r="B74" s="545"/>
      <c r="D74" s="2001" t="s">
        <v>3089</v>
      </c>
      <c r="E74" s="2001"/>
      <c r="F74" s="2001" t="s">
        <v>835</v>
      </c>
      <c r="H74" s="2931">
        <v>5</v>
      </c>
      <c r="K74" s="2012" t="s">
        <v>3090</v>
      </c>
      <c r="L74" s="2012"/>
      <c r="N74" s="353">
        <f>IF(H73=0,0,H74/H73)</f>
        <v>0.55555555555555558</v>
      </c>
      <c r="O74" s="339" t="s">
        <v>4523</v>
      </c>
      <c r="P74" s="1504">
        <f>'DCA Underwriting Assumptions'!$Q$125</f>
        <v>0.4</v>
      </c>
    </row>
    <row r="75" spans="1:16" s="326" customFormat="1" ht="3" customHeight="1">
      <c r="A75" s="545"/>
      <c r="B75" s="545"/>
      <c r="D75" s="2001"/>
      <c r="E75" s="2001"/>
      <c r="F75" s="2001"/>
      <c r="I75" s="2009"/>
      <c r="K75" s="2002"/>
      <c r="L75" s="2002"/>
      <c r="M75" s="2009"/>
      <c r="N75" s="2009"/>
      <c r="P75" s="2003"/>
    </row>
    <row r="76" spans="1:16" s="326" customFormat="1" ht="13.15" customHeight="1">
      <c r="A76" s="545"/>
      <c r="B76" s="545" t="s">
        <v>786</v>
      </c>
      <c r="C76" s="337" t="s">
        <v>1923</v>
      </c>
      <c r="D76" s="350"/>
      <c r="E76" s="350"/>
      <c r="F76" s="2001" t="s">
        <v>835</v>
      </c>
      <c r="H76" s="2931">
        <v>4</v>
      </c>
      <c r="K76" s="2196" t="s">
        <v>545</v>
      </c>
      <c r="L76" s="2196"/>
      <c r="N76" s="353">
        <f>IF('Part VI-Revenues &amp; Expenses'!$O$62=0,0,H76/'Part VI-Revenues &amp; Expenses'!$O$62)</f>
        <v>2.4691358024691357E-2</v>
      </c>
      <c r="O76" s="339" t="s">
        <v>4523</v>
      </c>
      <c r="P76" s="1504">
        <f>'DCA Underwriting Assumptions'!$Q$126</f>
        <v>0.02</v>
      </c>
    </row>
    <row r="77" spans="1:16" s="326" customFormat="1" ht="6.75" customHeight="1">
      <c r="A77" s="545"/>
      <c r="B77" s="545"/>
      <c r="D77" s="2001"/>
      <c r="E77" s="2001"/>
      <c r="F77" s="2001"/>
      <c r="G77" s="2001"/>
      <c r="I77" s="2009"/>
      <c r="J77" s="2009"/>
      <c r="K77" s="2009"/>
      <c r="L77" s="2009"/>
      <c r="M77" s="2009"/>
      <c r="N77" s="2012"/>
      <c r="P77" s="336"/>
    </row>
    <row r="78" spans="1:16" s="326" customFormat="1" ht="13.15" customHeight="1">
      <c r="A78" s="354" t="s">
        <v>810</v>
      </c>
      <c r="B78" s="2007" t="s">
        <v>2473</v>
      </c>
      <c r="D78" s="2001"/>
      <c r="E78" s="2001"/>
      <c r="F78" s="2001"/>
      <c r="G78" s="2001"/>
      <c r="H78" s="2001"/>
      <c r="I78" s="2009"/>
      <c r="M78" s="2009"/>
      <c r="N78" s="2012"/>
      <c r="P78" s="336"/>
    </row>
    <row r="79" spans="1:16" s="326" customFormat="1" ht="3" customHeight="1">
      <c r="A79" s="545"/>
      <c r="B79" s="545"/>
      <c r="C79" s="2007"/>
      <c r="D79" s="2001"/>
      <c r="E79" s="2001"/>
      <c r="F79" s="2001"/>
      <c r="L79" s="2009"/>
      <c r="M79" s="2009"/>
      <c r="N79" s="2012"/>
      <c r="P79" s="336"/>
    </row>
    <row r="80" spans="1:16" s="326" customFormat="1" ht="13.15" customHeight="1">
      <c r="A80" s="545"/>
      <c r="B80" s="545" t="s">
        <v>2068</v>
      </c>
      <c r="C80" s="296" t="s">
        <v>2472</v>
      </c>
      <c r="D80" s="2001"/>
      <c r="E80" s="2001"/>
      <c r="F80" s="2001"/>
      <c r="H80" s="2934" t="s">
        <v>909</v>
      </c>
      <c r="I80" s="2935"/>
      <c r="J80" s="2936"/>
      <c r="M80" s="2009"/>
      <c r="N80" s="2009"/>
      <c r="P80" s="336"/>
    </row>
    <row r="81" spans="1:16" s="326" customFormat="1" ht="3" customHeight="1">
      <c r="A81" s="545"/>
      <c r="B81" s="545"/>
      <c r="D81" s="2001"/>
      <c r="E81" s="2001"/>
      <c r="F81" s="2001"/>
      <c r="G81" s="2001"/>
      <c r="I81" s="2009"/>
      <c r="J81" s="2009"/>
      <c r="K81" s="2009"/>
      <c r="L81" s="2009"/>
      <c r="M81" s="2009"/>
      <c r="N81" s="2012"/>
      <c r="P81" s="336"/>
    </row>
    <row r="82" spans="1:16" s="326" customFormat="1" ht="13.15" customHeight="1">
      <c r="B82" s="545" t="s">
        <v>2071</v>
      </c>
      <c r="C82" s="328" t="s">
        <v>1600</v>
      </c>
      <c r="K82" s="331" t="s">
        <v>908</v>
      </c>
      <c r="N82" s="355"/>
      <c r="P82" s="2896" t="s">
        <v>3297</v>
      </c>
    </row>
    <row r="83" spans="1:16" s="326" customFormat="1" ht="6.75" customHeight="1">
      <c r="A83" s="545"/>
      <c r="B83" s="545"/>
      <c r="C83" s="328"/>
      <c r="D83" s="2001"/>
      <c r="E83" s="2001"/>
      <c r="F83" s="2001"/>
      <c r="G83" s="2001"/>
      <c r="I83" s="2009"/>
      <c r="J83" s="2009"/>
      <c r="K83" s="2009"/>
      <c r="L83" s="2009"/>
      <c r="M83" s="2009"/>
      <c r="N83" s="2012"/>
      <c r="P83" s="336"/>
    </row>
    <row r="84" spans="1:16" s="326" customFormat="1" ht="13.15" customHeight="1">
      <c r="A84" s="354" t="s">
        <v>306</v>
      </c>
      <c r="B84" s="2007" t="s">
        <v>2129</v>
      </c>
      <c r="D84" s="2001"/>
    </row>
    <row r="85" spans="1:16" s="326" customFormat="1" ht="3" customHeight="1">
      <c r="A85" s="545"/>
      <c r="B85" s="545"/>
      <c r="D85" s="2001"/>
      <c r="N85" s="2012"/>
      <c r="P85" s="336"/>
    </row>
    <row r="86" spans="1:16" s="326" customFormat="1" ht="13.15" customHeight="1">
      <c r="A86" s="354"/>
      <c r="B86" s="545" t="s">
        <v>2068</v>
      </c>
      <c r="C86" s="328" t="s">
        <v>2837</v>
      </c>
      <c r="F86" s="350" t="s">
        <v>2700</v>
      </c>
      <c r="H86" s="2896" t="s">
        <v>3300</v>
      </c>
      <c r="K86" s="350" t="s">
        <v>3803</v>
      </c>
      <c r="M86" s="2896" t="s">
        <v>3297</v>
      </c>
    </row>
    <row r="87" spans="1:16" s="326" customFormat="1" ht="3" customHeight="1">
      <c r="A87" s="545"/>
      <c r="B87" s="545"/>
      <c r="C87" s="2007"/>
      <c r="F87" s="2001"/>
      <c r="H87" s="2001"/>
      <c r="J87" s="2009"/>
      <c r="K87" s="2009"/>
      <c r="L87" s="2009"/>
      <c r="M87" s="2009"/>
      <c r="N87" s="2009"/>
      <c r="P87" s="336"/>
    </row>
    <row r="88" spans="1:16" s="326" customFormat="1" ht="13.15" customHeight="1">
      <c r="A88" s="354"/>
      <c r="B88" s="545" t="s">
        <v>2071</v>
      </c>
      <c r="C88" s="328" t="s">
        <v>2838</v>
      </c>
      <c r="F88" s="2002" t="s">
        <v>2786</v>
      </c>
      <c r="H88" s="2896" t="s">
        <v>3300</v>
      </c>
      <c r="J88" s="2009"/>
      <c r="K88" s="540" t="s">
        <v>2839</v>
      </c>
      <c r="L88" s="2009"/>
      <c r="M88" s="2009"/>
      <c r="N88" s="2009"/>
      <c r="O88" s="2009"/>
    </row>
    <row r="89" spans="1:16" s="326" customFormat="1" ht="6.75" customHeight="1">
      <c r="A89" s="545"/>
      <c r="B89" s="545"/>
      <c r="C89" s="328"/>
      <c r="D89" s="2001"/>
      <c r="E89" s="2001"/>
      <c r="F89" s="2001"/>
      <c r="G89" s="2001"/>
      <c r="I89" s="2009"/>
      <c r="J89" s="2009"/>
      <c r="K89" s="2009"/>
      <c r="L89" s="2009"/>
      <c r="M89" s="2009"/>
      <c r="N89" s="2012"/>
      <c r="P89" s="336"/>
    </row>
    <row r="90" spans="1:16" s="326" customFormat="1" ht="13.15" customHeight="1">
      <c r="A90" s="354" t="s">
        <v>441</v>
      </c>
      <c r="B90" s="2007" t="s">
        <v>3012</v>
      </c>
      <c r="D90" s="2001"/>
      <c r="H90" s="2900" t="s">
        <v>4465</v>
      </c>
      <c r="I90" s="2902"/>
      <c r="J90" s="2009"/>
    </row>
    <row r="91" spans="1:16" s="326" customFormat="1" ht="6.75" customHeight="1">
      <c r="A91" s="545"/>
      <c r="D91" s="343"/>
      <c r="E91" s="2012"/>
      <c r="I91" s="343"/>
      <c r="J91" s="335"/>
      <c r="K91" s="2012"/>
      <c r="P91" s="336"/>
    </row>
    <row r="92" spans="1:16" s="326" customFormat="1" ht="13.15" customHeight="1">
      <c r="A92" s="354" t="s">
        <v>377</v>
      </c>
      <c r="B92" s="348" t="s">
        <v>1239</v>
      </c>
      <c r="D92" s="2012"/>
      <c r="E92" s="2012"/>
      <c r="F92" s="2012"/>
      <c r="G92" s="2012"/>
      <c r="H92" s="2012"/>
      <c r="I92" s="343"/>
      <c r="J92" s="335"/>
      <c r="K92" s="2012"/>
      <c r="P92" s="336"/>
    </row>
    <row r="93" spans="1:16" s="326" customFormat="1" ht="3" customHeight="1">
      <c r="A93" s="354"/>
      <c r="B93" s="545"/>
      <c r="C93" s="348"/>
      <c r="D93" s="2012"/>
      <c r="E93" s="2012"/>
      <c r="F93" s="2012"/>
      <c r="G93" s="2012"/>
      <c r="H93" s="2012"/>
      <c r="I93" s="343"/>
      <c r="J93" s="335"/>
      <c r="K93" s="2012"/>
    </row>
    <row r="94" spans="1:16" s="326" customFormat="1" ht="13.15" customHeight="1">
      <c r="A94" s="545"/>
      <c r="B94" s="545"/>
      <c r="C94" s="335" t="s">
        <v>577</v>
      </c>
      <c r="D94" s="2012"/>
      <c r="E94" s="2882" t="s">
        <v>1475</v>
      </c>
      <c r="F94" s="2883"/>
      <c r="G94" s="2883"/>
      <c r="H94" s="2883"/>
      <c r="I94" s="2883"/>
      <c r="J94" s="2883"/>
      <c r="K94" s="2883"/>
      <c r="L94" s="2884"/>
      <c r="M94" s="2219" t="s">
        <v>578</v>
      </c>
      <c r="N94" s="2219"/>
      <c r="O94" s="2937">
        <v>42481</v>
      </c>
      <c r="P94" s="2938"/>
    </row>
    <row r="95" spans="1:16" s="326" customFormat="1" ht="13.15" customHeight="1">
      <c r="C95" s="331" t="s">
        <v>1065</v>
      </c>
      <c r="D95" s="339"/>
      <c r="E95" s="2882" t="s">
        <v>4647</v>
      </c>
      <c r="F95" s="2883"/>
      <c r="G95" s="2883"/>
      <c r="H95" s="2883"/>
      <c r="I95" s="2883"/>
      <c r="J95" s="2883"/>
      <c r="K95" s="2883"/>
      <c r="L95" s="2884"/>
      <c r="M95" s="2219" t="s">
        <v>847</v>
      </c>
      <c r="N95" s="2219"/>
      <c r="O95" s="2939">
        <v>2016</v>
      </c>
      <c r="P95" s="2940"/>
    </row>
    <row r="96" spans="1:16" s="326" customFormat="1" ht="13.15" customHeight="1">
      <c r="C96" s="331" t="s">
        <v>648</v>
      </c>
      <c r="E96" s="2882" t="s">
        <v>1258</v>
      </c>
      <c r="F96" s="2941"/>
      <c r="G96" s="2942"/>
      <c r="H96" s="2003" t="s">
        <v>1875</v>
      </c>
      <c r="I96" s="2896" t="s">
        <v>887</v>
      </c>
      <c r="J96" s="356" t="s">
        <v>2319</v>
      </c>
      <c r="K96" s="2893">
        <v>303030000</v>
      </c>
      <c r="L96" s="2942"/>
      <c r="M96" s="299" t="s">
        <v>4451</v>
      </c>
      <c r="N96" s="299"/>
      <c r="O96" s="2943">
        <v>13175000</v>
      </c>
      <c r="P96" s="2944"/>
    </row>
    <row r="97" spans="1:16" s="326" customFormat="1" ht="13.15" customHeight="1">
      <c r="C97" s="326" t="s">
        <v>2283</v>
      </c>
      <c r="E97" s="2882" t="s">
        <v>4648</v>
      </c>
      <c r="F97" s="2941"/>
      <c r="G97" s="2942"/>
      <c r="H97" s="2009" t="s">
        <v>2065</v>
      </c>
      <c r="I97" s="2882" t="s">
        <v>4649</v>
      </c>
      <c r="J97" s="2941"/>
      <c r="K97" s="2942"/>
      <c r="L97" s="2021" t="s">
        <v>2069</v>
      </c>
      <c r="M97" s="2882" t="s">
        <v>4650</v>
      </c>
      <c r="N97" s="2941"/>
      <c r="O97" s="2941"/>
      <c r="P97" s="2942"/>
    </row>
    <row r="98" spans="1:16" s="326" customFormat="1" ht="13.15" customHeight="1">
      <c r="C98" s="331" t="s">
        <v>2282</v>
      </c>
      <c r="E98" s="2890">
        <v>4048804100</v>
      </c>
      <c r="F98" s="2895"/>
      <c r="G98" s="2891"/>
      <c r="H98" s="2009" t="s">
        <v>1878</v>
      </c>
      <c r="I98" s="2927">
        <v>4048809333</v>
      </c>
      <c r="J98" s="2942"/>
      <c r="K98" s="356" t="s">
        <v>1879</v>
      </c>
      <c r="L98" s="2927"/>
      <c r="M98" s="2942"/>
      <c r="N98" s="356" t="s">
        <v>2064</v>
      </c>
      <c r="O98" s="2927"/>
      <c r="P98" s="2942"/>
    </row>
    <row r="99" spans="1:16" s="326" customFormat="1" ht="3" customHeight="1">
      <c r="A99" s="545"/>
      <c r="B99" s="545"/>
      <c r="G99" s="343"/>
      <c r="H99" s="2009"/>
      <c r="I99" s="2009"/>
      <c r="M99" s="336"/>
    </row>
    <row r="100" spans="1:16" s="326" customFormat="1" ht="13.15" customHeight="1">
      <c r="A100" s="354" t="s">
        <v>378</v>
      </c>
      <c r="B100" s="2007" t="s">
        <v>1738</v>
      </c>
      <c r="D100" s="343"/>
      <c r="E100" s="343"/>
      <c r="F100" s="2009"/>
      <c r="G100" s="2009"/>
      <c r="H100" s="2009"/>
      <c r="I100" s="2009"/>
      <c r="J100" s="343"/>
      <c r="K100" s="2009"/>
      <c r="L100" s="2009"/>
      <c r="N100" s="2012"/>
      <c r="O100" s="2012"/>
      <c r="P100" s="336"/>
    </row>
    <row r="101" spans="1:16" s="326" customFormat="1" ht="3.6" customHeight="1">
      <c r="A101" s="354"/>
      <c r="B101" s="2007"/>
      <c r="D101" s="343"/>
      <c r="E101" s="343"/>
      <c r="F101" s="2009"/>
      <c r="G101" s="2009"/>
      <c r="H101" s="2009"/>
      <c r="I101" s="2009"/>
      <c r="J101" s="343"/>
      <c r="K101" s="2009"/>
      <c r="L101" s="2009"/>
      <c r="N101" s="2012"/>
      <c r="O101" s="2012"/>
      <c r="P101" s="336"/>
    </row>
    <row r="102" spans="1:16" s="326" customFormat="1" ht="13.15" customHeight="1">
      <c r="B102" s="350" t="s">
        <v>2241</v>
      </c>
      <c r="D102" s="357"/>
      <c r="E102" s="357"/>
      <c r="F102" s="357"/>
      <c r="G102" s="357"/>
      <c r="H102" s="357"/>
      <c r="I102" s="357"/>
      <c r="J102" s="357"/>
      <c r="K102" s="357"/>
      <c r="L102" s="357"/>
      <c r="M102" s="357"/>
      <c r="N102" s="357"/>
      <c r="O102" s="357"/>
      <c r="P102" s="357"/>
    </row>
    <row r="103" spans="1:16" s="326" customFormat="1" ht="4.9000000000000004" customHeight="1">
      <c r="A103" s="545"/>
      <c r="B103" s="545"/>
      <c r="C103" s="358"/>
      <c r="D103" s="358"/>
      <c r="E103" s="358"/>
      <c r="F103" s="358"/>
      <c r="G103" s="358"/>
      <c r="H103" s="358"/>
      <c r="I103" s="358"/>
      <c r="J103" s="358"/>
      <c r="K103" s="358"/>
      <c r="L103" s="358"/>
      <c r="M103" s="358"/>
      <c r="N103" s="358"/>
      <c r="O103" s="358"/>
      <c r="P103" s="358"/>
    </row>
    <row r="104" spans="1:16" s="326" customFormat="1" ht="13.15" customHeight="1">
      <c r="A104" s="545"/>
      <c r="B104" s="545" t="s">
        <v>2068</v>
      </c>
      <c r="C104" s="2007" t="s">
        <v>1473</v>
      </c>
      <c r="D104" s="2001"/>
      <c r="E104" s="2001"/>
      <c r="F104" s="2009"/>
      <c r="G104" s="2009"/>
      <c r="H104" s="2945"/>
      <c r="N104" s="2012"/>
      <c r="O104" s="2012"/>
    </row>
    <row r="105" spans="1:16" s="326" customFormat="1" ht="3.6" customHeight="1">
      <c r="A105" s="545"/>
      <c r="B105" s="545"/>
      <c r="C105" s="358"/>
      <c r="D105" s="358"/>
      <c r="E105" s="358"/>
      <c r="F105" s="358"/>
      <c r="G105" s="358"/>
      <c r="H105" s="358"/>
      <c r="J105" s="358"/>
      <c r="M105" s="358"/>
      <c r="N105" s="358"/>
      <c r="O105" s="358"/>
    </row>
    <row r="106" spans="1:16" s="326" customFormat="1" ht="13.15" customHeight="1">
      <c r="A106" s="545"/>
      <c r="B106" s="545" t="s">
        <v>2071</v>
      </c>
      <c r="C106" s="2007" t="s">
        <v>431</v>
      </c>
      <c r="D106" s="2001"/>
      <c r="E106" s="2001"/>
      <c r="F106" s="2009"/>
      <c r="G106" s="2009"/>
      <c r="H106" s="2946"/>
      <c r="J106" s="343"/>
      <c r="K106" s="2002"/>
      <c r="N106" s="2012"/>
    </row>
    <row r="107" spans="1:16" s="326" customFormat="1" ht="3.6" customHeight="1">
      <c r="A107" s="545"/>
      <c r="B107" s="545"/>
      <c r="C107" s="358"/>
      <c r="D107" s="358"/>
      <c r="E107" s="358"/>
      <c r="F107" s="358"/>
      <c r="G107" s="358"/>
      <c r="H107" s="358"/>
      <c r="I107" s="358"/>
      <c r="J107" s="358"/>
      <c r="K107" s="358"/>
      <c r="M107" s="358"/>
      <c r="N107" s="358"/>
      <c r="O107" s="358"/>
      <c r="P107" s="358"/>
    </row>
    <row r="108" spans="1:16" s="326" customFormat="1" ht="13.15" customHeight="1">
      <c r="B108" s="545" t="s">
        <v>786</v>
      </c>
      <c r="C108" s="2007" t="s">
        <v>316</v>
      </c>
      <c r="D108" s="2001"/>
      <c r="E108" s="2001"/>
      <c r="F108" s="2009"/>
      <c r="G108" s="2009"/>
      <c r="H108" s="2009"/>
      <c r="I108" s="2009"/>
      <c r="J108" s="343"/>
      <c r="K108" s="2009"/>
      <c r="L108" s="2009"/>
      <c r="N108" s="2012"/>
      <c r="O108" s="2012"/>
    </row>
    <row r="109" spans="1:16" s="326" customFormat="1" ht="13.15" customHeight="1">
      <c r="B109" s="545"/>
      <c r="C109" s="2001" t="s">
        <v>2223</v>
      </c>
      <c r="D109" s="2001"/>
      <c r="F109" s="2001" t="s">
        <v>1182</v>
      </c>
      <c r="G109" s="2009"/>
      <c r="H109" s="2009"/>
      <c r="I109" s="2009" t="s">
        <v>1350</v>
      </c>
      <c r="J109" s="2001" t="s">
        <v>2223</v>
      </c>
      <c r="K109" s="2001"/>
      <c r="M109" s="2001" t="s">
        <v>1182</v>
      </c>
      <c r="N109" s="2009"/>
      <c r="O109" s="2009"/>
      <c r="P109" s="2009" t="s">
        <v>1350</v>
      </c>
    </row>
    <row r="110" spans="1:16" s="326" customFormat="1" ht="13.15" customHeight="1">
      <c r="A110" s="545"/>
      <c r="B110" s="545"/>
      <c r="C110" s="2947">
        <v>1</v>
      </c>
      <c r="D110" s="2948"/>
      <c r="E110" s="2948"/>
      <c r="F110" s="2949"/>
      <c r="G110" s="2950"/>
      <c r="H110" s="2951"/>
      <c r="I110" s="2952"/>
      <c r="J110" s="2947">
        <v>7</v>
      </c>
      <c r="K110" s="2948"/>
      <c r="L110" s="2948"/>
      <c r="M110" s="2949"/>
      <c r="N110" s="2950"/>
      <c r="O110" s="2951"/>
      <c r="P110" s="2952"/>
    </row>
    <row r="111" spans="1:16" s="326" customFormat="1" ht="13.15" customHeight="1">
      <c r="A111" s="545"/>
      <c r="B111" s="545"/>
      <c r="C111" s="2953">
        <v>2</v>
      </c>
      <c r="D111" s="2954"/>
      <c r="E111" s="2954"/>
      <c r="F111" s="2955"/>
      <c r="G111" s="2956"/>
      <c r="H111" s="2957"/>
      <c r="I111" s="2958"/>
      <c r="J111" s="2953">
        <v>8</v>
      </c>
      <c r="K111" s="2954"/>
      <c r="L111" s="2954"/>
      <c r="M111" s="2955"/>
      <c r="N111" s="2956"/>
      <c r="O111" s="2957"/>
      <c r="P111" s="2958"/>
    </row>
    <row r="112" spans="1:16" s="326" customFormat="1" ht="13.15" customHeight="1">
      <c r="A112" s="545"/>
      <c r="B112" s="545"/>
      <c r="C112" s="2953">
        <v>3</v>
      </c>
      <c r="D112" s="2954"/>
      <c r="E112" s="2954"/>
      <c r="F112" s="2955"/>
      <c r="G112" s="2956"/>
      <c r="H112" s="2957"/>
      <c r="I112" s="2958"/>
      <c r="J112" s="2953">
        <v>9</v>
      </c>
      <c r="K112" s="2954"/>
      <c r="L112" s="2954"/>
      <c r="M112" s="2955"/>
      <c r="N112" s="2956"/>
      <c r="O112" s="2957"/>
      <c r="P112" s="2958"/>
    </row>
    <row r="113" spans="1:16" s="326" customFormat="1" ht="13.15" customHeight="1">
      <c r="A113" s="545"/>
      <c r="B113" s="545"/>
      <c r="C113" s="2953">
        <v>4</v>
      </c>
      <c r="D113" s="2954"/>
      <c r="E113" s="2954"/>
      <c r="F113" s="2955"/>
      <c r="G113" s="2956"/>
      <c r="H113" s="2957"/>
      <c r="I113" s="2958"/>
      <c r="J113" s="2953">
        <v>10</v>
      </c>
      <c r="K113" s="2954"/>
      <c r="L113" s="2954"/>
      <c r="M113" s="2955"/>
      <c r="N113" s="2956"/>
      <c r="O113" s="2957"/>
      <c r="P113" s="2958"/>
    </row>
    <row r="114" spans="1:16" s="326" customFormat="1" ht="13.15" customHeight="1">
      <c r="A114" s="545"/>
      <c r="B114" s="545"/>
      <c r="C114" s="2953">
        <v>5</v>
      </c>
      <c r="D114" s="2954"/>
      <c r="E114" s="2954"/>
      <c r="F114" s="2955"/>
      <c r="G114" s="2956"/>
      <c r="H114" s="2957"/>
      <c r="I114" s="2958"/>
      <c r="J114" s="2953">
        <v>11</v>
      </c>
      <c r="K114" s="2954"/>
      <c r="L114" s="2954"/>
      <c r="M114" s="2955"/>
      <c r="N114" s="2956"/>
      <c r="O114" s="2957"/>
      <c r="P114" s="2958"/>
    </row>
    <row r="115" spans="1:16" s="326" customFormat="1" ht="13.15" customHeight="1">
      <c r="A115" s="545"/>
      <c r="B115" s="545"/>
      <c r="C115" s="2959">
        <v>6</v>
      </c>
      <c r="D115" s="2960"/>
      <c r="E115" s="2960"/>
      <c r="F115" s="2961"/>
      <c r="G115" s="2962"/>
      <c r="H115" s="2963"/>
      <c r="I115" s="2964"/>
      <c r="J115" s="2959">
        <v>12</v>
      </c>
      <c r="K115" s="2960"/>
      <c r="L115" s="2960"/>
      <c r="M115" s="2961"/>
      <c r="N115" s="2962"/>
      <c r="O115" s="2963"/>
      <c r="P115" s="2964"/>
    </row>
    <row r="116" spans="1:16" s="326" customFormat="1" ht="4.9000000000000004" customHeight="1">
      <c r="A116" s="545"/>
      <c r="B116" s="545"/>
      <c r="C116" s="358"/>
      <c r="D116" s="358"/>
      <c r="E116" s="358"/>
      <c r="F116" s="358"/>
      <c r="G116" s="358"/>
      <c r="H116" s="358"/>
      <c r="I116" s="358"/>
      <c r="J116" s="358"/>
      <c r="K116" s="358"/>
      <c r="L116" s="358"/>
      <c r="M116" s="358"/>
      <c r="N116" s="358"/>
      <c r="O116" s="358"/>
      <c r="P116" s="358"/>
    </row>
    <row r="117" spans="1:16" s="326" customFormat="1" ht="13.15" customHeight="1">
      <c r="A117" s="545"/>
      <c r="B117" s="545" t="s">
        <v>2203</v>
      </c>
      <c r="C117" s="2220" t="s">
        <v>1927</v>
      </c>
      <c r="D117" s="2220"/>
      <c r="E117" s="2220"/>
      <c r="F117" s="2220"/>
      <c r="G117" s="2220"/>
      <c r="H117" s="2220"/>
      <c r="I117" s="2220"/>
      <c r="J117" s="2220"/>
      <c r="K117" s="2220"/>
      <c r="L117" s="2220"/>
      <c r="M117" s="2220"/>
      <c r="N117" s="2220"/>
      <c r="O117" s="2220"/>
      <c r="P117" s="2220"/>
    </row>
    <row r="118" spans="1:16" s="326" customFormat="1" ht="13.15" customHeight="1">
      <c r="A118" s="545"/>
      <c r="B118" s="545"/>
      <c r="C118" s="2220"/>
      <c r="D118" s="2220"/>
      <c r="E118" s="2220"/>
      <c r="F118" s="2220"/>
      <c r="G118" s="2220"/>
      <c r="H118" s="2220"/>
      <c r="I118" s="2220"/>
      <c r="J118" s="2220"/>
      <c r="K118" s="2220"/>
      <c r="L118" s="2220"/>
      <c r="M118" s="2220"/>
      <c r="N118" s="2220"/>
      <c r="O118" s="2220"/>
      <c r="P118" s="2220"/>
    </row>
    <row r="119" spans="1:16" s="326" customFormat="1" ht="13.15" customHeight="1">
      <c r="B119" s="545"/>
      <c r="C119" s="2001" t="s">
        <v>2223</v>
      </c>
      <c r="D119" s="2001"/>
      <c r="F119" s="2001" t="s">
        <v>1182</v>
      </c>
      <c r="G119" s="2009"/>
      <c r="H119" s="2009"/>
      <c r="I119" s="2009"/>
      <c r="J119" s="2001" t="s">
        <v>2223</v>
      </c>
      <c r="K119" s="2001"/>
      <c r="M119" s="2001" t="s">
        <v>1182</v>
      </c>
      <c r="N119" s="2009"/>
      <c r="O119" s="2009"/>
      <c r="P119" s="2009"/>
    </row>
    <row r="120" spans="1:16" s="326" customFormat="1" ht="13.15" customHeight="1">
      <c r="A120" s="545"/>
      <c r="B120" s="545"/>
      <c r="C120" s="2947">
        <v>1</v>
      </c>
      <c r="D120" s="2948"/>
      <c r="E120" s="2948"/>
      <c r="F120" s="2949"/>
      <c r="G120" s="2950"/>
      <c r="H120" s="2950"/>
      <c r="I120" s="2965"/>
      <c r="J120" s="2947">
        <v>7</v>
      </c>
      <c r="K120" s="2948"/>
      <c r="L120" s="2948"/>
      <c r="M120" s="2949"/>
      <c r="N120" s="2950"/>
      <c r="O120" s="2950"/>
      <c r="P120" s="2965"/>
    </row>
    <row r="121" spans="1:16" s="326" customFormat="1" ht="13.15" customHeight="1">
      <c r="A121" s="545"/>
      <c r="B121" s="545"/>
      <c r="C121" s="2953">
        <v>2</v>
      </c>
      <c r="D121" s="2954"/>
      <c r="E121" s="2954"/>
      <c r="F121" s="2955"/>
      <c r="G121" s="2956"/>
      <c r="H121" s="2956"/>
      <c r="I121" s="2966"/>
      <c r="J121" s="2953">
        <v>8</v>
      </c>
      <c r="K121" s="2954"/>
      <c r="L121" s="2954"/>
      <c r="M121" s="2955"/>
      <c r="N121" s="2956"/>
      <c r="O121" s="2956"/>
      <c r="P121" s="2966"/>
    </row>
    <row r="122" spans="1:16" s="326" customFormat="1" ht="13.15" customHeight="1">
      <c r="A122" s="545"/>
      <c r="B122" s="545"/>
      <c r="C122" s="2953">
        <v>3</v>
      </c>
      <c r="D122" s="2954"/>
      <c r="E122" s="2954"/>
      <c r="F122" s="2955"/>
      <c r="G122" s="2956"/>
      <c r="H122" s="2956"/>
      <c r="I122" s="2966"/>
      <c r="J122" s="2953">
        <v>9</v>
      </c>
      <c r="K122" s="2954"/>
      <c r="L122" s="2954"/>
      <c r="M122" s="2955"/>
      <c r="N122" s="2956"/>
      <c r="O122" s="2956"/>
      <c r="P122" s="2966"/>
    </row>
    <row r="123" spans="1:16" s="326" customFormat="1" ht="13.15" customHeight="1">
      <c r="A123" s="545"/>
      <c r="B123" s="545"/>
      <c r="C123" s="2953">
        <v>4</v>
      </c>
      <c r="D123" s="2954"/>
      <c r="E123" s="2954"/>
      <c r="F123" s="2955"/>
      <c r="G123" s="2956"/>
      <c r="H123" s="2956"/>
      <c r="I123" s="2966"/>
      <c r="J123" s="2953">
        <v>10</v>
      </c>
      <c r="K123" s="2954"/>
      <c r="L123" s="2954"/>
      <c r="M123" s="2955"/>
      <c r="N123" s="2956"/>
      <c r="O123" s="2956"/>
      <c r="P123" s="2966"/>
    </row>
    <row r="124" spans="1:16" s="326" customFormat="1" ht="13.15" customHeight="1">
      <c r="A124" s="545"/>
      <c r="B124" s="545"/>
      <c r="C124" s="2953">
        <v>5</v>
      </c>
      <c r="D124" s="2954"/>
      <c r="E124" s="2954"/>
      <c r="F124" s="2955"/>
      <c r="G124" s="2956"/>
      <c r="H124" s="2956"/>
      <c r="I124" s="2966"/>
      <c r="J124" s="2953">
        <v>11</v>
      </c>
      <c r="K124" s="2954"/>
      <c r="L124" s="2954"/>
      <c r="M124" s="2955"/>
      <c r="N124" s="2956"/>
      <c r="O124" s="2956"/>
      <c r="P124" s="2966"/>
    </row>
    <row r="125" spans="1:16" s="326" customFormat="1" ht="13.15" customHeight="1">
      <c r="A125" s="545"/>
      <c r="B125" s="545"/>
      <c r="C125" s="2959">
        <v>6</v>
      </c>
      <c r="D125" s="2960"/>
      <c r="E125" s="2960"/>
      <c r="F125" s="2961"/>
      <c r="G125" s="2962"/>
      <c r="H125" s="2962"/>
      <c r="I125" s="2967"/>
      <c r="J125" s="2959">
        <v>12</v>
      </c>
      <c r="K125" s="2960"/>
      <c r="L125" s="2960"/>
      <c r="M125" s="2961"/>
      <c r="N125" s="2962"/>
      <c r="O125" s="2962"/>
      <c r="P125" s="2967"/>
    </row>
    <row r="126" spans="1:16" s="326" customFormat="1" ht="6.6" customHeight="1">
      <c r="A126" s="545"/>
      <c r="B126" s="545"/>
      <c r="C126" s="2001"/>
      <c r="D126" s="2001"/>
      <c r="E126" s="2001"/>
      <c r="F126" s="2009"/>
      <c r="G126" s="2009"/>
      <c r="H126" s="2009"/>
      <c r="I126" s="2009"/>
      <c r="J126" s="343"/>
      <c r="K126" s="2009"/>
      <c r="L126" s="2009"/>
      <c r="N126" s="2012"/>
      <c r="O126" s="2012"/>
      <c r="P126" s="336"/>
    </row>
    <row r="127" spans="1:16" s="326" customFormat="1" ht="13.15" customHeight="1">
      <c r="A127" s="354" t="s">
        <v>379</v>
      </c>
      <c r="B127" s="351" t="s">
        <v>2515</v>
      </c>
      <c r="D127" s="351"/>
      <c r="E127" s="351"/>
      <c r="F127" s="351"/>
      <c r="H127" s="2896"/>
      <c r="M127" s="2009"/>
      <c r="N127" s="2012"/>
      <c r="O127" s="2012"/>
      <c r="P127" s="336"/>
    </row>
    <row r="128" spans="1:16" s="326" customFormat="1" ht="3" customHeight="1">
      <c r="A128" s="354"/>
      <c r="B128" s="545"/>
      <c r="C128" s="2007"/>
      <c r="D128" s="2007"/>
      <c r="E128" s="2007"/>
      <c r="F128" s="2007"/>
      <c r="G128" s="2009"/>
      <c r="M128" s="2009"/>
      <c r="N128" s="2012"/>
      <c r="O128" s="2012"/>
    </row>
    <row r="129" spans="1:16" s="326" customFormat="1" ht="13.15" customHeight="1">
      <c r="A129" s="545"/>
      <c r="B129" s="545" t="s">
        <v>2068</v>
      </c>
      <c r="C129" s="332" t="s">
        <v>1787</v>
      </c>
      <c r="H129" s="2896"/>
      <c r="M129" s="2009"/>
      <c r="N129" s="2012"/>
      <c r="O129" s="2012"/>
      <c r="P129" s="336"/>
    </row>
    <row r="130" spans="1:16" s="326" customFormat="1" ht="13.15" customHeight="1">
      <c r="A130" s="545"/>
      <c r="B130" s="545"/>
      <c r="C130" s="2001" t="s">
        <v>2517</v>
      </c>
      <c r="D130" s="2001"/>
      <c r="E130" s="2001"/>
      <c r="F130" s="2009"/>
      <c r="H130" s="2968"/>
      <c r="N130" s="2012"/>
      <c r="O130" s="2012"/>
      <c r="P130" s="336"/>
    </row>
    <row r="131" spans="1:16" s="326" customFormat="1" ht="13.15" customHeight="1">
      <c r="A131" s="545"/>
      <c r="B131" s="545"/>
      <c r="C131" s="359" t="s">
        <v>1786</v>
      </c>
      <c r="D131" s="331"/>
      <c r="H131" s="2882"/>
      <c r="I131" s="2884"/>
      <c r="P131" s="336"/>
    </row>
    <row r="132" spans="1:16" s="326" customFormat="1" ht="13.15" customHeight="1">
      <c r="A132" s="545"/>
      <c r="B132" s="545"/>
      <c r="C132" s="2001" t="s">
        <v>2518</v>
      </c>
      <c r="D132" s="2001"/>
      <c r="E132" s="2001"/>
      <c r="F132" s="2009"/>
      <c r="H132" s="2968"/>
      <c r="K132" s="299" t="s">
        <v>2336</v>
      </c>
      <c r="O132" s="2882" t="s">
        <v>507</v>
      </c>
      <c r="P132" s="2884"/>
    </row>
    <row r="133" spans="1:16" s="326" customFormat="1" ht="13.15" customHeight="1">
      <c r="A133" s="545"/>
      <c r="B133" s="545"/>
      <c r="C133" s="2001" t="s">
        <v>2516</v>
      </c>
      <c r="F133" s="2009"/>
      <c r="H133" s="2945"/>
      <c r="K133" s="299" t="s">
        <v>2337</v>
      </c>
      <c r="O133" s="2882" t="s">
        <v>507</v>
      </c>
      <c r="P133" s="2884"/>
    </row>
    <row r="134" spans="1:16" s="326" customFormat="1" ht="13.15" customHeight="1">
      <c r="A134" s="545"/>
      <c r="B134" s="545"/>
      <c r="C134" s="2001" t="s">
        <v>2254</v>
      </c>
      <c r="D134" s="2001"/>
      <c r="E134" s="2001"/>
      <c r="F134" s="2009"/>
      <c r="H134" s="2937"/>
      <c r="I134" s="2938"/>
      <c r="N134" s="2012"/>
      <c r="O134" s="2012"/>
      <c r="P134" s="336"/>
    </row>
    <row r="135" spans="1:16" s="326" customFormat="1" ht="3" customHeight="1">
      <c r="A135" s="545"/>
      <c r="B135" s="545"/>
      <c r="C135" s="2001"/>
      <c r="D135" s="2001"/>
      <c r="E135" s="2001"/>
      <c r="F135" s="2009"/>
      <c r="N135" s="2012"/>
      <c r="O135" s="2012"/>
      <c r="P135" s="336"/>
    </row>
    <row r="136" spans="1:16" s="326" customFormat="1" ht="13.15" customHeight="1">
      <c r="A136" s="545"/>
      <c r="B136" s="545" t="s">
        <v>2071</v>
      </c>
      <c r="C136" s="2007" t="s">
        <v>2588</v>
      </c>
      <c r="D136" s="2001"/>
      <c r="E136" s="2001"/>
      <c r="F136" s="2009"/>
      <c r="H136" s="2945"/>
      <c r="N136" s="2012"/>
      <c r="O136" s="2012"/>
      <c r="P136" s="336"/>
    </row>
    <row r="137" spans="1:16" s="326" customFormat="1" ht="3" customHeight="1">
      <c r="A137" s="545"/>
      <c r="B137" s="545"/>
      <c r="C137" s="2001"/>
      <c r="D137" s="2001"/>
      <c r="E137" s="2001"/>
      <c r="F137" s="2009"/>
      <c r="G137" s="2009"/>
      <c r="M137" s="2009"/>
      <c r="N137" s="2012"/>
      <c r="O137" s="2012"/>
      <c r="P137" s="336"/>
    </row>
    <row r="138" spans="1:16" s="326" customFormat="1" ht="13.15" customHeight="1">
      <c r="A138" s="545"/>
      <c r="B138" s="545" t="s">
        <v>786</v>
      </c>
      <c r="C138" s="2007" t="s">
        <v>2822</v>
      </c>
      <c r="D138" s="2001"/>
      <c r="E138" s="2001"/>
      <c r="F138" s="2009"/>
      <c r="G138" s="2009"/>
      <c r="N138" s="2012"/>
      <c r="O138" s="2012"/>
      <c r="P138" s="336"/>
    </row>
    <row r="139" spans="1:16" s="326" customFormat="1" ht="13.15" customHeight="1">
      <c r="A139" s="545"/>
      <c r="B139" s="545"/>
      <c r="C139" s="2001" t="s">
        <v>755</v>
      </c>
      <c r="D139" s="2001"/>
      <c r="E139" s="2001"/>
      <c r="F139" s="2009"/>
      <c r="G139" s="2009"/>
      <c r="H139" s="2945"/>
      <c r="K139" s="2001" t="s">
        <v>1601</v>
      </c>
      <c r="L139" s="2001"/>
      <c r="M139" s="2009"/>
      <c r="N139" s="2009"/>
      <c r="O139" s="2945"/>
      <c r="P139" s="336"/>
    </row>
    <row r="140" spans="1:16" s="326" customFormat="1" ht="6" customHeight="1">
      <c r="A140" s="545"/>
      <c r="B140" s="545"/>
      <c r="C140" s="2001"/>
      <c r="D140" s="2001"/>
      <c r="E140" s="2001"/>
      <c r="F140" s="2009"/>
      <c r="G140" s="2009"/>
      <c r="H140" s="2009"/>
      <c r="I140" s="2009"/>
      <c r="J140" s="343"/>
      <c r="K140" s="2009"/>
      <c r="L140" s="2009"/>
      <c r="N140" s="2012"/>
      <c r="O140" s="2012"/>
      <c r="P140" s="336"/>
    </row>
    <row r="141" spans="1:16" s="326" customFormat="1" ht="13.15" customHeight="1">
      <c r="A141" s="354" t="s">
        <v>1802</v>
      </c>
      <c r="B141" s="351" t="s">
        <v>1240</v>
      </c>
      <c r="D141" s="351"/>
      <c r="E141" s="351"/>
      <c r="F141" s="351"/>
      <c r="G141" s="2009"/>
      <c r="H141" s="2009"/>
      <c r="I141" s="2009"/>
      <c r="J141" s="343"/>
      <c r="K141" s="2009"/>
      <c r="L141" s="2009"/>
      <c r="N141" s="2012"/>
      <c r="O141" s="2012"/>
      <c r="P141" s="336"/>
    </row>
    <row r="142" spans="1:16" s="326" customFormat="1" ht="1.9" customHeight="1">
      <c r="A142" s="354"/>
      <c r="B142" s="545"/>
      <c r="C142" s="2007"/>
      <c r="D142" s="2007"/>
      <c r="E142" s="2007"/>
      <c r="F142" s="2007"/>
      <c r="G142" s="2009"/>
      <c r="H142" s="2009"/>
      <c r="I142" s="2009"/>
      <c r="J142" s="343"/>
      <c r="K142" s="2009"/>
      <c r="L142" s="2009"/>
      <c r="N142" s="2012"/>
      <c r="O142" s="2012"/>
    </row>
    <row r="143" spans="1:16" s="326" customFormat="1" ht="13.15" customHeight="1">
      <c r="A143" s="545"/>
      <c r="B143" s="545" t="s">
        <v>2068</v>
      </c>
      <c r="C143" s="342" t="s">
        <v>1900</v>
      </c>
      <c r="F143" s="2009"/>
      <c r="G143" s="2009"/>
      <c r="H143" s="2009"/>
      <c r="I143" s="2009"/>
      <c r="J143" s="343"/>
      <c r="K143" s="2009"/>
      <c r="L143" s="2009"/>
      <c r="N143" s="2012"/>
      <c r="O143" s="2012"/>
      <c r="P143" s="336"/>
    </row>
    <row r="144" spans="1:16" s="326" customFormat="1" ht="12.6" customHeight="1">
      <c r="A144" s="545"/>
      <c r="B144" s="545"/>
      <c r="C144" s="350" t="s">
        <v>1593</v>
      </c>
      <c r="D144" s="343"/>
      <c r="E144" s="343"/>
      <c r="F144" s="2009"/>
      <c r="G144" s="2009"/>
      <c r="H144" s="2009"/>
      <c r="I144" s="2009"/>
      <c r="K144" s="2945"/>
      <c r="N144" s="2012"/>
      <c r="O144" s="2012"/>
      <c r="P144" s="336"/>
    </row>
    <row r="145" spans="1:16" s="326" customFormat="1" ht="12.6" customHeight="1">
      <c r="A145" s="545"/>
      <c r="B145" s="545"/>
      <c r="C145" s="326" t="s">
        <v>645</v>
      </c>
      <c r="K145" s="2931"/>
      <c r="L145" s="331" t="s">
        <v>1871</v>
      </c>
      <c r="P145" s="360">
        <f>IF('Part VI-Revenues &amp; Expenses'!O$60=0,0,K145/'Part VI-Revenues &amp; Expenses'!$O$60)</f>
        <v>0</v>
      </c>
    </row>
    <row r="146" spans="1:16" s="326" customFormat="1" ht="12.6" customHeight="1">
      <c r="A146" s="545"/>
      <c r="B146" s="545"/>
      <c r="C146" s="326" t="s">
        <v>2255</v>
      </c>
      <c r="K146" s="2931"/>
      <c r="L146" s="331" t="s">
        <v>1871</v>
      </c>
      <c r="P146" s="360">
        <f>IF('Part VI-Revenues &amp; Expenses'!O$60=0,0,K146/'Part VI-Revenues &amp; Expenses'!$O$60)</f>
        <v>0</v>
      </c>
    </row>
    <row r="147" spans="1:16" s="326" customFormat="1" ht="12.6" customHeight="1">
      <c r="A147" s="545"/>
      <c r="B147" s="545"/>
      <c r="C147" s="326" t="s">
        <v>1872</v>
      </c>
      <c r="E147" s="2882"/>
      <c r="F147" s="2883"/>
      <c r="G147" s="2883"/>
      <c r="H147" s="2883"/>
      <c r="I147" s="2883"/>
      <c r="J147" s="2883"/>
      <c r="K147" s="2884"/>
      <c r="L147" s="361" t="s">
        <v>1873</v>
      </c>
      <c r="M147" s="2882"/>
      <c r="N147" s="2883"/>
      <c r="O147" s="2883"/>
      <c r="P147" s="2884"/>
    </row>
    <row r="148" spans="1:16" s="326" customFormat="1" ht="12.6" customHeight="1">
      <c r="A148" s="545"/>
      <c r="B148" s="545"/>
      <c r="C148" s="331" t="s">
        <v>1874</v>
      </c>
      <c r="D148" s="339"/>
      <c r="E148" s="2882"/>
      <c r="F148" s="2883"/>
      <c r="G148" s="2883"/>
      <c r="H148" s="2883"/>
      <c r="I148" s="2883"/>
      <c r="J148" s="2883"/>
      <c r="K148" s="2969"/>
      <c r="L148" s="361" t="s">
        <v>1879</v>
      </c>
      <c r="M148" s="2890"/>
      <c r="N148" s="2895"/>
      <c r="O148" s="2891"/>
    </row>
    <row r="149" spans="1:16" s="326" customFormat="1" ht="12.6" customHeight="1">
      <c r="A149" s="545"/>
      <c r="B149" s="545"/>
      <c r="C149" s="331" t="s">
        <v>648</v>
      </c>
      <c r="E149" s="2882"/>
      <c r="F149" s="2883"/>
      <c r="G149" s="2883"/>
      <c r="H149" s="2884"/>
      <c r="I149" s="356" t="s">
        <v>2319</v>
      </c>
      <c r="J149" s="2970"/>
      <c r="K149" s="2971"/>
      <c r="L149" s="362" t="s">
        <v>2064</v>
      </c>
      <c r="M149" s="2972"/>
      <c r="N149" s="2973"/>
      <c r="O149" s="2974"/>
    </row>
    <row r="150" spans="1:16" s="326" customFormat="1" ht="12.6" customHeight="1">
      <c r="A150" s="545"/>
      <c r="B150" s="545"/>
      <c r="C150" s="331" t="s">
        <v>1877</v>
      </c>
      <c r="E150" s="2890"/>
      <c r="F150" s="2895"/>
      <c r="G150" s="2891"/>
      <c r="H150" s="2006"/>
      <c r="I150" s="2004" t="s">
        <v>1876</v>
      </c>
      <c r="J150" s="2897"/>
      <c r="K150" s="2898"/>
      <c r="L150" s="2898"/>
      <c r="M150" s="2898"/>
      <c r="N150" s="2898"/>
      <c r="O150" s="2898"/>
      <c r="P150" s="2899"/>
    </row>
    <row r="151" spans="1:16" s="326" customFormat="1" ht="6" customHeight="1">
      <c r="A151" s="545"/>
      <c r="B151" s="545"/>
      <c r="C151" s="331"/>
      <c r="E151" s="363"/>
      <c r="F151" s="363"/>
      <c r="G151" s="363"/>
      <c r="H151" s="2009"/>
      <c r="I151" s="363"/>
      <c r="J151" s="363"/>
      <c r="K151" s="2009"/>
      <c r="L151" s="363"/>
      <c r="M151" s="363"/>
      <c r="N151" s="2009"/>
      <c r="O151" s="363"/>
      <c r="P151" s="363"/>
    </row>
    <row r="152" spans="1:16" s="326" customFormat="1" ht="12.6" customHeight="1">
      <c r="A152" s="545"/>
      <c r="B152" s="545" t="s">
        <v>2071</v>
      </c>
      <c r="C152" s="2007" t="s">
        <v>2830</v>
      </c>
      <c r="D152" s="2007"/>
      <c r="E152" s="2007"/>
      <c r="F152" s="2007"/>
      <c r="G152" s="2007"/>
      <c r="I152" s="2945"/>
      <c r="J152" s="2202" t="s">
        <v>799</v>
      </c>
      <c r="K152" s="2203"/>
      <c r="L152" s="2945"/>
      <c r="M152" s="2216" t="s">
        <v>2417</v>
      </c>
      <c r="N152" s="2217"/>
      <c r="O152" s="2218"/>
      <c r="P152" s="2968"/>
    </row>
    <row r="153" spans="1:16" s="326" customFormat="1" ht="6" customHeight="1">
      <c r="A153" s="545"/>
      <c r="B153" s="545"/>
      <c r="C153" s="2007"/>
      <c r="D153" s="2007"/>
      <c r="E153" s="328"/>
      <c r="F153" s="2007"/>
      <c r="G153" s="2007"/>
      <c r="J153" s="335"/>
      <c r="K153" s="364"/>
      <c r="M153" s="2012"/>
      <c r="O153" s="2009"/>
      <c r="P153" s="336"/>
    </row>
    <row r="154" spans="1:16" s="326" customFormat="1" ht="12.6" customHeight="1">
      <c r="A154" s="545"/>
      <c r="B154" s="545"/>
      <c r="C154" s="2007" t="s">
        <v>2831</v>
      </c>
      <c r="D154" s="2007"/>
      <c r="E154" s="2007"/>
      <c r="F154" s="2007"/>
      <c r="G154" s="2007"/>
      <c r="I154" s="2945" t="s">
        <v>3300</v>
      </c>
      <c r="J154" s="2202" t="s">
        <v>799</v>
      </c>
      <c r="K154" s="2203"/>
      <c r="L154" s="2945"/>
      <c r="M154" s="2216" t="s">
        <v>2417</v>
      </c>
      <c r="N154" s="2217"/>
      <c r="O154" s="2218"/>
      <c r="P154" s="2968">
        <v>0</v>
      </c>
    </row>
    <row r="155" spans="1:16" s="326" customFormat="1" ht="6" customHeight="1">
      <c r="A155" s="545"/>
      <c r="B155" s="545"/>
      <c r="C155" s="2007"/>
      <c r="D155" s="2007"/>
      <c r="E155" s="328"/>
      <c r="F155" s="2007"/>
      <c r="G155" s="2007"/>
      <c r="J155" s="335"/>
      <c r="K155" s="364"/>
      <c r="M155" s="2012"/>
      <c r="O155" s="2009"/>
      <c r="P155" s="336"/>
    </row>
    <row r="156" spans="1:16" s="326" customFormat="1" ht="12.6" customHeight="1">
      <c r="A156" s="545"/>
      <c r="B156" s="545" t="s">
        <v>786</v>
      </c>
      <c r="C156" s="2007" t="s">
        <v>1833</v>
      </c>
      <c r="D156" s="2007"/>
      <c r="E156" s="2007"/>
      <c r="F156" s="2007"/>
      <c r="G156" s="2007"/>
      <c r="I156" s="2945" t="s">
        <v>3300</v>
      </c>
      <c r="L156" s="299"/>
      <c r="M156" s="299"/>
      <c r="P156" s="336"/>
    </row>
    <row r="157" spans="1:16" s="326" customFormat="1" ht="6" customHeight="1">
      <c r="A157" s="545"/>
      <c r="B157" s="545"/>
      <c r="C157" s="331"/>
      <c r="E157" s="363"/>
      <c r="F157" s="363"/>
      <c r="G157" s="363"/>
      <c r="I157" s="363"/>
      <c r="J157" s="363"/>
      <c r="K157" s="2009"/>
      <c r="L157" s="363"/>
      <c r="M157" s="363"/>
      <c r="N157" s="2009"/>
      <c r="O157" s="363"/>
      <c r="P157" s="363"/>
    </row>
    <row r="158" spans="1:16" s="326" customFormat="1" ht="12.6" customHeight="1">
      <c r="A158" s="545"/>
      <c r="B158" s="545" t="s">
        <v>2203</v>
      </c>
      <c r="C158" s="2201" t="s">
        <v>2063</v>
      </c>
      <c r="D158" s="2201"/>
      <c r="E158" s="2201"/>
      <c r="F158" s="2201"/>
      <c r="G158" s="2007"/>
      <c r="I158" s="2945" t="s">
        <v>3300</v>
      </c>
      <c r="J158" s="366" t="s">
        <v>2953</v>
      </c>
      <c r="L158" s="2200" t="s">
        <v>4536</v>
      </c>
      <c r="M158" s="2200"/>
      <c r="N158" s="2007"/>
      <c r="O158" s="2007"/>
      <c r="P158" s="2975"/>
    </row>
    <row r="159" spans="1:16" s="326" customFormat="1" ht="12.6" customHeight="1">
      <c r="B159" s="545"/>
      <c r="L159" s="2196" t="s">
        <v>836</v>
      </c>
      <c r="M159" s="2196"/>
      <c r="N159" s="2007"/>
      <c r="O159" s="2007"/>
      <c r="P159" s="2975"/>
    </row>
    <row r="160" spans="1:16" s="326" customFormat="1" ht="12.6" customHeight="1">
      <c r="A160" s="545"/>
      <c r="B160" s="545"/>
      <c r="L160" s="2196" t="s">
        <v>1867</v>
      </c>
      <c r="M160" s="2196"/>
      <c r="N160" s="2007"/>
      <c r="O160" s="2007"/>
      <c r="P160" s="365" t="str">
        <f>IF(P158="","",P159/P158)</f>
        <v/>
      </c>
    </row>
    <row r="161" spans="1:21" s="326" customFormat="1" ht="13.15" customHeight="1">
      <c r="A161" s="545"/>
      <c r="B161" s="545" t="s">
        <v>1811</v>
      </c>
      <c r="C161" s="296" t="s">
        <v>1677</v>
      </c>
      <c r="D161" s="2001"/>
      <c r="E161" s="2001"/>
      <c r="F161" s="2001"/>
      <c r="G161" s="2001"/>
      <c r="H161" s="2009"/>
      <c r="J161" s="335"/>
      <c r="K161" s="343"/>
      <c r="M161" s="2012"/>
      <c r="O161" s="2009"/>
      <c r="P161" s="336"/>
    </row>
    <row r="162" spans="1:21" s="326" customFormat="1" ht="12.6" customHeight="1">
      <c r="A162" s="545"/>
      <c r="B162" s="545"/>
      <c r="C162" s="2012" t="s">
        <v>2301</v>
      </c>
      <c r="D162" s="337"/>
      <c r="E162" s="2012"/>
      <c r="F162" s="2012"/>
      <c r="I162" s="2945"/>
      <c r="L162" s="2012" t="s">
        <v>1678</v>
      </c>
      <c r="M162" s="2012"/>
      <c r="N162" s="2012"/>
      <c r="P162" s="2945"/>
    </row>
    <row r="163" spans="1:21" s="326" customFormat="1" ht="12.6" customHeight="1">
      <c r="A163" s="545"/>
      <c r="B163" s="545"/>
      <c r="C163" s="2012" t="s">
        <v>2302</v>
      </c>
      <c r="I163" s="2945"/>
      <c r="L163" s="2012" t="s">
        <v>3095</v>
      </c>
      <c r="M163" s="2012"/>
      <c r="N163" s="2012"/>
      <c r="P163" s="2945"/>
    </row>
    <row r="164" spans="1:21" s="326" customFormat="1" ht="12.6" customHeight="1">
      <c r="A164" s="545"/>
      <c r="C164" s="2012" t="s">
        <v>2852</v>
      </c>
      <c r="I164" s="2945"/>
      <c r="L164" s="2012" t="s">
        <v>2806</v>
      </c>
      <c r="N164" s="2976"/>
      <c r="O164" s="2977"/>
      <c r="P164" s="2945"/>
    </row>
    <row r="165" spans="1:21" s="326" customFormat="1" ht="12.6" customHeight="1">
      <c r="A165" s="545"/>
      <c r="B165" s="545"/>
      <c r="C165" s="2012" t="s">
        <v>1339</v>
      </c>
      <c r="D165" s="367"/>
      <c r="I165" s="2945" t="s">
        <v>3300</v>
      </c>
      <c r="K165" s="337"/>
      <c r="L165" s="2012" t="s">
        <v>3972</v>
      </c>
      <c r="M165" s="2012"/>
      <c r="N165" s="2012"/>
      <c r="P165" s="2945"/>
    </row>
    <row r="166" spans="1:21" s="326" customFormat="1" ht="12.6" customHeight="1">
      <c r="A166" s="545"/>
      <c r="B166" s="328"/>
      <c r="C166" s="2012" t="s">
        <v>1885</v>
      </c>
      <c r="I166" s="2945" t="s">
        <v>3300</v>
      </c>
      <c r="J166" s="366" t="s">
        <v>2954</v>
      </c>
      <c r="O166" s="2978"/>
      <c r="P166" s="2979"/>
    </row>
    <row r="167" spans="1:21" s="326" customFormat="1" ht="12.6" customHeight="1">
      <c r="A167" s="545"/>
      <c r="B167" s="545"/>
      <c r="C167" s="2012" t="s">
        <v>3185</v>
      </c>
      <c r="I167" s="2945" t="s">
        <v>3300</v>
      </c>
      <c r="J167" s="366" t="s">
        <v>2954</v>
      </c>
      <c r="O167" s="2978"/>
      <c r="P167" s="2979"/>
    </row>
    <row r="168" spans="1:21" s="326" customFormat="1" ht="3" customHeight="1">
      <c r="A168" s="545"/>
      <c r="B168" s="545"/>
      <c r="P168" s="335"/>
    </row>
    <row r="169" spans="1:21" s="326" customFormat="1" ht="13.15" customHeight="1">
      <c r="B169" s="545" t="s">
        <v>1812</v>
      </c>
      <c r="C169" s="332" t="s">
        <v>776</v>
      </c>
    </row>
    <row r="170" spans="1:21" s="326" customFormat="1" ht="12.6" customHeight="1">
      <c r="A170" s="545"/>
      <c r="B170" s="545"/>
      <c r="C170" s="331" t="s">
        <v>669</v>
      </c>
      <c r="D170" s="2001"/>
      <c r="E170" s="2001"/>
      <c r="F170" s="2009"/>
      <c r="G170" s="2009"/>
      <c r="H170" s="2937"/>
      <c r="I170" s="2938"/>
      <c r="N170" s="2012"/>
      <c r="O170" s="2012"/>
      <c r="P170" s="336"/>
    </row>
    <row r="171" spans="1:21" s="326" customFormat="1" ht="12.6" customHeight="1">
      <c r="A171" s="545"/>
      <c r="B171" s="545"/>
      <c r="C171" s="331" t="s">
        <v>289</v>
      </c>
      <c r="D171" s="2001"/>
      <c r="E171" s="2001"/>
      <c r="F171" s="2009"/>
      <c r="G171" s="2009"/>
      <c r="H171" s="2937"/>
      <c r="I171" s="2938"/>
      <c r="N171" s="2012"/>
      <c r="O171" s="2012"/>
      <c r="P171" s="336"/>
    </row>
    <row r="172" spans="1:21" s="326" customFormat="1" ht="12.6" customHeight="1">
      <c r="A172" s="545"/>
      <c r="B172" s="545"/>
      <c r="C172" s="331" t="s">
        <v>2386</v>
      </c>
      <c r="D172" s="2001"/>
      <c r="E172" s="2001"/>
      <c r="F172" s="2009"/>
      <c r="G172" s="2009"/>
      <c r="H172" s="2937">
        <v>43070</v>
      </c>
      <c r="I172" s="2938"/>
      <c r="N172" s="2012"/>
      <c r="O172" s="2012"/>
      <c r="P172" s="336"/>
    </row>
    <row r="173" spans="1:21" s="326" customFormat="1" ht="6" customHeight="1">
      <c r="B173" s="328"/>
      <c r="C173" s="2012"/>
      <c r="H173" s="2012"/>
      <c r="L173" s="345"/>
      <c r="M173" s="345"/>
      <c r="N173" s="345"/>
      <c r="O173" s="345"/>
      <c r="P173" s="333"/>
    </row>
    <row r="174" spans="1:21" ht="12" customHeight="1">
      <c r="A174" s="354" t="s">
        <v>3011</v>
      </c>
      <c r="C174" s="354" t="s">
        <v>599</v>
      </c>
      <c r="K174" s="354" t="s">
        <v>2342</v>
      </c>
      <c r="L174" s="354" t="s">
        <v>81</v>
      </c>
    </row>
    <row r="175" spans="1:21" ht="106.5" customHeight="1">
      <c r="A175" s="2980"/>
      <c r="B175" s="2981"/>
      <c r="C175" s="2981"/>
      <c r="D175" s="2981"/>
      <c r="E175" s="2981"/>
      <c r="F175" s="2981"/>
      <c r="G175" s="2981"/>
      <c r="H175" s="2981"/>
      <c r="I175" s="2981"/>
      <c r="J175" s="2982"/>
      <c r="K175" s="2983"/>
      <c r="L175" s="2984"/>
      <c r="M175" s="2984"/>
      <c r="N175" s="2984"/>
      <c r="O175" s="2984"/>
      <c r="P175" s="2985"/>
      <c r="Q175" s="2195" t="s">
        <v>2811</v>
      </c>
      <c r="R175" s="2195"/>
      <c r="S175" s="2195"/>
      <c r="T175" s="2195"/>
      <c r="U175" s="2195"/>
    </row>
    <row r="176" spans="1:21" ht="12" customHeight="1">
      <c r="Q176" s="2195"/>
      <c r="R176" s="2195"/>
      <c r="S176" s="2195"/>
      <c r="T176" s="2195"/>
      <c r="U176" s="2195"/>
    </row>
    <row r="183" spans="1:44" s="562"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62" customFormat="1" ht="22.9" customHeight="1">
      <c r="A184" s="345"/>
      <c r="P184" s="430"/>
      <c r="Q184" s="345"/>
      <c r="T184" s="676"/>
      <c r="U184" s="675"/>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62" customFormat="1" ht="12" customHeight="1">
      <c r="A185" s="345"/>
      <c r="P185" s="312"/>
      <c r="Q185" s="345"/>
      <c r="T185" s="563"/>
      <c r="U185" s="563"/>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62" customFormat="1" ht="12" customHeight="1">
      <c r="A186" s="345"/>
      <c r="P186" s="312"/>
      <c r="Q186" s="345"/>
      <c r="T186" s="563"/>
      <c r="U186" s="563"/>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62" customFormat="1" ht="12" customHeight="1">
      <c r="A187" s="345"/>
      <c r="P187" s="312"/>
      <c r="Q187" s="345"/>
      <c r="T187" s="563"/>
      <c r="U187" s="563"/>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62" customFormat="1" ht="12" customHeight="1">
      <c r="A188" s="345"/>
      <c r="P188" s="312"/>
      <c r="Q188" s="345"/>
      <c r="T188" s="563"/>
      <c r="U188" s="563"/>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62" customFormat="1" ht="12" customHeight="1">
      <c r="A189" s="345"/>
      <c r="P189" s="312"/>
      <c r="Q189" s="345"/>
      <c r="T189" s="563"/>
      <c r="U189" s="563"/>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62" customFormat="1" ht="12" customHeight="1">
      <c r="A190" s="345"/>
      <c r="P190" s="312"/>
      <c r="Q190" s="345"/>
      <c r="T190" s="563"/>
      <c r="U190" s="563"/>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62" customFormat="1" ht="12" customHeight="1">
      <c r="A191" s="345"/>
      <c r="P191" s="312"/>
      <c r="Q191" s="345"/>
      <c r="T191" s="563"/>
      <c r="U191" s="563"/>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62" customFormat="1" ht="12" customHeight="1">
      <c r="A192" s="345"/>
      <c r="P192" s="312"/>
      <c r="Q192" s="2986"/>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62" customFormat="1" ht="12" customHeight="1">
      <c r="A193" s="345"/>
      <c r="P193" s="312"/>
      <c r="Q193" s="2986"/>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62" customFormat="1" ht="12" customHeight="1">
      <c r="A194" s="345"/>
      <c r="P194" s="312"/>
      <c r="Q194" s="2986"/>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62" customFormat="1" ht="12" customHeight="1">
      <c r="A195" s="345"/>
      <c r="P195" s="312"/>
      <c r="Q195" s="2986"/>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62" customFormat="1" ht="12" customHeight="1">
      <c r="A196" s="345"/>
      <c r="P196" s="312"/>
      <c r="Q196" s="2986"/>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62" customFormat="1" ht="12" customHeight="1">
      <c r="A197" s="345"/>
      <c r="P197" s="312"/>
      <c r="Q197" s="2986"/>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62" customFormat="1" ht="12" customHeight="1">
      <c r="A198" s="345"/>
      <c r="P198" s="312"/>
      <c r="Q198" s="2986"/>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62" customFormat="1" ht="12" customHeight="1">
      <c r="A199" s="345"/>
      <c r="P199" s="312"/>
      <c r="Q199" s="2986"/>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62" customFormat="1" ht="12" customHeight="1">
      <c r="A200" s="345"/>
      <c r="P200" s="312"/>
      <c r="Q200" s="2986"/>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62" customFormat="1" ht="12" customHeight="1">
      <c r="A201" s="345"/>
      <c r="P201" s="312"/>
      <c r="Q201" s="2986"/>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62" customFormat="1" ht="12" customHeight="1">
      <c r="A202" s="345"/>
      <c r="P202" s="312"/>
      <c r="Q202" s="2986"/>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62" customFormat="1" ht="12" customHeight="1">
      <c r="A203" s="345"/>
      <c r="P203" s="312"/>
      <c r="Q203" s="2986"/>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62" customFormat="1" ht="12" customHeight="1">
      <c r="A204" s="345"/>
      <c r="P204" s="312"/>
      <c r="Q204" s="2986"/>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62" customFormat="1" ht="12" customHeight="1">
      <c r="A205" s="345"/>
      <c r="P205" s="312"/>
      <c r="Q205" s="2986"/>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62" customFormat="1" ht="12" customHeight="1">
      <c r="A206" s="345"/>
      <c r="P206" s="312"/>
      <c r="Q206" s="2986"/>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62" customFormat="1" ht="12" customHeight="1">
      <c r="A207" s="345"/>
      <c r="P207" s="312"/>
      <c r="Q207" s="2986"/>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62" customFormat="1" ht="12" customHeight="1">
      <c r="A208" s="345"/>
      <c r="P208" s="312"/>
      <c r="Q208" s="2986"/>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62" customFormat="1" ht="12" customHeight="1">
      <c r="A209" s="345"/>
      <c r="P209" s="312"/>
      <c r="Q209" s="2986"/>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62" customFormat="1" ht="12" customHeight="1">
      <c r="A210" s="345"/>
      <c r="P210" s="312"/>
      <c r="Q210" s="2986"/>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62" customFormat="1" ht="12" customHeight="1">
      <c r="A211" s="345"/>
      <c r="P211" s="2987"/>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62" customFormat="1" ht="12" customHeight="1">
      <c r="A212" s="345"/>
      <c r="P212" s="312"/>
      <c r="Q212" s="2986"/>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62" customFormat="1" ht="12" customHeight="1">
      <c r="A213" s="345"/>
      <c r="P213" s="312"/>
      <c r="Q213" s="2986"/>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62" customFormat="1" ht="12" customHeight="1">
      <c r="A214" s="345"/>
      <c r="P214" s="312"/>
      <c r="Q214" s="2986"/>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62" customFormat="1" ht="12" customHeight="1">
      <c r="A215" s="345"/>
      <c r="P215" s="2987"/>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62" customFormat="1" ht="12" customHeight="1">
      <c r="A216" s="345"/>
      <c r="P216" s="312"/>
      <c r="Q216" s="2986"/>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62" customFormat="1" ht="12" customHeight="1">
      <c r="A217" s="345"/>
      <c r="P217" s="312"/>
      <c r="Q217" s="2986"/>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62" customFormat="1" ht="12" customHeight="1">
      <c r="A218" s="345"/>
      <c r="P218" s="312"/>
      <c r="Q218" s="2986"/>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62" customFormat="1" ht="12" customHeight="1">
      <c r="A219" s="345"/>
      <c r="P219" s="312"/>
      <c r="Q219" s="2986"/>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62" customFormat="1" ht="12" customHeight="1">
      <c r="A220" s="345"/>
      <c r="P220" s="312"/>
      <c r="Q220" s="2986"/>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62" customFormat="1" ht="12" customHeight="1">
      <c r="A221" s="345"/>
      <c r="P221" s="312"/>
      <c r="Q221" s="2986"/>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62" customFormat="1" ht="12" customHeight="1">
      <c r="A222" s="345"/>
      <c r="P222" s="312"/>
      <c r="Q222" s="2986"/>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62" customFormat="1" ht="12" customHeight="1">
      <c r="A223" s="345"/>
      <c r="P223" s="312"/>
      <c r="Q223" s="2986"/>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62" customFormat="1" ht="12" customHeight="1">
      <c r="A224" s="345"/>
      <c r="P224" s="312"/>
      <c r="Q224" s="2986"/>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62" customFormat="1" ht="12" customHeight="1">
      <c r="A225" s="345"/>
      <c r="P225" s="312"/>
      <c r="Q225" s="2986"/>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62" customFormat="1" ht="12" customHeight="1">
      <c r="A226" s="345"/>
      <c r="P226" s="312"/>
      <c r="Q226" s="2986"/>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62" customFormat="1" ht="12" customHeight="1">
      <c r="A227" s="345"/>
      <c r="P227" s="312"/>
      <c r="Q227" s="2986"/>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62" customFormat="1" ht="12" customHeight="1">
      <c r="A228" s="345"/>
      <c r="P228" s="312"/>
      <c r="Q228" s="2986"/>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62" customFormat="1" ht="12" customHeight="1">
      <c r="A229" s="345"/>
      <c r="P229" s="2988"/>
      <c r="Q229" s="2986"/>
      <c r="R229" s="1456"/>
      <c r="S229" s="1456"/>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62" customFormat="1" ht="12" customHeight="1">
      <c r="A230" s="345"/>
      <c r="P230" s="312"/>
      <c r="Q230" s="2986"/>
      <c r="R230" s="1456"/>
      <c r="S230" s="1456"/>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62" customFormat="1" ht="12" customHeight="1">
      <c r="A231" s="345"/>
      <c r="P231" s="312"/>
      <c r="Q231" s="2986"/>
      <c r="R231" s="1456"/>
      <c r="S231" s="1456"/>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62" customFormat="1" ht="12" customHeight="1">
      <c r="A232" s="345"/>
      <c r="P232" s="312"/>
      <c r="Q232" s="2986"/>
      <c r="R232" s="1456"/>
      <c r="S232" s="1456"/>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62"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62" customFormat="1" ht="12" customHeight="1">
      <c r="A234" s="345"/>
      <c r="P234" s="2987"/>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62" customFormat="1" ht="12" customHeight="1">
      <c r="A235" s="345"/>
      <c r="P235" s="312"/>
      <c r="Q235" s="2986"/>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62" customFormat="1" ht="12" customHeight="1">
      <c r="A236" s="345"/>
      <c r="P236" s="312"/>
      <c r="Q236" s="2986"/>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62" customFormat="1" ht="12" customHeight="1">
      <c r="A237" s="345"/>
      <c r="P237" s="2988"/>
      <c r="Q237" s="2986"/>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62" customFormat="1" ht="12" customHeight="1">
      <c r="A238" s="345"/>
      <c r="P238" s="312"/>
      <c r="Q238" s="2986"/>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62" customFormat="1" ht="12" customHeight="1">
      <c r="A239" s="345"/>
      <c r="P239" s="312"/>
      <c r="Q239" s="2986"/>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62" customFormat="1" ht="12" customHeight="1">
      <c r="A240" s="345"/>
      <c r="P240" s="312"/>
      <c r="Q240" s="2986"/>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62" customFormat="1" ht="12" customHeight="1">
      <c r="A241" s="345"/>
      <c r="P241" s="312"/>
      <c r="Q241" s="2986"/>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62" customFormat="1" ht="12" customHeight="1">
      <c r="A242" s="345"/>
      <c r="P242" s="312"/>
      <c r="Q242" s="2986"/>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62" customFormat="1" ht="12" customHeight="1">
      <c r="A243" s="345"/>
      <c r="P243" s="312"/>
      <c r="Q243" s="2986"/>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62" customFormat="1" ht="12" customHeight="1">
      <c r="A244" s="345"/>
      <c r="P244" s="312"/>
      <c r="Q244" s="2986"/>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62" customFormat="1" ht="12" customHeight="1">
      <c r="A245" s="345"/>
      <c r="P245" s="2988"/>
      <c r="Q245" s="2986"/>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62" customFormat="1" ht="12" customHeight="1">
      <c r="A246" s="345"/>
      <c r="P246" s="312"/>
      <c r="Q246" s="2986"/>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62" customFormat="1" ht="12" customHeight="1">
      <c r="A247" s="345"/>
      <c r="P247" s="312"/>
      <c r="Q247" s="2986"/>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62" customFormat="1" ht="12" customHeight="1">
      <c r="A248" s="345"/>
      <c r="P248" s="312"/>
      <c r="Q248" s="2986"/>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62" customFormat="1" ht="12" customHeight="1">
      <c r="A249" s="345"/>
      <c r="P249" s="312"/>
      <c r="Q249" s="2986"/>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62" customFormat="1" ht="12" customHeight="1">
      <c r="A250" s="345"/>
      <c r="P250" s="312"/>
      <c r="Q250" s="2986"/>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62" customFormat="1" ht="12" customHeight="1">
      <c r="A251" s="345"/>
      <c r="P251" s="312"/>
      <c r="Q251" s="2986"/>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62" customFormat="1" ht="12" customHeight="1">
      <c r="A252" s="345"/>
      <c r="P252" s="312"/>
      <c r="Q252" s="2986"/>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62" customFormat="1" ht="12" customHeight="1">
      <c r="A253" s="345"/>
      <c r="P253" s="312"/>
      <c r="Q253" s="2986"/>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62" customFormat="1" ht="12" customHeight="1">
      <c r="A254" s="345"/>
      <c r="P254" s="312"/>
      <c r="Q254" s="2986"/>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62" customFormat="1" ht="12" customHeight="1">
      <c r="A255" s="345"/>
      <c r="P255" s="312"/>
      <c r="Q255" s="2986"/>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62" customFormat="1" ht="12" customHeight="1">
      <c r="A256" s="345"/>
      <c r="P256" s="312"/>
      <c r="Q256" s="2986"/>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62" customFormat="1" ht="12" customHeight="1">
      <c r="A257" s="345"/>
      <c r="P257" s="312"/>
      <c r="Q257" s="2986"/>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62" customFormat="1" ht="12" customHeight="1">
      <c r="A258" s="345"/>
      <c r="P258" s="312"/>
      <c r="Q258" s="2986"/>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62" customFormat="1" ht="12" customHeight="1">
      <c r="A259" s="345"/>
      <c r="P259" s="312"/>
      <c r="Q259" s="2986"/>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62" customFormat="1" ht="12" customHeight="1">
      <c r="A260" s="345"/>
      <c r="P260" s="679"/>
      <c r="Q260" s="2986"/>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62" customFormat="1" ht="12" customHeight="1">
      <c r="A261" s="345"/>
      <c r="P261" s="312"/>
      <c r="Q261" s="2986"/>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62" customFormat="1" ht="12" customHeight="1">
      <c r="A262" s="345"/>
      <c r="P262" s="312"/>
      <c r="Q262" s="2986"/>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62" customFormat="1" ht="12" customHeight="1">
      <c r="A263" s="345"/>
      <c r="P263" s="312"/>
      <c r="Q263" s="2986"/>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62" customFormat="1" ht="12" customHeight="1">
      <c r="A264" s="345"/>
      <c r="P264" s="312"/>
      <c r="Q264" s="2986"/>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62" customFormat="1" ht="12" customHeight="1">
      <c r="A265" s="345"/>
      <c r="P265" s="312"/>
      <c r="Q265" s="2986"/>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62" customFormat="1" ht="12" customHeight="1">
      <c r="A266" s="345"/>
      <c r="P266" s="312"/>
      <c r="Q266" s="2986"/>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62" customFormat="1" ht="12" customHeight="1">
      <c r="A267" s="345"/>
      <c r="P267" s="312"/>
      <c r="Q267" s="2986"/>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62" customFormat="1" ht="12" customHeight="1">
      <c r="A268" s="345"/>
      <c r="P268" s="312"/>
      <c r="Q268" s="2986"/>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62" customFormat="1" ht="12" customHeight="1">
      <c r="A269" s="345"/>
      <c r="P269" s="312"/>
      <c r="Q269" s="2986"/>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62" customFormat="1" ht="12" customHeight="1">
      <c r="A270" s="345"/>
      <c r="P270" s="312"/>
      <c r="Q270" s="2986"/>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62" customFormat="1" ht="12" customHeight="1">
      <c r="A271" s="345"/>
      <c r="P271" s="312"/>
      <c r="Q271" s="2986"/>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62" customFormat="1" ht="12" customHeight="1">
      <c r="A272" s="345"/>
      <c r="P272" s="312"/>
      <c r="Q272" s="2986"/>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62" customFormat="1" ht="12" customHeight="1">
      <c r="A273" s="345"/>
      <c r="P273" s="312"/>
      <c r="Q273" s="2986"/>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62" customFormat="1" ht="12" customHeight="1">
      <c r="A274" s="345"/>
      <c r="P274" s="312"/>
      <c r="Q274" s="2986"/>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62" customFormat="1" ht="12" customHeight="1">
      <c r="A275" s="345"/>
      <c r="P275" s="312"/>
      <c r="Q275" s="2986"/>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62" customFormat="1" ht="12" customHeight="1">
      <c r="A276" s="345"/>
      <c r="P276" s="312"/>
      <c r="Q276" s="2986"/>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62" customFormat="1" ht="12" customHeight="1">
      <c r="A277" s="345"/>
      <c r="P277" s="312"/>
      <c r="Q277" s="2986"/>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62" customFormat="1" ht="12" customHeight="1">
      <c r="A278" s="345"/>
      <c r="P278" s="312"/>
      <c r="Q278" s="2986"/>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62" customFormat="1" ht="12" customHeight="1">
      <c r="A279" s="345"/>
      <c r="P279" s="312"/>
      <c r="Q279" s="2986"/>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62" customFormat="1" ht="12" customHeight="1">
      <c r="A280" s="345"/>
      <c r="P280" s="312"/>
      <c r="Q280" s="2986"/>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62" customFormat="1" ht="12" customHeight="1">
      <c r="A281" s="345"/>
      <c r="P281" s="312"/>
      <c r="Q281" s="2986"/>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62" customFormat="1" ht="12" customHeight="1">
      <c r="A282" s="345"/>
      <c r="P282" s="312"/>
      <c r="Q282" s="2986"/>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62" customFormat="1" ht="12" customHeight="1">
      <c r="A283" s="345"/>
      <c r="P283" s="312"/>
      <c r="Q283" s="2986"/>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62" customFormat="1" ht="12" customHeight="1">
      <c r="A284" s="345"/>
      <c r="P284" s="312"/>
      <c r="Q284" s="2986"/>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62" customFormat="1" ht="12" customHeight="1">
      <c r="A285" s="345"/>
      <c r="P285" s="312"/>
      <c r="Q285" s="2986"/>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62" customFormat="1" ht="12" customHeight="1">
      <c r="A286" s="345"/>
      <c r="P286" s="312"/>
      <c r="Q286" s="2986"/>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62" customFormat="1" ht="12" customHeight="1">
      <c r="A287" s="345"/>
      <c r="P287" s="2988"/>
      <c r="Q287" s="2986"/>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62" customFormat="1" ht="12" customHeight="1">
      <c r="A288" s="345"/>
      <c r="P288" s="312"/>
      <c r="Q288" s="2986"/>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62" customFormat="1" ht="12" customHeight="1">
      <c r="A289" s="345"/>
      <c r="P289" s="312"/>
      <c r="Q289" s="2986"/>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62" customFormat="1" ht="12" customHeight="1">
      <c r="A290" s="345"/>
      <c r="P290" s="312"/>
      <c r="Q290" s="2986"/>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62" customFormat="1" ht="12" customHeight="1">
      <c r="A291" s="345"/>
      <c r="P291" s="312"/>
      <c r="Q291" s="2986"/>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62" customFormat="1" ht="12" customHeight="1">
      <c r="A292" s="345"/>
      <c r="P292" s="312"/>
      <c r="Q292" s="2986"/>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62" customFormat="1" ht="12" customHeight="1">
      <c r="A293" s="345"/>
      <c r="P293" s="312"/>
      <c r="Q293" s="2986"/>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62" customFormat="1" ht="12" customHeight="1">
      <c r="A294" s="345"/>
      <c r="P294" s="312"/>
      <c r="Q294" s="2986"/>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62" customFormat="1" ht="12" customHeight="1">
      <c r="A295" s="345"/>
      <c r="P295" s="312"/>
      <c r="Q295" s="2986"/>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62" customFormat="1" ht="12" customHeight="1">
      <c r="A296" s="345"/>
      <c r="P296" s="312"/>
      <c r="Q296" s="2986"/>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62" customFormat="1" ht="12" customHeight="1">
      <c r="A297" s="345"/>
      <c r="P297" s="312"/>
      <c r="Q297" s="2986"/>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62"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62" customFormat="1" ht="12" customHeight="1">
      <c r="A299" s="345"/>
      <c r="P299" s="312"/>
      <c r="Q299" s="2986"/>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62" customFormat="1" ht="12" customHeight="1">
      <c r="A300" s="345"/>
      <c r="P300" s="312"/>
      <c r="Q300" s="2986"/>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62" customFormat="1" ht="12" customHeight="1">
      <c r="A301" s="345"/>
      <c r="P301" s="312"/>
      <c r="Q301" s="2986"/>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62" customFormat="1" ht="12" customHeight="1">
      <c r="A302" s="345"/>
      <c r="P302" s="2987"/>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62" customFormat="1" ht="12" customHeight="1">
      <c r="A303" s="345"/>
      <c r="P303" s="312"/>
      <c r="Q303" s="2986"/>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62" customFormat="1" ht="12" customHeight="1">
      <c r="A304" s="345"/>
      <c r="P304" s="312"/>
      <c r="Q304" s="2986"/>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62" customFormat="1" ht="12" customHeight="1">
      <c r="A305" s="345"/>
      <c r="P305" s="312"/>
      <c r="Q305" s="2986"/>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62" customFormat="1" ht="12" customHeight="1">
      <c r="A306" s="345"/>
      <c r="P306" s="2987"/>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62" customFormat="1" ht="12" customHeight="1">
      <c r="A307" s="345"/>
      <c r="P307" s="312"/>
      <c r="Q307" s="2986"/>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62" customFormat="1" ht="12" customHeight="1">
      <c r="A308" s="345"/>
      <c r="P308" s="312"/>
      <c r="Q308" s="2986"/>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62"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62" customFormat="1" ht="12" customHeight="1">
      <c r="A310" s="345"/>
      <c r="P310" s="2988"/>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62" customFormat="1" ht="12" customHeight="1">
      <c r="A311" s="345"/>
      <c r="P311" s="312"/>
      <c r="Q311" s="2986"/>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62" customFormat="1" ht="12" customHeight="1">
      <c r="A312" s="345"/>
      <c r="P312" s="312"/>
      <c r="Q312" s="2986"/>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62" customFormat="1" ht="12" customHeight="1">
      <c r="A313" s="345"/>
      <c r="P313" s="312"/>
      <c r="Q313" s="2986"/>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62" customFormat="1" ht="12" customHeight="1">
      <c r="A314" s="345"/>
      <c r="P314" s="2987"/>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62" customFormat="1" ht="12" customHeight="1">
      <c r="A315" s="345"/>
      <c r="P315" s="312"/>
      <c r="Q315" s="2986"/>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62" customFormat="1" ht="12" customHeight="1">
      <c r="A316" s="345"/>
      <c r="P316" s="2988"/>
      <c r="Q316" s="2986"/>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62"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62" customFormat="1" ht="12" customHeight="1">
      <c r="A318" s="345"/>
      <c r="P318" s="312"/>
      <c r="Q318" s="2986"/>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62" customFormat="1" ht="12" customHeight="1">
      <c r="A319" s="345"/>
      <c r="P319" s="312"/>
      <c r="Q319" s="2986"/>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62" customFormat="1" ht="12" customHeight="1">
      <c r="A320" s="345"/>
      <c r="P320" s="312"/>
      <c r="Q320" s="2986"/>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62"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62" customFormat="1" ht="12" customHeight="1">
      <c r="A322" s="345"/>
      <c r="P322" s="2987"/>
      <c r="Q322" s="2986"/>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62" customFormat="1" ht="12" customHeight="1">
      <c r="A323" s="345"/>
      <c r="P323" s="312"/>
      <c r="Q323" s="2986"/>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62" customFormat="1" ht="12" customHeight="1">
      <c r="A324" s="345"/>
      <c r="P324" s="312"/>
      <c r="Q324" s="2986"/>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62" customFormat="1" ht="12" customHeight="1">
      <c r="A325" s="345"/>
      <c r="P325" s="312"/>
      <c r="Q325" s="2986"/>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62" customFormat="1" ht="12" customHeight="1">
      <c r="A326" s="345"/>
      <c r="P326" s="312"/>
      <c r="Q326" s="2986"/>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62" customFormat="1" ht="12" customHeight="1">
      <c r="A327" s="345"/>
      <c r="P327" s="312"/>
      <c r="Q327" s="2986"/>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62" customFormat="1" ht="12" customHeight="1">
      <c r="A328" s="345"/>
      <c r="P328" s="312"/>
      <c r="Q328" s="2986"/>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62" customFormat="1" ht="12" customHeight="1">
      <c r="A329" s="345"/>
      <c r="P329" s="312"/>
      <c r="Q329" s="2986"/>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62" customFormat="1" ht="12" customHeight="1">
      <c r="A330" s="345"/>
      <c r="P330" s="312"/>
      <c r="Q330" s="2986"/>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62" customFormat="1" ht="12" customHeight="1">
      <c r="A331" s="345"/>
      <c r="P331" s="312"/>
      <c r="Q331" s="2986"/>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62" customFormat="1" ht="12" customHeight="1">
      <c r="A332" s="345"/>
      <c r="P332" s="312"/>
      <c r="Q332" s="2986"/>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62" customFormat="1" ht="12" customHeight="1">
      <c r="A333" s="345"/>
      <c r="P333" s="312"/>
      <c r="Q333" s="2986"/>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62" customFormat="1" ht="12" customHeight="1">
      <c r="A334" s="345"/>
      <c r="P334" s="312"/>
      <c r="Q334" s="2986"/>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62" customFormat="1" ht="12" customHeight="1">
      <c r="A335" s="345"/>
      <c r="P335" s="312"/>
      <c r="Q335" s="2986"/>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62" customFormat="1" ht="12" customHeight="1">
      <c r="A336" s="345"/>
      <c r="P336" s="312"/>
      <c r="Q336" s="2986"/>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62" customFormat="1" ht="12" customHeight="1">
      <c r="A337" s="345"/>
      <c r="P337" s="312"/>
      <c r="Q337" s="2986"/>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62" customFormat="1" ht="12" customHeight="1">
      <c r="A338" s="345"/>
      <c r="P338" s="312"/>
      <c r="Q338" s="2986"/>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62" customFormat="1" ht="12" customHeight="1">
      <c r="A339" s="345"/>
      <c r="P339" s="312"/>
      <c r="Q339" s="2986"/>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62" customFormat="1" ht="12" customHeight="1">
      <c r="A340" s="345"/>
      <c r="P340" s="2988"/>
      <c r="Q340" s="2986"/>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62" customFormat="1" ht="12" customHeight="1">
      <c r="A341" s="345"/>
      <c r="P341" s="312"/>
      <c r="Q341" s="2986"/>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62" customFormat="1" ht="12" customHeight="1">
      <c r="A342" s="345"/>
      <c r="P342" s="312"/>
      <c r="Q342" s="2986"/>
      <c r="R342" s="1456"/>
      <c r="S342" s="1456"/>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62" customFormat="1" ht="12" customHeight="1">
      <c r="A343" s="345"/>
      <c r="P343" s="312"/>
      <c r="Q343" s="2986"/>
      <c r="R343" s="1456"/>
      <c r="S343" s="1456"/>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62" customFormat="1" ht="12" customHeight="1">
      <c r="A344" s="345"/>
      <c r="P344" s="312"/>
      <c r="Q344" s="2986"/>
      <c r="R344" s="1456"/>
      <c r="S344" s="1456"/>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62" customFormat="1" ht="12" customHeight="1">
      <c r="A345" s="345"/>
      <c r="P345" s="312"/>
      <c r="Q345" s="345"/>
      <c r="R345" s="1456"/>
      <c r="S345" s="1456"/>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62" customFormat="1" ht="12" customHeight="1">
      <c r="A346" s="345"/>
      <c r="P346" s="2988"/>
      <c r="Q346" s="345"/>
      <c r="R346" s="1456"/>
      <c r="S346" s="1456"/>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62" customFormat="1" ht="12" customHeight="1">
      <c r="A347" s="345"/>
      <c r="P347" s="312"/>
      <c r="R347" s="1456"/>
      <c r="S347" s="1456"/>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62" customFormat="1" ht="12" customHeight="1">
      <c r="A348" s="345"/>
      <c r="P348" s="312"/>
      <c r="R348" s="1456"/>
      <c r="S348" s="1456"/>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62"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62"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62"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62"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62" customFormat="1" ht="12" customHeight="1">
      <c r="A353" s="345"/>
      <c r="P353" s="2988"/>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62"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62"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62"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62"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62"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62"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62" customFormat="1" ht="12" customHeight="1">
      <c r="A360" s="345"/>
      <c r="P360" s="43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62" customFormat="1" ht="12" customHeight="1">
      <c r="A361" s="345"/>
      <c r="P361" s="2988"/>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62" customFormat="1" ht="12" customHeight="1">
      <c r="A362" s="345"/>
      <c r="P362" s="2988"/>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62" customFormat="1" ht="12" customHeight="1">
      <c r="A363" s="345"/>
      <c r="P363" s="43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62" customFormat="1" ht="12" customHeight="1">
      <c r="A364" s="345"/>
      <c r="P364" s="43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62" customFormat="1" ht="12" customHeight="1">
      <c r="A365" s="345"/>
      <c r="P365" s="43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62" customFormat="1" ht="12" customHeight="1">
      <c r="A366" s="345"/>
      <c r="P366" s="43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62" customFormat="1" ht="12" customHeight="1">
      <c r="A367" s="345"/>
      <c r="P367" s="430"/>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62" customFormat="1" ht="12" customHeight="1">
      <c r="A368" s="345"/>
      <c r="P368" s="430"/>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62" customFormat="1" ht="12" customHeight="1">
      <c r="A369" s="345"/>
      <c r="P369" s="430"/>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62" customFormat="1" ht="12" customHeight="1">
      <c r="A370" s="345"/>
      <c r="P370" s="430"/>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62" customFormat="1" ht="12" customHeight="1">
      <c r="A371" s="345"/>
      <c r="P371" s="430"/>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62" customFormat="1" ht="12" customHeight="1">
      <c r="A372" s="345"/>
      <c r="P372" s="430"/>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62" customFormat="1" ht="12" customHeight="1">
      <c r="A373" s="345"/>
      <c r="P373" s="430"/>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62" customFormat="1" ht="12" customHeight="1">
      <c r="A374" s="345"/>
      <c r="P374" s="430"/>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62" customFormat="1" ht="12" customHeight="1">
      <c r="A375" s="345"/>
      <c r="P375" s="430"/>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62" customFormat="1" ht="12" customHeight="1">
      <c r="A376" s="345"/>
      <c r="P376" s="430"/>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62" customFormat="1" ht="12" customHeight="1">
      <c r="A377" s="345"/>
      <c r="P377" s="2988"/>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62" customFormat="1" ht="12" customHeight="1">
      <c r="A378" s="345"/>
      <c r="P378" s="2988"/>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62" customFormat="1" ht="12" customHeight="1">
      <c r="A379" s="345"/>
      <c r="P379" s="2988"/>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62" customFormat="1" ht="12" customHeight="1">
      <c r="A380" s="345"/>
      <c r="P380" s="430"/>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62" customFormat="1" ht="12" customHeight="1">
      <c r="A381" s="345"/>
      <c r="P381" s="430"/>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62" customFormat="1" ht="12" customHeight="1">
      <c r="A382" s="345"/>
      <c r="P382" s="2988"/>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62" customFormat="1" ht="12" customHeight="1">
      <c r="A383" s="345"/>
      <c r="P383" s="430"/>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62" customFormat="1" ht="12" customHeight="1">
      <c r="A384" s="345"/>
      <c r="P384" s="430"/>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62" customFormat="1" ht="12" customHeight="1">
      <c r="A385" s="345"/>
      <c r="P385" s="430"/>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62" customFormat="1" ht="12" customHeight="1">
      <c r="A386" s="345"/>
      <c r="P386" s="430"/>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62" customFormat="1" ht="12" customHeight="1">
      <c r="A387" s="345"/>
      <c r="P387" s="430"/>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62" customFormat="1" ht="12" customHeight="1">
      <c r="A388" s="345"/>
      <c r="P388" s="430"/>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62" customFormat="1" ht="12" customHeight="1">
      <c r="A389" s="345"/>
      <c r="P389" s="430"/>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62" customFormat="1" ht="12" customHeight="1">
      <c r="A390" s="345"/>
      <c r="P390" s="430"/>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62" customFormat="1" ht="12" customHeight="1">
      <c r="A391" s="345"/>
      <c r="P391" s="430"/>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62" customFormat="1" ht="12" customHeight="1">
      <c r="A392" s="345"/>
      <c r="P392" s="430"/>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62" customFormat="1" ht="12" customHeight="1">
      <c r="A393" s="345"/>
      <c r="P393" s="430"/>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62" customFormat="1" ht="12" customHeight="1">
      <c r="A394" s="345"/>
      <c r="P394" s="2988"/>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62" customFormat="1" ht="12" customHeight="1">
      <c r="A395" s="345"/>
      <c r="P395" s="430"/>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62" customFormat="1" ht="12" customHeight="1">
      <c r="A396" s="345"/>
      <c r="P396" s="430"/>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62" customFormat="1" ht="12" customHeight="1">
      <c r="A397" s="345"/>
      <c r="P397" s="430"/>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62" customFormat="1" ht="12" customHeight="1">
      <c r="A398" s="345"/>
      <c r="P398" s="430"/>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62" customFormat="1" ht="12" customHeight="1">
      <c r="A399" s="345"/>
      <c r="P399" s="430"/>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62" customFormat="1" ht="12" customHeight="1">
      <c r="A400" s="345"/>
      <c r="P400" s="430"/>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62" customFormat="1" ht="12" customHeight="1">
      <c r="A401" s="345"/>
      <c r="P401" s="430"/>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62" customFormat="1" ht="12" customHeight="1">
      <c r="A402" s="345"/>
      <c r="P402" s="430"/>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62" customFormat="1" ht="12" customHeight="1">
      <c r="A403" s="345"/>
      <c r="P403" s="430"/>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62" customFormat="1" ht="12" customHeight="1">
      <c r="A404" s="345"/>
      <c r="P404" s="2987"/>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62" customFormat="1" ht="12" customHeight="1">
      <c r="A405" s="345"/>
      <c r="P405" s="430"/>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62" customFormat="1" ht="12" customHeight="1">
      <c r="A406" s="345"/>
      <c r="P406" s="430"/>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62" customFormat="1" ht="12" customHeight="1">
      <c r="A407" s="345"/>
      <c r="P407" s="430"/>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62" customFormat="1" ht="12" customHeight="1">
      <c r="A408" s="345"/>
      <c r="P408" s="430"/>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62" customFormat="1" ht="12" customHeight="1">
      <c r="A409" s="345"/>
      <c r="P409" s="430"/>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62" customFormat="1" ht="12" customHeight="1">
      <c r="A410" s="345"/>
      <c r="P410" s="430"/>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62" customFormat="1" ht="12" customHeight="1">
      <c r="A411" s="345"/>
      <c r="P411" s="430"/>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62" customFormat="1" ht="12" customHeight="1">
      <c r="A412" s="345"/>
      <c r="P412" s="430"/>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62" customFormat="1" ht="12" customHeight="1">
      <c r="A413" s="345"/>
      <c r="P413" s="430"/>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62" customFormat="1" ht="12" customHeight="1">
      <c r="A414" s="345"/>
      <c r="P414" s="430"/>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62" customFormat="1" ht="12" customHeight="1">
      <c r="A415" s="345"/>
      <c r="P415" s="430"/>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62" customFormat="1" ht="12" customHeight="1">
      <c r="A416" s="345"/>
      <c r="P416" s="430"/>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62" customFormat="1" ht="12" customHeight="1">
      <c r="A417" s="345"/>
      <c r="P417" s="430"/>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62" customFormat="1" ht="12" customHeight="1">
      <c r="A418" s="345"/>
      <c r="P418" s="2988"/>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62" customFormat="1" ht="12" customHeight="1">
      <c r="A419" s="345"/>
      <c r="P419" s="430"/>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62" customFormat="1" ht="12" customHeight="1">
      <c r="A420" s="345"/>
      <c r="P420" s="430"/>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62" customFormat="1" ht="12" customHeight="1">
      <c r="A421" s="345"/>
      <c r="P421" s="430"/>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62" customFormat="1" ht="12" customHeight="1">
      <c r="A422" s="345"/>
      <c r="P422" s="2988"/>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62" customFormat="1" ht="12" customHeight="1">
      <c r="A423" s="345"/>
      <c r="P423" s="430"/>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62" customFormat="1" ht="12" customHeight="1">
      <c r="A424" s="345"/>
      <c r="P424" s="430"/>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62" customFormat="1" ht="12" customHeight="1">
      <c r="A425" s="345"/>
      <c r="P425" s="430"/>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62" customFormat="1" ht="12" customHeight="1">
      <c r="A426" s="345"/>
      <c r="P426" s="430"/>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62" customFormat="1" ht="12" customHeight="1">
      <c r="A427" s="345"/>
      <c r="P427" s="430"/>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62" customFormat="1" ht="12" customHeight="1">
      <c r="A428" s="345"/>
      <c r="P428" s="2988"/>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62" customFormat="1" ht="12" customHeight="1">
      <c r="A429" s="345"/>
      <c r="P429" s="430"/>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62" customFormat="1" ht="12" customHeight="1">
      <c r="A430" s="345"/>
      <c r="P430" s="430"/>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62" customFormat="1" ht="12" customHeight="1">
      <c r="A431" s="345"/>
      <c r="P431" s="430"/>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62" customFormat="1" ht="12" customHeight="1">
      <c r="A432" s="345"/>
      <c r="P432" s="430"/>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62" customFormat="1" ht="12" customHeight="1">
      <c r="A433" s="345"/>
      <c r="P433" s="430"/>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62" customFormat="1" ht="12" customHeight="1">
      <c r="A434" s="345"/>
      <c r="P434" s="430"/>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62" customFormat="1" ht="12" customHeight="1">
      <c r="A435" s="345"/>
      <c r="P435" s="430"/>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62" customFormat="1" ht="12" customHeight="1">
      <c r="A436" s="345"/>
      <c r="P436" s="430"/>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62" customFormat="1" ht="12" customHeight="1">
      <c r="A437" s="345"/>
      <c r="P437" s="430"/>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62" customFormat="1" ht="12" customHeight="1">
      <c r="A438" s="345"/>
      <c r="P438" s="430"/>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62" customFormat="1" ht="12" customHeight="1">
      <c r="A439" s="345"/>
      <c r="P439" s="430"/>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62" customFormat="1" ht="12" customHeight="1">
      <c r="A440" s="345"/>
      <c r="P440" s="430"/>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62" customFormat="1" ht="12" customHeight="1">
      <c r="A441" s="345"/>
      <c r="P441" s="2988"/>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62" customFormat="1" ht="12" customHeight="1">
      <c r="A442" s="345"/>
      <c r="P442" s="430"/>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62" customFormat="1" ht="12" customHeight="1">
      <c r="A443" s="345"/>
      <c r="P443" s="430"/>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62" customFormat="1" ht="12" customHeight="1">
      <c r="A444" s="345"/>
      <c r="P444" s="430"/>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62" customFormat="1" ht="12" customHeight="1">
      <c r="A445" s="345"/>
      <c r="P445" s="430"/>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62" customFormat="1" ht="12" customHeight="1">
      <c r="A446" s="345"/>
      <c r="P446" s="430"/>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62" customFormat="1" ht="12" customHeight="1">
      <c r="A447" s="345"/>
      <c r="P447" s="430"/>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62" customFormat="1" ht="12" customHeight="1">
      <c r="A448" s="345"/>
      <c r="P448" s="430"/>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62" customFormat="1" ht="12" customHeight="1">
      <c r="A449" s="345"/>
      <c r="P449" s="430"/>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62" customFormat="1" ht="12" customHeight="1">
      <c r="A450" s="345"/>
      <c r="P450" s="430"/>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62" customFormat="1" ht="12" customHeight="1">
      <c r="A451" s="345"/>
      <c r="P451" s="430"/>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62" customFormat="1" ht="12" customHeight="1">
      <c r="A452" s="345"/>
      <c r="P452" s="430"/>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62" customFormat="1" ht="12" customHeight="1">
      <c r="A453" s="345"/>
      <c r="P453" s="430"/>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62" customFormat="1" ht="12" customHeight="1">
      <c r="A454" s="345"/>
      <c r="P454" s="430"/>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62" customFormat="1" ht="12" customHeight="1">
      <c r="A455" s="345"/>
      <c r="P455" s="2988"/>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62" customFormat="1" ht="12" customHeight="1">
      <c r="A456" s="345"/>
      <c r="P456" s="430"/>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62" customFormat="1" ht="12" customHeight="1">
      <c r="A457" s="345"/>
      <c r="P457" s="2988"/>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62" customFormat="1" ht="12" customHeight="1">
      <c r="A458" s="345"/>
      <c r="P458" s="430"/>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62" customFormat="1" ht="12" customHeight="1">
      <c r="A459" s="345"/>
      <c r="P459" s="2988"/>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62" customFormat="1" ht="12" customHeight="1">
      <c r="A460" s="345"/>
      <c r="P460" s="430"/>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62" customFormat="1" ht="12" customHeight="1">
      <c r="A461" s="345"/>
      <c r="P461" s="430"/>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62" customFormat="1" ht="12" customHeight="1">
      <c r="A462" s="345"/>
      <c r="P462" s="430"/>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62" customFormat="1" ht="12" customHeight="1">
      <c r="A463" s="345"/>
      <c r="P463" s="430"/>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62" customFormat="1" ht="12" customHeight="1">
      <c r="A464" s="345"/>
      <c r="P464" s="430"/>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62" customFormat="1" ht="12" customHeight="1">
      <c r="A465" s="345"/>
      <c r="P465" s="430"/>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62" customFormat="1" ht="12" customHeight="1">
      <c r="A466" s="345"/>
      <c r="P466" s="430"/>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62" customFormat="1" ht="12" customHeight="1">
      <c r="A467" s="345"/>
      <c r="P467" s="430"/>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62" customFormat="1" ht="12" customHeight="1">
      <c r="A468" s="345"/>
      <c r="P468" s="430"/>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62" customFormat="1" ht="12" customHeight="1">
      <c r="A469" s="345"/>
      <c r="P469" s="430"/>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62" customFormat="1" ht="12" customHeight="1">
      <c r="A470" s="345"/>
      <c r="P470" s="430"/>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62" customFormat="1" ht="12" customHeight="1">
      <c r="A471" s="345"/>
      <c r="P471" s="430"/>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62" customFormat="1" ht="12" customHeight="1">
      <c r="A472" s="345"/>
      <c r="P472" s="430"/>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62" customFormat="1" ht="12" customHeight="1">
      <c r="A473" s="345"/>
      <c r="P473" s="430"/>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62" customFormat="1" ht="12" customHeight="1">
      <c r="A474" s="345"/>
      <c r="P474" s="430"/>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62" customFormat="1" ht="12" customHeight="1">
      <c r="A475" s="345"/>
      <c r="P475" s="2988"/>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62" customFormat="1" ht="12" customHeight="1">
      <c r="A476" s="345"/>
      <c r="P476" s="430"/>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62" customFormat="1" ht="12" customHeight="1">
      <c r="A477" s="345"/>
      <c r="P477" s="430"/>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62" customFormat="1" ht="12" customHeight="1">
      <c r="A478" s="345"/>
      <c r="P478" s="430"/>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62" customFormat="1" ht="12" customHeight="1">
      <c r="A479" s="345"/>
      <c r="P479" s="430"/>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62" customFormat="1" ht="12" customHeight="1">
      <c r="A480" s="345"/>
      <c r="P480" s="430"/>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62" customFormat="1" ht="12" customHeight="1">
      <c r="A481" s="345"/>
      <c r="P481" s="430"/>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62" customFormat="1" ht="12" customHeight="1">
      <c r="A482" s="345"/>
      <c r="P482" s="430"/>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62" customFormat="1" ht="12" customHeight="1">
      <c r="A483" s="345"/>
      <c r="P483" s="430"/>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62" customFormat="1" ht="12" customHeight="1">
      <c r="A484" s="345"/>
      <c r="P484" s="2988"/>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62" customFormat="1" ht="12" customHeight="1">
      <c r="A485" s="345"/>
      <c r="P485" s="2988"/>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62" customFormat="1" ht="12" customHeight="1">
      <c r="A486" s="345"/>
      <c r="P486" s="430"/>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62" customFormat="1" ht="12" customHeight="1">
      <c r="A487" s="345"/>
      <c r="P487" s="430"/>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62" customFormat="1" ht="12" customHeight="1">
      <c r="A488" s="345"/>
      <c r="P488" s="430"/>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62" customFormat="1" ht="12" customHeight="1">
      <c r="A489" s="345"/>
      <c r="P489" s="430"/>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62" customFormat="1" ht="12" customHeight="1">
      <c r="A490" s="345"/>
      <c r="P490" s="430"/>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62" customFormat="1" ht="12" customHeight="1">
      <c r="A491" s="345"/>
      <c r="P491" s="430"/>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62" customFormat="1" ht="12" customHeight="1">
      <c r="A492" s="345"/>
      <c r="P492" s="430"/>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62" customFormat="1" ht="12" customHeight="1">
      <c r="A493" s="345"/>
      <c r="P493" s="430"/>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62" customFormat="1" ht="12" customHeight="1">
      <c r="A494" s="345"/>
      <c r="P494" s="430"/>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62" customFormat="1" ht="12" customHeight="1">
      <c r="A495" s="345"/>
      <c r="P495" s="2988"/>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62" customFormat="1" ht="12" customHeight="1">
      <c r="A496" s="345"/>
      <c r="P496" s="430"/>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62" customFormat="1" ht="12" customHeight="1">
      <c r="A497" s="345"/>
      <c r="P497" s="2987"/>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62" customFormat="1" ht="12" customHeight="1">
      <c r="A498" s="345"/>
      <c r="P498" s="2987"/>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62" customFormat="1" ht="12" customHeight="1">
      <c r="A499" s="345"/>
      <c r="P499" s="430"/>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62" customFormat="1" ht="12" customHeight="1">
      <c r="A500" s="345"/>
      <c r="P500" s="430"/>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62" customFormat="1" ht="12" customHeight="1">
      <c r="A501" s="345"/>
      <c r="P501" s="430"/>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62" customFormat="1" ht="12" customHeight="1">
      <c r="A502" s="345"/>
      <c r="P502" s="430"/>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62" customFormat="1" ht="12" customHeight="1">
      <c r="A503" s="345"/>
      <c r="P503" s="430"/>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62" customFormat="1" ht="12" customHeight="1">
      <c r="A504" s="345"/>
      <c r="P504" s="430"/>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62" customFormat="1" ht="12" customHeight="1">
      <c r="A505" s="345"/>
      <c r="P505" s="430"/>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62" customFormat="1" ht="12" customHeight="1">
      <c r="A506" s="345"/>
      <c r="P506" s="430"/>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62" customFormat="1" ht="12" customHeight="1">
      <c r="A507" s="345"/>
      <c r="P507" s="430"/>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62" customFormat="1" ht="12" customHeight="1">
      <c r="A508" s="345"/>
      <c r="P508" s="430"/>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62" customFormat="1" ht="12" customHeight="1">
      <c r="A509" s="345"/>
      <c r="P509" s="430"/>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62" customFormat="1" ht="12" customHeight="1">
      <c r="A510" s="345"/>
      <c r="P510" s="430"/>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62" customFormat="1" ht="12" customHeight="1">
      <c r="A511" s="345"/>
      <c r="P511" s="430"/>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62" customFormat="1" ht="12" customHeight="1">
      <c r="A512" s="345"/>
      <c r="P512" s="430"/>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62" customFormat="1" ht="12" customHeight="1">
      <c r="A513" s="345"/>
      <c r="P513" s="2988"/>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62" customFormat="1" ht="12" customHeight="1">
      <c r="A514" s="345"/>
      <c r="P514" s="430"/>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62" customFormat="1" ht="12" customHeight="1">
      <c r="A515" s="345"/>
      <c r="P515" s="430"/>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62" customFormat="1" ht="12" customHeight="1">
      <c r="A516" s="345"/>
      <c r="P516" s="430"/>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62" customFormat="1" ht="12" customHeight="1">
      <c r="A517" s="345"/>
      <c r="P517" s="430"/>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62" customFormat="1" ht="12" customHeight="1">
      <c r="A518" s="345"/>
      <c r="P518" s="430"/>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62" customFormat="1" ht="12" customHeight="1">
      <c r="A519" s="345"/>
      <c r="P519" s="430"/>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62" customFormat="1" ht="12" customHeight="1">
      <c r="A520" s="345"/>
      <c r="P520" s="430"/>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62" customFormat="1" ht="12" customHeight="1">
      <c r="A521" s="345"/>
      <c r="P521" s="430"/>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62" customFormat="1" ht="12" customHeight="1">
      <c r="A522" s="345"/>
      <c r="P522" s="2988"/>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62" customFormat="1" ht="12" customHeight="1">
      <c r="A523" s="345"/>
      <c r="P523" s="430"/>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62" customFormat="1" ht="12" customHeight="1">
      <c r="A524" s="345"/>
      <c r="P524" s="430"/>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62" customFormat="1" ht="12" customHeight="1">
      <c r="A525" s="345"/>
      <c r="P525" s="430"/>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62" customFormat="1" ht="12" customHeight="1">
      <c r="A526" s="345"/>
      <c r="P526" s="430"/>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62" customFormat="1" ht="12" customHeight="1">
      <c r="A527" s="345"/>
      <c r="P527" s="430"/>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62" customFormat="1" ht="12" customHeight="1">
      <c r="A528" s="345"/>
      <c r="P528" s="430"/>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62" customFormat="1" ht="12" customHeight="1">
      <c r="A529" s="345"/>
      <c r="P529" s="430"/>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62" customFormat="1" ht="12" customHeight="1">
      <c r="A530" s="345"/>
      <c r="P530" s="430"/>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62" customFormat="1" ht="12" customHeight="1">
      <c r="A531" s="345"/>
      <c r="P531" s="430"/>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62" customFormat="1" ht="12" customHeight="1">
      <c r="A532" s="345"/>
      <c r="P532" s="430"/>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62" customFormat="1" ht="12" customHeight="1">
      <c r="A533" s="345"/>
      <c r="P533" s="430"/>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62" customFormat="1" ht="12" customHeight="1">
      <c r="A534" s="345"/>
      <c r="P534" s="430"/>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62" customFormat="1" ht="12" customHeight="1">
      <c r="A535" s="345"/>
      <c r="P535" s="430"/>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62" customFormat="1" ht="12" customHeight="1">
      <c r="A536" s="345"/>
      <c r="P536" s="430"/>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62" customFormat="1" ht="12" customHeight="1">
      <c r="A537" s="345"/>
      <c r="P537" s="430"/>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62" customFormat="1" ht="12" customHeight="1">
      <c r="A538" s="345"/>
      <c r="P538" s="430"/>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62" customFormat="1" ht="12" customHeight="1">
      <c r="A539" s="345"/>
      <c r="P539" s="430"/>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62" customFormat="1" ht="12" customHeight="1">
      <c r="A540" s="345"/>
      <c r="P540" s="2987"/>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62" customFormat="1" ht="12" customHeight="1">
      <c r="A541" s="345"/>
      <c r="P541" s="430"/>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62" customFormat="1" ht="12" customHeight="1">
      <c r="A542" s="345"/>
      <c r="P542" s="430"/>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62" customFormat="1" ht="12" customHeight="1">
      <c r="A543" s="345"/>
      <c r="P543" s="430"/>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62" customFormat="1" ht="12" customHeight="1">
      <c r="A544" s="345"/>
      <c r="P544" s="430"/>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62" customFormat="1" ht="12" customHeight="1">
      <c r="A545" s="345"/>
      <c r="P545" s="2988"/>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62" customFormat="1" ht="12" customHeight="1">
      <c r="A546" s="345"/>
      <c r="P546" s="430"/>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62" customFormat="1" ht="12" customHeight="1">
      <c r="A547" s="345"/>
      <c r="P547" s="430"/>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62" customFormat="1" ht="12" customHeight="1">
      <c r="A548" s="345"/>
      <c r="P548" s="2988"/>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62" customFormat="1" ht="12" customHeight="1">
      <c r="A549" s="345"/>
      <c r="P549" s="430"/>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62" customFormat="1" ht="12" customHeight="1">
      <c r="A550" s="345"/>
      <c r="P550" s="430"/>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62" customFormat="1" ht="12" customHeight="1">
      <c r="A551" s="345"/>
      <c r="P551" s="430"/>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62" customFormat="1" ht="12" customHeight="1">
      <c r="A552" s="345"/>
      <c r="P552" s="430"/>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62" customFormat="1" ht="12" customHeight="1">
      <c r="A553" s="345"/>
      <c r="P553" s="430"/>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62" customFormat="1" ht="12" customHeight="1">
      <c r="A554" s="345"/>
      <c r="P554" s="430"/>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62" customFormat="1" ht="12" customHeight="1">
      <c r="A555" s="345"/>
      <c r="P555" s="430"/>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62" customFormat="1" ht="12" customHeight="1">
      <c r="A556" s="345"/>
      <c r="P556" s="430"/>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62" customFormat="1" ht="12" customHeight="1">
      <c r="A557" s="345"/>
      <c r="P557" s="430"/>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62" customFormat="1" ht="12" customHeight="1">
      <c r="A558" s="345"/>
      <c r="P558" s="430"/>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62" customFormat="1" ht="12" customHeight="1">
      <c r="A559" s="345"/>
      <c r="P559" s="430"/>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62" customFormat="1" ht="12" customHeight="1">
      <c r="A560" s="345"/>
      <c r="P560" s="2988"/>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62" customFormat="1" ht="12" customHeight="1">
      <c r="A561" s="345"/>
      <c r="P561" s="430"/>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62" customFormat="1" ht="12" customHeight="1">
      <c r="A562" s="345"/>
      <c r="P562" s="430"/>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62" customFormat="1" ht="12" customHeight="1">
      <c r="A563" s="345"/>
      <c r="P563" s="2987"/>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62" customFormat="1" ht="12" customHeight="1">
      <c r="A564" s="345"/>
      <c r="P564" s="430"/>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62" customFormat="1" ht="12" customHeight="1">
      <c r="A565" s="345"/>
      <c r="P565" s="430"/>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62" customFormat="1" ht="12" customHeight="1">
      <c r="A566" s="345"/>
      <c r="P566" s="430"/>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62" customFormat="1" ht="12" customHeight="1">
      <c r="A567" s="345"/>
      <c r="P567" s="430"/>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62" customFormat="1" ht="12" customHeight="1">
      <c r="A568" s="345"/>
      <c r="P568" s="430"/>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62" customFormat="1" ht="12" customHeight="1">
      <c r="A569" s="345"/>
      <c r="P569" s="430"/>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62" customFormat="1" ht="12" customHeight="1">
      <c r="A570" s="345"/>
      <c r="P570" s="430"/>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62" customFormat="1" ht="12" customHeight="1">
      <c r="A571" s="345"/>
      <c r="P571" s="430"/>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62" customFormat="1" ht="12" customHeight="1">
      <c r="A572" s="345"/>
      <c r="P572" s="430"/>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62" customFormat="1" ht="12" customHeight="1">
      <c r="A573" s="345"/>
      <c r="P573" s="2988"/>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62" customFormat="1" ht="12" customHeight="1">
      <c r="A574" s="345"/>
      <c r="P574" s="2988"/>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62" customFormat="1" ht="12" customHeight="1">
      <c r="A575" s="345"/>
      <c r="P575" s="2988"/>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62" customFormat="1" ht="12" customHeight="1">
      <c r="A576" s="345"/>
      <c r="P576" s="430"/>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62" customFormat="1" ht="12" customHeight="1">
      <c r="A577" s="345"/>
      <c r="P577" s="430"/>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62" customFormat="1" ht="12" customHeight="1">
      <c r="A578" s="345"/>
      <c r="P578" s="430"/>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62" customFormat="1" ht="12" customHeight="1">
      <c r="A579" s="345"/>
      <c r="P579" s="430"/>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62" customFormat="1" ht="12" customHeight="1">
      <c r="A580" s="345"/>
      <c r="P580" s="430"/>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62" customFormat="1" ht="12" customHeight="1">
      <c r="A581" s="345"/>
      <c r="P581" s="430"/>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62" customFormat="1" ht="12" customHeight="1">
      <c r="A582" s="345"/>
      <c r="P582" s="430"/>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62" customFormat="1" ht="12" customHeight="1">
      <c r="A583" s="345"/>
      <c r="P583" s="430"/>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62" customFormat="1" ht="12" customHeight="1">
      <c r="A584" s="345"/>
      <c r="P584" s="430"/>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62" customFormat="1" ht="12" customHeight="1">
      <c r="A585" s="345"/>
      <c r="P585" s="430"/>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62" customFormat="1" ht="12" customHeight="1">
      <c r="A586" s="345"/>
      <c r="P586" s="430"/>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62" customFormat="1" ht="12" customHeight="1">
      <c r="A587" s="345"/>
      <c r="P587" s="430"/>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62" customFormat="1" ht="12" customHeight="1">
      <c r="A588" s="345"/>
      <c r="P588" s="2987"/>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62" customFormat="1" ht="12" customHeight="1">
      <c r="A589" s="345"/>
      <c r="P589" s="430"/>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62" customFormat="1" ht="12" customHeight="1">
      <c r="A590" s="345"/>
      <c r="P590" s="430"/>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62" customFormat="1" ht="12" customHeight="1">
      <c r="A591" s="345"/>
      <c r="P591" s="430"/>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62" customFormat="1" ht="12" customHeight="1">
      <c r="A592" s="345"/>
      <c r="P592" s="430"/>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62" customFormat="1" ht="12" customHeight="1">
      <c r="A593" s="345"/>
      <c r="P593" s="2988"/>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62" customFormat="1" ht="12" customHeight="1">
      <c r="A594" s="345"/>
      <c r="P594" s="430"/>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62" customFormat="1" ht="12" customHeight="1">
      <c r="A595" s="345"/>
      <c r="P595" s="430"/>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62" customFormat="1" ht="12" customHeight="1">
      <c r="A596" s="345"/>
      <c r="P596" s="430"/>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62" customFormat="1" ht="12" customHeight="1">
      <c r="A597" s="345"/>
      <c r="P597" s="430"/>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62" customFormat="1" ht="12" customHeight="1">
      <c r="A598" s="345"/>
      <c r="P598" s="430"/>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62" customFormat="1" ht="12" customHeight="1">
      <c r="A599" s="345"/>
      <c r="P599" s="430"/>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62" customFormat="1" ht="12" customHeight="1">
      <c r="A600" s="345"/>
      <c r="P600" s="430"/>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62" customFormat="1" ht="12" customHeight="1">
      <c r="A601" s="345"/>
      <c r="P601" s="430"/>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62" customFormat="1" ht="12" customHeight="1">
      <c r="A602" s="345"/>
      <c r="P602" s="430"/>
      <c r="R602" s="1456" t="s">
        <v>96</v>
      </c>
      <c r="S602" s="1456" t="s">
        <v>98</v>
      </c>
      <c r="T602" s="1456"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62" customFormat="1" ht="12" customHeight="1">
      <c r="A603" s="345"/>
      <c r="P603" s="430"/>
      <c r="R603" s="1456" t="s">
        <v>2661</v>
      </c>
      <c r="S603" s="1456" t="s">
        <v>658</v>
      </c>
      <c r="T603" s="2989" t="s">
        <v>2229</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62" customFormat="1" ht="12" customHeight="1">
      <c r="A604" s="345"/>
      <c r="P604" s="2988"/>
      <c r="R604" s="1456" t="s">
        <v>2662</v>
      </c>
      <c r="S604" s="1456" t="s">
        <v>333</v>
      </c>
      <c r="T604" s="2989" t="s">
        <v>2229</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62" customFormat="1" ht="12" customHeight="1">
      <c r="A605" s="345"/>
      <c r="P605" s="430"/>
      <c r="R605" s="1456" t="s">
        <v>2663</v>
      </c>
      <c r="S605" s="1456" t="s">
        <v>2581</v>
      </c>
      <c r="T605" s="2989" t="s">
        <v>2229</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62" customFormat="1" ht="12" customHeight="1">
      <c r="A606" s="345"/>
      <c r="P606" s="430"/>
      <c r="R606" s="1456" t="s">
        <v>2664</v>
      </c>
      <c r="S606" s="1456"/>
      <c r="T606" s="2989" t="s">
        <v>2229</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62" customFormat="1" ht="12" customHeight="1">
      <c r="A607" s="345"/>
      <c r="P607" s="430"/>
      <c r="R607" s="1456" t="s">
        <v>2665</v>
      </c>
      <c r="S607" s="1456" t="s">
        <v>2093</v>
      </c>
      <c r="T607" s="2989" t="s">
        <v>2229</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62" customFormat="1" ht="12" customHeight="1">
      <c r="A608" s="345"/>
      <c r="P608" s="430"/>
      <c r="R608" s="1456" t="s">
        <v>2666</v>
      </c>
      <c r="S608" s="1456" t="s">
        <v>2581</v>
      </c>
      <c r="T608" s="2989" t="s">
        <v>2229</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62" customFormat="1" ht="12" customHeight="1">
      <c r="A609" s="345"/>
      <c r="P609" s="430"/>
      <c r="R609" s="1456" t="s">
        <v>2667</v>
      </c>
      <c r="S609" s="1456" t="s">
        <v>1383</v>
      </c>
      <c r="T609" s="2989" t="s">
        <v>2229</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62" customFormat="1" ht="12" customHeight="1">
      <c r="A610" s="345"/>
      <c r="P610" s="430"/>
      <c r="R610" s="1456" t="s">
        <v>2668</v>
      </c>
      <c r="S610" s="1456" t="s">
        <v>2095</v>
      </c>
      <c r="T610" s="2989" t="s">
        <v>2229</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62" customFormat="1" ht="12" customHeight="1">
      <c r="A611" s="345"/>
      <c r="P611" s="430"/>
      <c r="R611" s="1456" t="s">
        <v>2669</v>
      </c>
      <c r="S611" s="1456" t="s">
        <v>699</v>
      </c>
      <c r="T611" s="2989" t="s">
        <v>2229</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62" customFormat="1" ht="12" customHeight="1">
      <c r="A612" s="345"/>
      <c r="P612" s="430"/>
      <c r="R612" s="1456" t="s">
        <v>2670</v>
      </c>
      <c r="S612" s="1456" t="s">
        <v>658</v>
      </c>
      <c r="T612" s="2989" t="s">
        <v>2229</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62" customFormat="1" ht="12" customHeight="1">
      <c r="A613" s="345"/>
      <c r="P613" s="430"/>
      <c r="R613" s="1456" t="s">
        <v>2671</v>
      </c>
      <c r="S613" s="1456" t="s">
        <v>2261</v>
      </c>
      <c r="T613" s="2989" t="s">
        <v>2229</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62" customFormat="1" ht="12" customHeight="1">
      <c r="A614" s="345"/>
      <c r="P614" s="430"/>
      <c r="R614" s="1456" t="s">
        <v>2672</v>
      </c>
      <c r="S614" s="1456" t="s">
        <v>2631</v>
      </c>
      <c r="T614" s="2989" t="s">
        <v>2229</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62" customFormat="1" ht="12" customHeight="1">
      <c r="A615" s="345"/>
      <c r="P615" s="430"/>
      <c r="R615" s="1456" t="s">
        <v>2335</v>
      </c>
      <c r="S615" s="1456" t="s">
        <v>2628</v>
      </c>
      <c r="T615" s="2989" t="s">
        <v>2229</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62" customFormat="1" ht="12" customHeight="1">
      <c r="A616" s="345"/>
      <c r="P616" s="430"/>
      <c r="R616" s="1456" t="s">
        <v>2673</v>
      </c>
      <c r="S616" s="1456" t="s">
        <v>2261</v>
      </c>
      <c r="T616" s="2989" t="s">
        <v>2229</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62" customFormat="1" ht="12" customHeight="1">
      <c r="A617" s="345"/>
      <c r="P617" s="430"/>
      <c r="R617" s="1456" t="s">
        <v>2674</v>
      </c>
      <c r="S617" s="1456" t="s">
        <v>2584</v>
      </c>
      <c r="T617" s="2989" t="s">
        <v>2229</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62" customFormat="1" ht="12" customHeight="1">
      <c r="A618" s="345"/>
      <c r="P618" s="2987"/>
      <c r="R618" s="1456" t="s">
        <v>2675</v>
      </c>
      <c r="S618" s="1456" t="s">
        <v>2093</v>
      </c>
      <c r="T618" s="2989" t="s">
        <v>2229</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62" customFormat="1" ht="12" customHeight="1">
      <c r="A619" s="345"/>
      <c r="P619" s="430"/>
      <c r="R619" s="1456" t="s">
        <v>1090</v>
      </c>
      <c r="S619" s="1456" t="s">
        <v>1520</v>
      </c>
      <c r="T619" s="2989" t="s">
        <v>2229</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62" customFormat="1" ht="12" customHeight="1">
      <c r="A620" s="345"/>
      <c r="P620" s="2988"/>
      <c r="R620" s="1456" t="s">
        <v>944</v>
      </c>
      <c r="S620" s="1456" t="s">
        <v>1148</v>
      </c>
      <c r="T620" s="2989" t="s">
        <v>2229</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62" customFormat="1" ht="12" customHeight="1">
      <c r="A621" s="345"/>
      <c r="P621" s="430"/>
      <c r="R621" s="1456" t="s">
        <v>1091</v>
      </c>
      <c r="S621" s="1456" t="s">
        <v>658</v>
      </c>
      <c r="T621" s="2989" t="s">
        <v>2229</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62" customFormat="1" ht="12" customHeight="1">
      <c r="A622" s="345"/>
      <c r="P622" s="430"/>
      <c r="R622" s="1456" t="s">
        <v>1092</v>
      </c>
      <c r="S622" s="1456" t="s">
        <v>1995</v>
      </c>
      <c r="T622" s="2989" t="s">
        <v>2229</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62" customFormat="1" ht="12" customHeight="1">
      <c r="A623" s="345"/>
      <c r="P623" s="2988"/>
      <c r="R623" s="1456" t="s">
        <v>1093</v>
      </c>
      <c r="S623" s="1456" t="s">
        <v>2091</v>
      </c>
      <c r="T623" s="2989" t="s">
        <v>2229</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62" customFormat="1" ht="12" customHeight="1">
      <c r="A624" s="345"/>
      <c r="P624" s="430"/>
      <c r="R624" s="1456" t="s">
        <v>1094</v>
      </c>
      <c r="S624" s="1456" t="s">
        <v>1141</v>
      </c>
      <c r="T624" s="2989" t="s">
        <v>2229</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62" customFormat="1" ht="12" customHeight="1">
      <c r="A625" s="345"/>
      <c r="P625" s="430"/>
      <c r="Q625" s="2990"/>
      <c r="R625" s="1456" t="s">
        <v>1095</v>
      </c>
      <c r="S625" s="1456" t="s">
        <v>1586</v>
      </c>
      <c r="T625" s="2989" t="s">
        <v>2229</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62" customFormat="1" ht="12" customHeight="1">
      <c r="A626" s="345"/>
      <c r="P626" s="430"/>
      <c r="R626" s="1456" t="s">
        <v>1096</v>
      </c>
      <c r="S626" s="1456" t="s">
        <v>2581</v>
      </c>
      <c r="T626" s="2989" t="s">
        <v>2229</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62" customFormat="1" ht="12" customHeight="1">
      <c r="A627" s="345"/>
      <c r="P627" s="2988"/>
      <c r="R627" s="1456" t="s">
        <v>1097</v>
      </c>
      <c r="S627" s="1456" t="s">
        <v>165</v>
      </c>
      <c r="T627" s="2989" t="s">
        <v>2229</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62" customFormat="1" ht="12" customHeight="1">
      <c r="A628" s="345"/>
      <c r="P628" s="2988"/>
      <c r="R628" s="1456" t="s">
        <v>1098</v>
      </c>
      <c r="S628" s="1456" t="s">
        <v>1390</v>
      </c>
      <c r="T628" s="2989" t="s">
        <v>2229</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62" customFormat="1" ht="12" customHeight="1">
      <c r="A629" s="345"/>
      <c r="P629" s="430"/>
      <c r="R629" s="1456" t="s">
        <v>1099</v>
      </c>
      <c r="S629" s="1456" t="s">
        <v>1586</v>
      </c>
      <c r="T629" s="2989" t="s">
        <v>2229</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62" customFormat="1" ht="12" customHeight="1">
      <c r="A630" s="345"/>
      <c r="P630" s="430"/>
      <c r="R630" s="1456" t="s">
        <v>1100</v>
      </c>
      <c r="S630" s="1456" t="s">
        <v>1155</v>
      </c>
      <c r="T630" s="2989" t="s">
        <v>2229</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62" customFormat="1" ht="12" customHeight="1">
      <c r="A631" s="345"/>
      <c r="P631" s="430"/>
      <c r="R631" s="1456" t="s">
        <v>1101</v>
      </c>
      <c r="S631" s="1456" t="s">
        <v>2091</v>
      </c>
      <c r="T631" s="2989" t="s">
        <v>2229</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62" customFormat="1" ht="12" customHeight="1">
      <c r="A632" s="345"/>
      <c r="P632" s="430"/>
      <c r="R632" s="563" t="s">
        <v>867</v>
      </c>
      <c r="S632" s="563" t="s">
        <v>913</v>
      </c>
      <c r="T632" s="2989" t="s">
        <v>2229</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62" customFormat="1" ht="12" customHeight="1">
      <c r="A633" s="345"/>
      <c r="P633" s="430"/>
      <c r="R633" s="1456" t="s">
        <v>1102</v>
      </c>
      <c r="S633" s="1456" t="s">
        <v>2584</v>
      </c>
      <c r="T633" s="2989" t="s">
        <v>2229</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62" customFormat="1" ht="12" customHeight="1">
      <c r="A634" s="345"/>
      <c r="P634" s="430"/>
      <c r="R634" s="1456" t="s">
        <v>1675</v>
      </c>
      <c r="S634" s="1456" t="s">
        <v>2628</v>
      </c>
      <c r="T634" s="2989" t="s">
        <v>2229</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62" customFormat="1" ht="12" customHeight="1">
      <c r="A635" s="345"/>
      <c r="P635" s="430"/>
      <c r="R635" s="1456" t="s">
        <v>1103</v>
      </c>
      <c r="S635" s="1456"/>
      <c r="T635" s="2989" t="s">
        <v>2229</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62" customFormat="1" ht="12" customHeight="1">
      <c r="A636" s="345"/>
      <c r="P636" s="430"/>
      <c r="R636" s="1456" t="s">
        <v>190</v>
      </c>
      <c r="S636" s="1456" t="s">
        <v>165</v>
      </c>
      <c r="T636" s="2989" t="s">
        <v>2229</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62" customFormat="1" ht="12" customHeight="1">
      <c r="A637" s="345"/>
      <c r="P637" s="430"/>
      <c r="R637" s="1456" t="s">
        <v>1104</v>
      </c>
      <c r="S637" s="1456" t="s">
        <v>181</v>
      </c>
      <c r="T637" s="2989" t="s">
        <v>2229</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62" customFormat="1" ht="12" customHeight="1">
      <c r="A638" s="345"/>
      <c r="P638" s="430"/>
      <c r="R638" s="1456" t="s">
        <v>2376</v>
      </c>
      <c r="S638" s="1456" t="s">
        <v>1259</v>
      </c>
      <c r="T638" s="2989" t="s">
        <v>2229</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62" customFormat="1" ht="12" customHeight="1">
      <c r="A639" s="345"/>
      <c r="P639" s="430"/>
      <c r="R639" s="1456" t="s">
        <v>1105</v>
      </c>
      <c r="S639" s="1456" t="s">
        <v>658</v>
      </c>
      <c r="T639" s="2989" t="s">
        <v>2229</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62" customFormat="1" ht="12" customHeight="1">
      <c r="A640" s="345"/>
      <c r="P640" s="430"/>
      <c r="R640" s="1456" t="s">
        <v>1106</v>
      </c>
      <c r="S640" s="1456" t="s">
        <v>658</v>
      </c>
      <c r="T640" s="2989" t="s">
        <v>2229</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62" customFormat="1" ht="12" customHeight="1">
      <c r="A641" s="345"/>
      <c r="P641" s="430"/>
      <c r="R641" s="1456" t="s">
        <v>1107</v>
      </c>
      <c r="S641" s="1456" t="s">
        <v>658</v>
      </c>
      <c r="T641" s="2989" t="s">
        <v>2229</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62" customFormat="1" ht="12" customHeight="1">
      <c r="A642" s="345"/>
      <c r="P642" s="430"/>
      <c r="R642" s="1456" t="s">
        <v>1108</v>
      </c>
      <c r="S642" s="1456" t="s">
        <v>658</v>
      </c>
      <c r="T642" s="2989" t="s">
        <v>2229</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62" customFormat="1" ht="12" customHeight="1">
      <c r="A643" s="345"/>
      <c r="P643" s="430"/>
      <c r="R643" s="1456" t="s">
        <v>1109</v>
      </c>
      <c r="S643" s="1456" t="s">
        <v>1737</v>
      </c>
      <c r="T643" s="2989" t="s">
        <v>2229</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62" customFormat="1" ht="12" customHeight="1">
      <c r="A644" s="345"/>
      <c r="P644" s="430"/>
      <c r="R644" s="1456" t="s">
        <v>1110</v>
      </c>
      <c r="S644" s="1456" t="s">
        <v>996</v>
      </c>
      <c r="T644" s="2989" t="s">
        <v>2229</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62" customFormat="1" ht="12" customHeight="1">
      <c r="A645" s="345"/>
      <c r="P645" s="430"/>
      <c r="R645" s="1456" t="s">
        <v>1111</v>
      </c>
      <c r="S645" s="1456" t="s">
        <v>124</v>
      </c>
      <c r="T645" s="2989" t="s">
        <v>2229</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62" customFormat="1" ht="12" customHeight="1">
      <c r="A646" s="345"/>
      <c r="P646" s="2988"/>
      <c r="R646" s="1456" t="s">
        <v>1112</v>
      </c>
      <c r="S646" s="1456" t="s">
        <v>658</v>
      </c>
      <c r="T646" s="2989" t="s">
        <v>2229</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62" customFormat="1" ht="12" customHeight="1">
      <c r="A647" s="345"/>
      <c r="P647" s="430"/>
      <c r="R647" s="1456" t="s">
        <v>1113</v>
      </c>
      <c r="S647" s="1456" t="s">
        <v>330</v>
      </c>
      <c r="T647" s="2989" t="s">
        <v>2229</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62" customFormat="1" ht="12" customHeight="1">
      <c r="A648" s="345"/>
      <c r="P648" s="430"/>
      <c r="R648" s="1456" t="s">
        <v>1114</v>
      </c>
      <c r="S648" s="1456" t="s">
        <v>334</v>
      </c>
      <c r="T648" s="2989" t="s">
        <v>2229</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62" customFormat="1" ht="12" customHeight="1">
      <c r="A649" s="345"/>
      <c r="P649" s="430"/>
      <c r="R649" s="1456" t="s">
        <v>871</v>
      </c>
      <c r="S649" s="1456" t="s">
        <v>1369</v>
      </c>
      <c r="T649" s="2989" t="s">
        <v>2229</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62" customFormat="1" ht="12" customHeight="1">
      <c r="A650" s="345"/>
      <c r="P650" s="430"/>
      <c r="R650" s="1456" t="s">
        <v>1115</v>
      </c>
      <c r="S650" s="1456" t="s">
        <v>699</v>
      </c>
      <c r="T650" s="2989" t="s">
        <v>2229</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62" customFormat="1" ht="12" customHeight="1">
      <c r="A651" s="345"/>
      <c r="P651" s="430"/>
      <c r="R651" s="1456" t="s">
        <v>1116</v>
      </c>
      <c r="S651" s="1456" t="s">
        <v>1586</v>
      </c>
      <c r="T651" s="2989" t="s">
        <v>2229</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62" customFormat="1" ht="12" customHeight="1">
      <c r="A652" s="345"/>
      <c r="P652" s="430"/>
      <c r="R652" s="1456" t="s">
        <v>1117</v>
      </c>
      <c r="S652" s="1456" t="s">
        <v>658</v>
      </c>
      <c r="T652" s="2989" t="s">
        <v>2229</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62" customFormat="1" ht="12" customHeight="1">
      <c r="A653" s="345"/>
      <c r="P653" s="430"/>
      <c r="R653" s="1456" t="s">
        <v>1118</v>
      </c>
      <c r="S653" s="1456" t="s">
        <v>691</v>
      </c>
      <c r="T653" s="2989" t="s">
        <v>2229</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62" customFormat="1" ht="12" customHeight="1">
      <c r="A654" s="345"/>
      <c r="P654" s="430"/>
      <c r="R654" s="1456" t="s">
        <v>1119</v>
      </c>
      <c r="S654" s="1456" t="s">
        <v>165</v>
      </c>
      <c r="T654" s="2989" t="s">
        <v>2229</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62" customFormat="1" ht="12" customHeight="1">
      <c r="A655" s="345"/>
      <c r="P655" s="2987"/>
      <c r="R655" s="1456" t="s">
        <v>1120</v>
      </c>
      <c r="S655" s="1456" t="s">
        <v>1995</v>
      </c>
      <c r="T655" s="2989" t="s">
        <v>2229</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62" customFormat="1" ht="12" customHeight="1">
      <c r="A656" s="345"/>
      <c r="P656" s="2988"/>
      <c r="R656" s="1456" t="s">
        <v>1121</v>
      </c>
      <c r="S656" s="1456" t="s">
        <v>2091</v>
      </c>
      <c r="T656" s="2989" t="s">
        <v>2229</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62" customFormat="1" ht="12" customHeight="1">
      <c r="A657" s="345"/>
      <c r="P657" s="430"/>
      <c r="R657" s="1456" t="s">
        <v>1122</v>
      </c>
      <c r="S657" s="1456" t="s">
        <v>658</v>
      </c>
      <c r="T657" s="2989" t="s">
        <v>2229</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62" customFormat="1" ht="12" customHeight="1">
      <c r="A658" s="345"/>
      <c r="P658" s="430"/>
      <c r="R658" s="1456" t="s">
        <v>1123</v>
      </c>
      <c r="S658" s="1456" t="s">
        <v>1737</v>
      </c>
      <c r="T658" s="2989" t="s">
        <v>2229</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62" customFormat="1" ht="12" customHeight="1">
      <c r="A659" s="345"/>
      <c r="P659" s="2988"/>
      <c r="R659" s="1456" t="s">
        <v>1124</v>
      </c>
      <c r="S659" s="1456" t="s">
        <v>2584</v>
      </c>
      <c r="T659" s="2989" t="s">
        <v>2229</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62" customFormat="1" ht="12" customHeight="1">
      <c r="A660" s="345"/>
      <c r="P660" s="430"/>
      <c r="R660" s="1456" t="s">
        <v>1125</v>
      </c>
      <c r="S660" s="1456" t="s">
        <v>165</v>
      </c>
      <c r="T660" s="2989" t="s">
        <v>2229</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62" customFormat="1" ht="12" customHeight="1">
      <c r="A661" s="345"/>
      <c r="P661" s="430"/>
      <c r="R661" s="1456" t="s">
        <v>1126</v>
      </c>
      <c r="S661" s="1456" t="s">
        <v>165</v>
      </c>
      <c r="T661" s="2989" t="s">
        <v>2229</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62" customFormat="1" ht="12" customHeight="1">
      <c r="A662" s="345"/>
      <c r="P662" s="430"/>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62" customFormat="1" ht="12" customHeight="1">
      <c r="A663" s="345"/>
      <c r="P663" s="430"/>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62" customFormat="1" ht="12" customHeight="1">
      <c r="A664" s="345"/>
      <c r="P664" s="430"/>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62" customFormat="1" ht="12" customHeight="1">
      <c r="A665" s="345"/>
      <c r="P665" s="430"/>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62" customFormat="1" ht="12" customHeight="1">
      <c r="A666" s="345"/>
      <c r="P666" s="430"/>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62" customFormat="1" ht="12" customHeight="1">
      <c r="A667" s="345"/>
      <c r="P667" s="2988"/>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62" customFormat="1" ht="12" customHeight="1">
      <c r="A668" s="345"/>
      <c r="P668" s="430"/>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62" customFormat="1" ht="12" customHeight="1">
      <c r="A669" s="345"/>
      <c r="P669" s="430"/>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62" customFormat="1" ht="12" customHeight="1">
      <c r="A670" s="345"/>
      <c r="P670" s="430"/>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62" customFormat="1" ht="12" customHeight="1">
      <c r="A671" s="345"/>
      <c r="P671" s="430"/>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62" customFormat="1" ht="12" customHeight="1">
      <c r="A672" s="345"/>
      <c r="P672" s="2988"/>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62" customFormat="1" ht="12" customHeight="1">
      <c r="A673" s="345"/>
      <c r="P673" s="430"/>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62" customFormat="1" ht="12" customHeight="1">
      <c r="A674" s="345"/>
      <c r="P674" s="430"/>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62" customFormat="1" ht="12" customHeight="1">
      <c r="A675" s="345"/>
      <c r="P675" s="430"/>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62" customFormat="1" ht="12" customHeight="1">
      <c r="A676" s="345"/>
      <c r="P676" s="430"/>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62" customFormat="1" ht="12" customHeight="1">
      <c r="A677" s="345"/>
      <c r="P677" s="430"/>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62" customFormat="1" ht="12" customHeight="1">
      <c r="A678" s="345"/>
      <c r="P678" s="2988"/>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62" customFormat="1" ht="12" customHeight="1">
      <c r="A679" s="345"/>
      <c r="P679" s="430"/>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62" customFormat="1" ht="12" customHeight="1">
      <c r="A680" s="345"/>
      <c r="P680" s="430"/>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62" customFormat="1" ht="12" customHeight="1">
      <c r="A681" s="345"/>
      <c r="P681" s="430"/>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62" customFormat="1" ht="12" customHeight="1">
      <c r="A682" s="345"/>
      <c r="P682" s="430"/>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62" customFormat="1" ht="12" customHeight="1">
      <c r="A683" s="345"/>
      <c r="P683" s="430"/>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62" customFormat="1" ht="12" customHeight="1">
      <c r="A684" s="345"/>
      <c r="P684" s="430"/>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62" customFormat="1" ht="12" customHeight="1">
      <c r="A685" s="345"/>
      <c r="P685" s="430"/>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62" customFormat="1" ht="12" customHeight="1">
      <c r="A686" s="345"/>
      <c r="P686" s="430"/>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62" customFormat="1" ht="12" customHeight="1">
      <c r="A687" s="345"/>
      <c r="P687" s="430"/>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62" customFormat="1" ht="12" customHeight="1">
      <c r="A688" s="345"/>
      <c r="P688" s="430"/>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62" customFormat="1" ht="12" customHeight="1">
      <c r="A689" s="345"/>
      <c r="P689" s="2988"/>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62" customFormat="1" ht="12" customHeight="1">
      <c r="A690" s="345"/>
      <c r="P690" s="430"/>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62" customFormat="1" ht="12" customHeight="1">
      <c r="A691" s="345"/>
      <c r="P691" s="430"/>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62" customFormat="1" ht="12" customHeight="1">
      <c r="A692" s="345"/>
      <c r="P692" s="430"/>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62" customFormat="1" ht="12" customHeight="1">
      <c r="A693" s="345"/>
      <c r="P693" s="430"/>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62" customFormat="1" ht="12" customHeight="1">
      <c r="A694" s="345"/>
      <c r="P694" s="430"/>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62" customFormat="1" ht="12" customHeight="1">
      <c r="A695" s="345"/>
      <c r="P695" s="430"/>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62" customFormat="1" ht="12" customHeight="1">
      <c r="A696" s="345"/>
      <c r="P696" s="430"/>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62" customFormat="1" ht="12" customHeight="1">
      <c r="A697" s="345"/>
      <c r="P697" s="430"/>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62" customFormat="1" ht="12" customHeight="1">
      <c r="A698" s="345"/>
      <c r="P698" s="430"/>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62" customFormat="1" ht="12" customHeight="1">
      <c r="A699" s="345"/>
      <c r="P699" s="430"/>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62" customFormat="1" ht="12" customHeight="1">
      <c r="A700" s="345"/>
      <c r="P700" s="430"/>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62" customFormat="1" ht="12" customHeight="1">
      <c r="A701" s="345"/>
      <c r="P701" s="2988"/>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62" customFormat="1" ht="12" customHeight="1">
      <c r="A702" s="345"/>
      <c r="P702" s="2988"/>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62" customFormat="1" ht="12" customHeight="1">
      <c r="A703" s="345"/>
      <c r="P703" s="430"/>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62" customFormat="1" ht="12" customHeight="1">
      <c r="A704" s="345"/>
      <c r="P704" s="430"/>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62" customFormat="1" ht="12" customHeight="1">
      <c r="A705" s="345"/>
      <c r="P705" s="430"/>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62" customFormat="1" ht="12" customHeight="1">
      <c r="A706" s="345"/>
      <c r="P706" s="430"/>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62" customFormat="1" ht="12" customHeight="1">
      <c r="A707" s="345"/>
      <c r="P707" s="430"/>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62" customFormat="1" ht="12" customHeight="1">
      <c r="A708" s="345"/>
      <c r="P708" s="430"/>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62" customFormat="1" ht="12" customHeight="1">
      <c r="A709" s="345"/>
      <c r="P709" s="430"/>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62" customFormat="1" ht="12" customHeight="1">
      <c r="A710" s="345"/>
      <c r="P710" s="430"/>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62" customFormat="1" ht="12" customHeight="1">
      <c r="A711" s="345"/>
      <c r="P711" s="430"/>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62" customFormat="1" ht="12" customHeight="1">
      <c r="A712" s="345"/>
      <c r="P712" s="430"/>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62" customFormat="1" ht="12" customHeight="1">
      <c r="A713" s="345"/>
      <c r="P713" s="430"/>
      <c r="Q713" s="2990"/>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62" customFormat="1" ht="12" customHeight="1">
      <c r="A714" s="345"/>
      <c r="P714" s="430"/>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62" customFormat="1" ht="12" customHeight="1">
      <c r="A715" s="345"/>
      <c r="P715" s="430"/>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62" customFormat="1" ht="12" customHeight="1">
      <c r="A716" s="345"/>
      <c r="P716" s="430"/>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62" customFormat="1" ht="12" customHeight="1">
      <c r="A717" s="345"/>
      <c r="P717" s="430"/>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62" customFormat="1" ht="12" customHeight="1">
      <c r="A718" s="345"/>
      <c r="P718" s="2987"/>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62" customFormat="1" ht="12" customHeight="1">
      <c r="A719" s="345"/>
      <c r="P719" s="430"/>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62" customFormat="1" ht="12" customHeight="1">
      <c r="A720" s="345"/>
      <c r="P720" s="430"/>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62" customFormat="1" ht="12" customHeight="1">
      <c r="A721" s="345"/>
      <c r="P721" s="430"/>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62" customFormat="1" ht="12" customHeight="1">
      <c r="A722" s="345"/>
      <c r="P722" s="430"/>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62" customFormat="1" ht="12" customHeight="1">
      <c r="A723" s="345"/>
      <c r="P723" s="430"/>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62" customFormat="1" ht="12" customHeight="1">
      <c r="A724" s="345"/>
      <c r="P724" s="430"/>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62" customFormat="1" ht="12" customHeight="1">
      <c r="A725" s="345"/>
      <c r="P725" s="430"/>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62" customFormat="1" ht="12" customHeight="1">
      <c r="A726" s="345"/>
      <c r="P726" s="430"/>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62" customFormat="1" ht="12" customHeight="1">
      <c r="A727" s="345"/>
      <c r="P727" s="430"/>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62" customFormat="1" ht="12" customHeight="1">
      <c r="A728" s="345"/>
      <c r="P728" s="430"/>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62" customFormat="1" ht="12" customHeight="1">
      <c r="A729" s="345"/>
      <c r="P729" s="430"/>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62" customFormat="1" ht="12" customHeight="1">
      <c r="A730" s="345"/>
      <c r="P730" s="2988"/>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62" customFormat="1" ht="12" customHeight="1">
      <c r="A731" s="345"/>
      <c r="P731" s="430"/>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62" customFormat="1" ht="12" customHeight="1">
      <c r="A732" s="345"/>
      <c r="P732" s="430"/>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62" customFormat="1" ht="12" customHeight="1">
      <c r="A733" s="345"/>
      <c r="P733" s="430"/>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62" customFormat="1" ht="12" customHeight="1">
      <c r="A734" s="345"/>
      <c r="P734" s="430"/>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62" customFormat="1" ht="12" customHeight="1">
      <c r="A735" s="345"/>
      <c r="P735" s="430"/>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62" customFormat="1" ht="12" customHeight="1">
      <c r="A736" s="345"/>
      <c r="P736" s="430"/>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62" customFormat="1" ht="12" customHeight="1">
      <c r="A737" s="345"/>
      <c r="P737" s="430"/>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62" customFormat="1" ht="12" customHeight="1">
      <c r="A738" s="345"/>
      <c r="P738" s="430"/>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62" customFormat="1" ht="12" customHeight="1">
      <c r="A739" s="345"/>
      <c r="P739" s="430"/>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62" customFormat="1" ht="12" customHeight="1">
      <c r="A740" s="345"/>
      <c r="P740" s="2988"/>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62" customFormat="1" ht="12" customHeight="1">
      <c r="A741" s="345"/>
      <c r="P741" s="430"/>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62" customFormat="1" ht="12" customHeight="1">
      <c r="A742" s="345"/>
      <c r="P742" s="430"/>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62" customFormat="1" ht="12" customHeight="1">
      <c r="A743" s="345"/>
      <c r="P743" s="430"/>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62" customFormat="1" ht="12" customHeight="1">
      <c r="A744" s="345"/>
      <c r="P744" s="430"/>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62" customFormat="1" ht="12" customHeight="1">
      <c r="A745" s="345"/>
      <c r="P745" s="430"/>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62" customFormat="1" ht="12" customHeight="1">
      <c r="A746" s="345"/>
      <c r="P746" s="2987"/>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62" customFormat="1" ht="12" customHeight="1">
      <c r="A747" s="345"/>
      <c r="P747" s="430"/>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62" customFormat="1" ht="12" customHeight="1">
      <c r="A748" s="345"/>
      <c r="P748" s="430"/>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62" customFormat="1" ht="12" customHeight="1">
      <c r="A749" s="345"/>
      <c r="P749" s="2988"/>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62" customFormat="1" ht="12" customHeight="1">
      <c r="A750" s="345"/>
      <c r="P750" s="430"/>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62" customFormat="1" ht="12" customHeight="1">
      <c r="A751" s="345"/>
      <c r="P751" s="430"/>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62" customFormat="1" ht="12" customHeight="1">
      <c r="A752" s="345"/>
      <c r="P752" s="430"/>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62" customFormat="1" ht="12" customHeight="1">
      <c r="A753" s="345"/>
      <c r="P753" s="430"/>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62" customFormat="1" ht="12" customHeight="1">
      <c r="A754" s="345"/>
      <c r="P754" s="430"/>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62" customFormat="1" ht="12" customHeight="1">
      <c r="A755" s="345"/>
      <c r="P755" s="430"/>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62" customFormat="1" ht="12" customHeight="1">
      <c r="A756" s="345"/>
      <c r="P756" s="430"/>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62" customFormat="1" ht="12" customHeight="1">
      <c r="A757" s="345"/>
      <c r="P757" s="430"/>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62" customFormat="1" ht="12" customHeight="1">
      <c r="A758" s="345"/>
      <c r="P758" s="430"/>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62" customFormat="1" ht="12" customHeight="1">
      <c r="A759" s="345"/>
      <c r="P759" s="430"/>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62" customFormat="1" ht="12" customHeight="1">
      <c r="A760" s="345"/>
      <c r="P760" s="430"/>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62" customFormat="1" ht="12" customHeight="1">
      <c r="A761" s="345"/>
      <c r="P761" s="430"/>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62" customFormat="1" ht="12" customHeight="1">
      <c r="A762" s="345"/>
      <c r="P762" s="430"/>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62" customFormat="1" ht="12" customHeight="1">
      <c r="A763" s="345"/>
      <c r="P763" s="430"/>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62" customFormat="1" ht="12" customHeight="1">
      <c r="A764" s="345"/>
      <c r="P764" s="430"/>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62" customFormat="1" ht="12" customHeight="1">
      <c r="A765" s="345"/>
      <c r="P765" s="2987"/>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62" customFormat="1" ht="12" customHeight="1">
      <c r="A766" s="345"/>
      <c r="P766" s="430"/>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62" customFormat="1" ht="12" customHeight="1">
      <c r="A767" s="345"/>
      <c r="P767" s="430"/>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62" customFormat="1" ht="12" customHeight="1">
      <c r="A768" s="345"/>
      <c r="P768" s="430"/>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62" customFormat="1" ht="12" customHeight="1">
      <c r="A769" s="345"/>
      <c r="P769" s="2988"/>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62" customFormat="1" ht="12" customHeight="1">
      <c r="A770" s="345"/>
      <c r="P770" s="430"/>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62" customFormat="1" ht="12" customHeight="1">
      <c r="A771" s="345"/>
      <c r="P771" s="430"/>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62" customFormat="1" ht="12" customHeight="1">
      <c r="A772" s="345"/>
      <c r="P772" s="430"/>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62" customFormat="1" ht="12" customHeight="1">
      <c r="A773" s="345"/>
      <c r="P773" s="2988"/>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62" customFormat="1" ht="12" customHeight="1">
      <c r="A774" s="345"/>
      <c r="P774" s="430"/>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62" customFormat="1" ht="12" customHeight="1">
      <c r="A775" s="345"/>
      <c r="P775" s="430"/>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62" customFormat="1" ht="12" customHeight="1">
      <c r="A776" s="345"/>
      <c r="P776" s="430"/>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62" customFormat="1" ht="12" customHeight="1">
      <c r="A777" s="345"/>
      <c r="P777" s="430"/>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62" customFormat="1" ht="12" customHeight="1">
      <c r="A778" s="345"/>
      <c r="P778" s="430"/>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62" customFormat="1" ht="12" customHeight="1">
      <c r="A779" s="345"/>
      <c r="P779" s="430"/>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62" customFormat="1" ht="12" customHeight="1">
      <c r="A780" s="345"/>
      <c r="P780" s="430"/>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62" customFormat="1" ht="12" customHeight="1">
      <c r="A781" s="345"/>
      <c r="P781" s="430"/>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62" customFormat="1" ht="12" customHeight="1">
      <c r="A782" s="345"/>
      <c r="P782" s="430"/>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62" customFormat="1" ht="12" customHeight="1">
      <c r="A783" s="345"/>
      <c r="P783" s="430"/>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62" customFormat="1" ht="12" customHeight="1">
      <c r="A784" s="345"/>
      <c r="P784" s="430"/>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62" customFormat="1" ht="12" customHeight="1">
      <c r="A785" s="345"/>
      <c r="P785" s="430"/>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62" customFormat="1" ht="12" customHeight="1">
      <c r="A786" s="345"/>
      <c r="P786" s="430"/>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62"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62"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62"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62"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62"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62"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62"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62"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62"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62"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62"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62"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62"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62"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62" customFormat="1" ht="12" customHeight="1">
      <c r="A801" s="345"/>
      <c r="P801" s="345"/>
      <c r="X801" s="345"/>
      <c r="Y801" s="345"/>
      <c r="Z801" s="345"/>
      <c r="AA801" s="345"/>
      <c r="AB801" s="345"/>
      <c r="AC801" s="345"/>
      <c r="AD801" s="345"/>
      <c r="AE801" s="345"/>
      <c r="AF801" s="345"/>
      <c r="AG801" s="345"/>
    </row>
    <row r="802" spans="1:33" s="562" customFormat="1" ht="12" customHeight="1">
      <c r="A802" s="345"/>
      <c r="P802" s="345"/>
      <c r="X802" s="345"/>
      <c r="Y802" s="345"/>
      <c r="Z802" s="345"/>
      <c r="AA802" s="345"/>
      <c r="AB802" s="345"/>
      <c r="AC802" s="345"/>
      <c r="AD802" s="345"/>
      <c r="AE802" s="345"/>
      <c r="AF802" s="345"/>
      <c r="AG802" s="345"/>
    </row>
    <row r="803" spans="1:33" s="562" customFormat="1" ht="12" customHeight="1">
      <c r="A803" s="345"/>
      <c r="P803" s="345"/>
      <c r="X803" s="345"/>
      <c r="Y803" s="345"/>
      <c r="Z803" s="345"/>
      <c r="AA803" s="345"/>
      <c r="AB803" s="345"/>
      <c r="AC803" s="345"/>
      <c r="AD803" s="345"/>
      <c r="AE803" s="345"/>
      <c r="AF803" s="345"/>
      <c r="AG803" s="345"/>
    </row>
    <row r="804" spans="1:33" s="562" customFormat="1" ht="12" customHeight="1">
      <c r="A804" s="345"/>
      <c r="P804" s="345"/>
      <c r="X804" s="345"/>
      <c r="Y804" s="345"/>
      <c r="Z804" s="345"/>
      <c r="AA804" s="345"/>
      <c r="AB804" s="345"/>
      <c r="AC804" s="345"/>
      <c r="AD804" s="345"/>
      <c r="AE804" s="345"/>
      <c r="AF804" s="345"/>
      <c r="AG804" s="345"/>
    </row>
    <row r="805" spans="1:33" s="562" customFormat="1" ht="12" customHeight="1">
      <c r="A805" s="345"/>
      <c r="P805" s="345"/>
      <c r="X805" s="345"/>
      <c r="Y805" s="345"/>
      <c r="Z805" s="345"/>
      <c r="AA805" s="345"/>
      <c r="AB805" s="345"/>
      <c r="AC805" s="345"/>
      <c r="AD805" s="345"/>
      <c r="AE805" s="345"/>
      <c r="AF805" s="345"/>
      <c r="AG805" s="345"/>
    </row>
    <row r="806" spans="1:33" s="562" customFormat="1" ht="12" customHeight="1">
      <c r="A806" s="345"/>
      <c r="P806" s="345"/>
      <c r="X806" s="345"/>
      <c r="Y806" s="345"/>
      <c r="Z806" s="345"/>
      <c r="AA806" s="345"/>
      <c r="AB806" s="345"/>
      <c r="AC806" s="345"/>
      <c r="AD806" s="345"/>
      <c r="AE806" s="345"/>
      <c r="AF806" s="345"/>
      <c r="AG806" s="345"/>
    </row>
    <row r="807" spans="1:33" s="562" customFormat="1" ht="12" customHeight="1">
      <c r="A807" s="345"/>
      <c r="P807" s="345"/>
      <c r="X807" s="345"/>
      <c r="Y807" s="345"/>
      <c r="Z807" s="345"/>
      <c r="AA807" s="345"/>
      <c r="AB807" s="345"/>
      <c r="AC807" s="345"/>
      <c r="AD807" s="345"/>
      <c r="AE807" s="345"/>
      <c r="AF807" s="345"/>
      <c r="AG807" s="345"/>
    </row>
    <row r="808" spans="1:33" s="562" customFormat="1" ht="12" customHeight="1">
      <c r="A808" s="345"/>
      <c r="P808" s="345"/>
      <c r="X808" s="345"/>
      <c r="Y808" s="345"/>
      <c r="Z808" s="345"/>
      <c r="AA808" s="345"/>
      <c r="AB808" s="345"/>
      <c r="AC808" s="345"/>
      <c r="AD808" s="345"/>
      <c r="AE808" s="345"/>
      <c r="AF808" s="345"/>
      <c r="AG808" s="345"/>
    </row>
    <row r="809" spans="1:33" s="562" customFormat="1" ht="12" customHeight="1">
      <c r="A809" s="345"/>
      <c r="P809" s="345"/>
      <c r="X809" s="345"/>
      <c r="Y809" s="345"/>
      <c r="Z809" s="345"/>
      <c r="AA809" s="345"/>
      <c r="AB809" s="345"/>
      <c r="AC809" s="345"/>
      <c r="AD809" s="345"/>
      <c r="AE809" s="345"/>
      <c r="AF809" s="345"/>
      <c r="AG809" s="345"/>
    </row>
    <row r="810" spans="1:33" s="562" customFormat="1" ht="12" customHeight="1">
      <c r="A810" s="345"/>
      <c r="P810" s="345"/>
      <c r="X810" s="345"/>
      <c r="Y810" s="345"/>
      <c r="Z810" s="345"/>
      <c r="AA810" s="345"/>
      <c r="AB810" s="345"/>
      <c r="AC810" s="345"/>
      <c r="AD810" s="345"/>
      <c r="AE810" s="345"/>
      <c r="AF810" s="345"/>
      <c r="AG810" s="345"/>
    </row>
    <row r="811" spans="1:33" s="562" customFormat="1" ht="12" customHeight="1">
      <c r="A811" s="345"/>
      <c r="P811" s="345"/>
      <c r="X811" s="345"/>
      <c r="Y811" s="345"/>
      <c r="Z811" s="345"/>
      <c r="AA811" s="345"/>
      <c r="AB811" s="345"/>
      <c r="AC811" s="345"/>
      <c r="AD811" s="345"/>
      <c r="AE811" s="345"/>
      <c r="AF811" s="345"/>
      <c r="AG811" s="345"/>
    </row>
    <row r="812" spans="1:33" s="562" customFormat="1" ht="12" customHeight="1">
      <c r="A812" s="345"/>
      <c r="P812" s="345"/>
      <c r="X812" s="345"/>
      <c r="Y812" s="345"/>
      <c r="Z812" s="345"/>
      <c r="AA812" s="345"/>
      <c r="AB812" s="345"/>
      <c r="AC812" s="345"/>
      <c r="AD812" s="345"/>
      <c r="AE812" s="345"/>
      <c r="AF812" s="345"/>
      <c r="AG812" s="345"/>
    </row>
    <row r="813" spans="1:33" s="562" customFormat="1" ht="12" customHeight="1">
      <c r="A813" s="345"/>
      <c r="P813" s="345"/>
      <c r="X813" s="345"/>
      <c r="Y813" s="345"/>
      <c r="Z813" s="345"/>
      <c r="AA813" s="345"/>
      <c r="AB813" s="345"/>
      <c r="AC813" s="345"/>
      <c r="AD813" s="345"/>
      <c r="AE813" s="345"/>
      <c r="AF813" s="345"/>
      <c r="AG813" s="345"/>
    </row>
    <row r="814" spans="1:33" s="562" customFormat="1" ht="12" customHeight="1">
      <c r="A814" s="345"/>
      <c r="P814" s="345"/>
      <c r="X814" s="345"/>
      <c r="Y814" s="345"/>
      <c r="Z814" s="345"/>
      <c r="AA814" s="345"/>
      <c r="AB814" s="345"/>
      <c r="AC814" s="345"/>
      <c r="AD814" s="345"/>
      <c r="AE814" s="345"/>
      <c r="AF814" s="345"/>
      <c r="AG814" s="345"/>
    </row>
    <row r="815" spans="1:33" s="562" customFormat="1" ht="12" customHeight="1">
      <c r="A815" s="345"/>
      <c r="P815" s="345"/>
      <c r="X815" s="345"/>
      <c r="Y815" s="345"/>
      <c r="Z815" s="345"/>
      <c r="AA815" s="345"/>
      <c r="AB815" s="345"/>
      <c r="AC815" s="345"/>
      <c r="AD815" s="345"/>
      <c r="AE815" s="345"/>
      <c r="AF815" s="345"/>
      <c r="AG815" s="345"/>
    </row>
    <row r="816" spans="1:33" s="562" customFormat="1" ht="12" customHeight="1">
      <c r="B816" s="561"/>
      <c r="X816" s="345"/>
      <c r="Y816" s="345"/>
      <c r="Z816" s="345"/>
      <c r="AA816" s="345"/>
      <c r="AB816" s="345"/>
      <c r="AC816" s="345"/>
      <c r="AD816" s="345"/>
      <c r="AE816" s="345"/>
      <c r="AF816" s="345"/>
      <c r="AG816" s="345"/>
    </row>
    <row r="817" spans="2:2" s="562" customFormat="1" ht="12" customHeight="1">
      <c r="B817" s="561"/>
    </row>
    <row r="818" spans="2:2" s="562" customFormat="1" ht="12" customHeight="1">
      <c r="B818" s="561"/>
    </row>
    <row r="819" spans="2:2" s="562" customFormat="1" ht="12" customHeight="1">
      <c r="B819" s="561"/>
    </row>
    <row r="820" spans="2:2" s="562" customFormat="1" ht="12" customHeight="1">
      <c r="B820" s="561"/>
    </row>
    <row r="821" spans="2:2" s="562" customFormat="1" ht="12" customHeight="1">
      <c r="B821" s="561"/>
    </row>
    <row r="822" spans="2:2" s="562" customFormat="1" ht="12" customHeight="1">
      <c r="B822" s="561"/>
    </row>
    <row r="823" spans="2:2" s="562" customFormat="1" ht="12" customHeight="1">
      <c r="B823" s="561"/>
    </row>
    <row r="824" spans="2:2" s="562" customFormat="1" ht="12" customHeight="1">
      <c r="B824" s="561"/>
    </row>
    <row r="825" spans="2:2" s="562" customFormat="1" ht="12" customHeight="1">
      <c r="B825" s="561"/>
    </row>
    <row r="826" spans="2:2" s="562" customFormat="1" ht="12" customHeight="1">
      <c r="B826" s="561"/>
    </row>
    <row r="827" spans="2:2" s="562" customFormat="1" ht="12" customHeight="1">
      <c r="B827" s="561"/>
    </row>
    <row r="828" spans="2:2" s="562" customFormat="1" ht="12" customHeight="1">
      <c r="B828" s="561"/>
    </row>
    <row r="829" spans="2:2" s="562" customFormat="1" ht="12" customHeight="1">
      <c r="B829" s="561"/>
    </row>
    <row r="830" spans="2:2" s="562" customFormat="1" ht="12" customHeight="1">
      <c r="B830" s="561"/>
    </row>
    <row r="831" spans="2:2" s="562" customFormat="1" ht="12" customHeight="1">
      <c r="B831" s="561"/>
    </row>
    <row r="832" spans="2:2" s="562" customFormat="1" ht="12" customHeight="1">
      <c r="B832" s="561"/>
    </row>
    <row r="833" spans="2:27" s="562" customFormat="1" ht="12" customHeight="1">
      <c r="B833" s="561"/>
    </row>
    <row r="834" spans="2:27" s="562" customFormat="1" ht="12" customHeight="1">
      <c r="B834" s="561"/>
    </row>
    <row r="835" spans="2:27" s="562" customFormat="1" ht="12" customHeight="1">
      <c r="B835" s="561"/>
    </row>
    <row r="836" spans="2:27" s="562" customFormat="1" ht="12" customHeight="1">
      <c r="B836" s="561"/>
    </row>
    <row r="837" spans="2:27" s="562" customFormat="1" ht="12" customHeight="1">
      <c r="B837" s="561"/>
    </row>
    <row r="838" spans="2:27" s="562" customFormat="1" ht="12" customHeight="1">
      <c r="B838" s="561"/>
    </row>
    <row r="839" spans="2:27" s="562" customFormat="1" ht="12" customHeight="1">
      <c r="B839" s="561"/>
    </row>
    <row r="840" spans="2:27" s="562" customFormat="1" ht="12" customHeight="1">
      <c r="B840" s="561"/>
    </row>
    <row r="841" spans="2:27" s="562" customFormat="1" ht="12" customHeight="1">
      <c r="B841" s="561"/>
    </row>
    <row r="842" spans="2:27" s="562" customFormat="1" ht="12" customHeight="1">
      <c r="B842" s="561"/>
    </row>
    <row r="843" spans="2:27" s="562" customFormat="1" ht="12" customHeight="1">
      <c r="B843" s="561"/>
    </row>
    <row r="844" spans="2:27" s="562" customFormat="1" ht="12" customHeight="1">
      <c r="B844" s="561"/>
      <c r="N844" s="345"/>
      <c r="O844" s="345"/>
    </row>
    <row r="845" spans="2:27" ht="12" customHeight="1">
      <c r="I845" s="562"/>
      <c r="Z845" s="437"/>
      <c r="AA845" s="437"/>
    </row>
    <row r="846" spans="2:27" ht="12" customHeight="1">
      <c r="Z846" s="437"/>
      <c r="AA846" s="437"/>
    </row>
    <row r="847" spans="2:27" ht="12" customHeight="1">
      <c r="Z847" s="437"/>
      <c r="AA847" s="437"/>
    </row>
    <row r="848" spans="2:27" ht="12" customHeight="1">
      <c r="Z848" s="437"/>
      <c r="AA848" s="437"/>
    </row>
  </sheetData>
  <sheetProtection algorithmName="SHA-512" hashValue="o0zn5rCEFFfNlQwiRhzt50CtUUULDqq9xCAB6ESgLAiP31Zvf3Hu49p5/IPy0TdbgsbUus8NjmnSUv5kaGMwfg==" saltValue="GKDFtGTGqI0FM/diWImnEQ==" spinCount="100000" sheet="1" objects="1" scenarios="1" formatColumns="0" formatRows="0"/>
  <sortState ref="C181:H340">
    <sortCondition ref="C181:C340"/>
    <sortCondition ref="E181:E340"/>
  </sortState>
  <mergeCells count="155">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7:K27"/>
    <mergeCell ref="F26:K26"/>
    <mergeCell ref="F25:K25"/>
    <mergeCell ref="F24:K24"/>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4" zoomScale="95" zoomScaleNormal="95" workbookViewId="0">
      <selection activeCell="L7" sqref="L7:N7"/>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2" width="9.5703125" style="345" customWidth="1"/>
    <col min="13"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2221" t="str">
        <f>CONCATENATE("PART TWO - DEVELOPMENT TEAM INFORMATION","  -  ",'Part I-Project Information'!$O$4," ",'Part I-Project Information'!$F$24,", ",'Part I-Project Information'!F28,", ",'Part I-Project Information'!J29," County")</f>
        <v>PART TWO - DEVELOPMENT TEAM INFORMATION  -  2016-508 Gateway Capitol View, Atlanta, Fulton County</v>
      </c>
      <c r="B1" s="2222"/>
      <c r="C1" s="2222"/>
      <c r="D1" s="2222"/>
      <c r="E1" s="2222"/>
      <c r="F1" s="2222"/>
      <c r="G1" s="2222"/>
      <c r="H1" s="2222"/>
      <c r="I1" s="2222"/>
      <c r="J1" s="2222"/>
      <c r="K1" s="2222"/>
      <c r="L1" s="2222"/>
      <c r="M1" s="2222"/>
      <c r="N1" s="2222"/>
      <c r="O1" s="2222"/>
      <c r="P1" s="2222"/>
      <c r="Q1" s="2222"/>
      <c r="R1" s="2222"/>
      <c r="S1" s="2223"/>
    </row>
    <row r="3" spans="1:26" s="326" customFormat="1" ht="13.15" customHeight="1">
      <c r="A3" s="328" t="s">
        <v>646</v>
      </c>
      <c r="B3" s="332" t="s">
        <v>1938</v>
      </c>
      <c r="C3" s="332"/>
      <c r="E3" s="332"/>
      <c r="F3" s="332"/>
      <c r="G3" s="332"/>
      <c r="H3" s="716" t="s">
        <v>3832</v>
      </c>
      <c r="I3" s="332"/>
      <c r="J3" s="332"/>
      <c r="K3" s="332"/>
      <c r="L3" s="332"/>
      <c r="M3" s="332"/>
    </row>
    <row r="4" spans="1:26" s="326" customFormat="1" ht="8.4499999999999993" customHeight="1">
      <c r="A4" s="328"/>
      <c r="B4" s="328"/>
      <c r="C4" s="328"/>
      <c r="D4" s="332"/>
      <c r="E4" s="332"/>
      <c r="F4" s="332"/>
      <c r="G4" s="332"/>
      <c r="H4" s="332"/>
      <c r="I4" s="332"/>
      <c r="J4" s="332"/>
    </row>
    <row r="5" spans="1:26" s="326" customFormat="1" ht="11.25" customHeight="1">
      <c r="B5" s="328" t="s">
        <v>2068</v>
      </c>
      <c r="C5" s="332" t="s">
        <v>1934</v>
      </c>
      <c r="H5" s="2900" t="s">
        <v>4651</v>
      </c>
      <c r="I5" s="2991"/>
      <c r="J5" s="2991"/>
      <c r="K5" s="2991"/>
      <c r="L5" s="2991"/>
      <c r="M5" s="2991"/>
      <c r="N5" s="2992"/>
      <c r="O5" s="2002" t="s">
        <v>2075</v>
      </c>
      <c r="P5" s="2002"/>
      <c r="Q5" s="2900" t="s">
        <v>4635</v>
      </c>
      <c r="R5" s="2991"/>
      <c r="S5" s="2992"/>
    </row>
    <row r="6" spans="1:26" s="326" customFormat="1" ht="11.25" customHeight="1">
      <c r="D6" s="369"/>
      <c r="E6" s="331" t="s">
        <v>1065</v>
      </c>
      <c r="F6" s="339"/>
      <c r="H6" s="2900" t="s">
        <v>4652</v>
      </c>
      <c r="I6" s="2991"/>
      <c r="J6" s="2991"/>
      <c r="K6" s="2991"/>
      <c r="L6" s="2991"/>
      <c r="M6" s="2991"/>
      <c r="N6" s="2992"/>
      <c r="O6" s="2002" t="s">
        <v>1823</v>
      </c>
      <c r="Q6" s="2900" t="s">
        <v>4636</v>
      </c>
      <c r="R6" s="2991"/>
      <c r="S6" s="2992"/>
    </row>
    <row r="7" spans="1:26" s="326" customFormat="1" ht="11.25" customHeight="1">
      <c r="D7" s="369"/>
      <c r="E7" s="331" t="s">
        <v>648</v>
      </c>
      <c r="H7" s="2900" t="s">
        <v>1258</v>
      </c>
      <c r="I7" s="2991"/>
      <c r="J7" s="2992"/>
      <c r="K7" s="2993" t="s">
        <v>800</v>
      </c>
      <c r="L7" s="2900"/>
      <c r="M7" s="2991"/>
      <c r="N7" s="2992"/>
      <c r="O7" s="2002" t="s">
        <v>1879</v>
      </c>
      <c r="Q7" s="2994">
        <v>4049493873</v>
      </c>
      <c r="R7" s="2995"/>
      <c r="S7" s="2996"/>
    </row>
    <row r="8" spans="1:26" s="326" customFormat="1" ht="11.25" customHeight="1">
      <c r="D8" s="369"/>
      <c r="E8" s="331" t="s">
        <v>1875</v>
      </c>
      <c r="H8" s="2997" t="s">
        <v>887</v>
      </c>
      <c r="I8" s="2004" t="s">
        <v>2319</v>
      </c>
      <c r="J8" s="2998">
        <v>303272800</v>
      </c>
      <c r="K8" s="2992"/>
      <c r="L8" s="326" t="s">
        <v>4493</v>
      </c>
      <c r="M8" s="2999" t="s">
        <v>4653</v>
      </c>
      <c r="N8" s="3000"/>
      <c r="O8" s="2002" t="s">
        <v>2064</v>
      </c>
      <c r="Q8" s="2994">
        <v>7708619049</v>
      </c>
      <c r="R8" s="2995"/>
      <c r="S8" s="2996"/>
    </row>
    <row r="9" spans="1:26" s="326" customFormat="1" ht="11.25" customHeight="1">
      <c r="D9" s="369"/>
      <c r="E9" s="331" t="s">
        <v>2070</v>
      </c>
      <c r="H9" s="2994">
        <v>4049493873</v>
      </c>
      <c r="I9" s="2996"/>
      <c r="J9" s="3001"/>
      <c r="K9" s="2009" t="s">
        <v>2069</v>
      </c>
      <c r="L9" s="2897" t="s">
        <v>4638</v>
      </c>
      <c r="M9" s="2898"/>
      <c r="N9" s="2898"/>
      <c r="O9" s="2898"/>
      <c r="P9" s="2898"/>
      <c r="Q9" s="2898"/>
      <c r="R9" s="2898"/>
      <c r="S9" s="2899"/>
    </row>
    <row r="10" spans="1:26" s="326" customFormat="1" ht="11.25" customHeight="1">
      <c r="D10" s="369"/>
      <c r="E10" s="319" t="s">
        <v>2872</v>
      </c>
      <c r="H10" s="363"/>
      <c r="K10" s="297"/>
      <c r="N10" s="402" t="s">
        <v>4091</v>
      </c>
      <c r="Q10" s="2009"/>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2071</v>
      </c>
      <c r="C12" s="332" t="s">
        <v>1935</v>
      </c>
      <c r="F12" s="332"/>
      <c r="G12" s="332"/>
      <c r="H12" s="332"/>
      <c r="I12" s="332"/>
      <c r="J12" s="332"/>
      <c r="N12" s="3002" t="s">
        <v>1338</v>
      </c>
      <c r="W12" s="3002"/>
      <c r="X12" s="3002"/>
      <c r="Y12" s="3002"/>
      <c r="Z12" s="3002"/>
    </row>
    <row r="13" spans="1:26" s="326" customFormat="1" ht="11.25" customHeight="1">
      <c r="C13" s="371" t="s">
        <v>2072</v>
      </c>
      <c r="D13" s="368" t="s">
        <v>2073</v>
      </c>
      <c r="H13" s="2012"/>
      <c r="I13" s="2012"/>
      <c r="J13" s="2012"/>
      <c r="N13" s="3003"/>
      <c r="W13" s="3004"/>
      <c r="X13" s="3004"/>
      <c r="Y13" s="3004"/>
      <c r="Z13" s="3004"/>
    </row>
    <row r="14" spans="1:26" s="326" customFormat="1" ht="11.25" customHeight="1">
      <c r="D14" s="328" t="s">
        <v>2204</v>
      </c>
      <c r="E14" s="326" t="s">
        <v>1936</v>
      </c>
      <c r="H14" s="2882" t="s">
        <v>4654</v>
      </c>
      <c r="I14" s="2941"/>
      <c r="J14" s="2941"/>
      <c r="K14" s="2941"/>
      <c r="L14" s="2941"/>
      <c r="M14" s="2941"/>
      <c r="N14" s="2942"/>
      <c r="O14" s="2002" t="s">
        <v>2075</v>
      </c>
      <c r="P14" s="2002"/>
      <c r="Q14" s="2882" t="s">
        <v>4635</v>
      </c>
      <c r="R14" s="2941"/>
      <c r="S14" s="2942"/>
    </row>
    <row r="15" spans="1:26" s="326" customFormat="1" ht="11.25" customHeight="1">
      <c r="D15" s="369"/>
      <c r="E15" s="331" t="s">
        <v>1065</v>
      </c>
      <c r="F15" s="339"/>
      <c r="H15" s="2882" t="s">
        <v>4655</v>
      </c>
      <c r="I15" s="2941"/>
      <c r="J15" s="2941"/>
      <c r="K15" s="2941"/>
      <c r="L15" s="2941"/>
      <c r="M15" s="2941"/>
      <c r="N15" s="2942"/>
      <c r="O15" s="2002" t="s">
        <v>1823</v>
      </c>
      <c r="Q15" s="2882" t="s">
        <v>4636</v>
      </c>
      <c r="R15" s="2941"/>
      <c r="S15" s="2942"/>
    </row>
    <row r="16" spans="1:26" s="326" customFormat="1" ht="11.25" customHeight="1">
      <c r="D16" s="369"/>
      <c r="E16" s="331" t="s">
        <v>648</v>
      </c>
      <c r="H16" s="2882" t="s">
        <v>1258</v>
      </c>
      <c r="I16" s="2941"/>
      <c r="J16" s="2942"/>
      <c r="K16" s="2003" t="s">
        <v>2832</v>
      </c>
      <c r="L16" s="2882" t="s">
        <v>1013</v>
      </c>
      <c r="M16" s="2941"/>
      <c r="N16" s="2942"/>
      <c r="O16" s="2002" t="s">
        <v>1879</v>
      </c>
      <c r="Q16" s="2890">
        <v>4049493873</v>
      </c>
      <c r="R16" s="2895"/>
      <c r="S16" s="2891"/>
    </row>
    <row r="17" spans="3:19" s="326" customFormat="1" ht="11.25" customHeight="1">
      <c r="D17" s="328"/>
      <c r="E17" s="331" t="s">
        <v>1875</v>
      </c>
      <c r="H17" s="2896"/>
      <c r="K17" s="2004" t="s">
        <v>2319</v>
      </c>
      <c r="L17" s="2893"/>
      <c r="M17" s="2942"/>
      <c r="O17" s="2002" t="s">
        <v>2064</v>
      </c>
      <c r="Q17" s="2890">
        <v>7708619049</v>
      </c>
      <c r="R17" s="2895"/>
      <c r="S17" s="2891"/>
    </row>
    <row r="18" spans="3:19" s="326" customFormat="1" ht="11.25" customHeight="1">
      <c r="D18" s="369"/>
      <c r="E18" s="331" t="s">
        <v>2070</v>
      </c>
      <c r="H18" s="2890">
        <v>4049493873</v>
      </c>
      <c r="I18" s="2891"/>
      <c r="J18" s="3005"/>
      <c r="K18" s="2009" t="s">
        <v>2069</v>
      </c>
      <c r="L18" s="2897" t="s">
        <v>4638</v>
      </c>
      <c r="M18" s="2898"/>
      <c r="N18" s="2898"/>
      <c r="O18" s="2898"/>
      <c r="P18" s="2898"/>
      <c r="Q18" s="2898"/>
      <c r="R18" s="2898"/>
      <c r="S18" s="2899"/>
    </row>
    <row r="19" spans="3:19" ht="4.1500000000000004" customHeight="1">
      <c r="D19" s="354"/>
      <c r="H19" s="3006"/>
      <c r="I19" s="3006"/>
      <c r="J19" s="3006"/>
      <c r="K19" s="2009"/>
      <c r="L19" s="3006"/>
      <c r="M19" s="3006"/>
      <c r="N19" s="2005"/>
      <c r="O19" s="3007"/>
      <c r="P19" s="3007"/>
      <c r="Q19" s="2009"/>
      <c r="R19" s="3007"/>
      <c r="S19" s="3007"/>
    </row>
    <row r="20" spans="3:19" s="326" customFormat="1" ht="11.25" customHeight="1">
      <c r="D20" s="328" t="s">
        <v>2205</v>
      </c>
      <c r="E20" s="326" t="s">
        <v>1937</v>
      </c>
      <c r="F20" s="2012"/>
      <c r="H20" s="2882"/>
      <c r="I20" s="2941"/>
      <c r="J20" s="2941"/>
      <c r="K20" s="2941"/>
      <c r="L20" s="2941"/>
      <c r="M20" s="2941"/>
      <c r="N20" s="2942"/>
      <c r="O20" s="2002" t="s">
        <v>2075</v>
      </c>
      <c r="P20" s="2002"/>
      <c r="Q20" s="2882"/>
      <c r="R20" s="2941"/>
      <c r="S20" s="2942"/>
    </row>
    <row r="21" spans="3:19" s="326" customFormat="1" ht="11.25" customHeight="1">
      <c r="D21" s="369"/>
      <c r="E21" s="331" t="s">
        <v>1065</v>
      </c>
      <c r="F21" s="339"/>
      <c r="H21" s="2882"/>
      <c r="I21" s="2941"/>
      <c r="J21" s="2941"/>
      <c r="K21" s="2941"/>
      <c r="L21" s="2941"/>
      <c r="M21" s="2941"/>
      <c r="N21" s="2942"/>
      <c r="O21" s="2002" t="s">
        <v>1823</v>
      </c>
      <c r="Q21" s="2882"/>
      <c r="R21" s="2941"/>
      <c r="S21" s="2942"/>
    </row>
    <row r="22" spans="3:19" s="326" customFormat="1" ht="11.25" customHeight="1">
      <c r="D22" s="369"/>
      <c r="E22" s="331" t="s">
        <v>648</v>
      </c>
      <c r="H22" s="2882"/>
      <c r="I22" s="2941"/>
      <c r="J22" s="2942"/>
      <c r="K22" s="2003" t="s">
        <v>2832</v>
      </c>
      <c r="L22" s="2882"/>
      <c r="M22" s="2941"/>
      <c r="N22" s="2942"/>
      <c r="O22" s="2002" t="s">
        <v>1879</v>
      </c>
      <c r="Q22" s="2890"/>
      <c r="R22" s="2895"/>
      <c r="S22" s="2891"/>
    </row>
    <row r="23" spans="3:19" s="326" customFormat="1" ht="11.25" customHeight="1">
      <c r="E23" s="331" t="s">
        <v>1875</v>
      </c>
      <c r="H23" s="2896"/>
      <c r="K23" s="2004" t="s">
        <v>2319</v>
      </c>
      <c r="L23" s="2893"/>
      <c r="M23" s="2942"/>
      <c r="O23" s="2002" t="s">
        <v>2064</v>
      </c>
      <c r="Q23" s="2890"/>
      <c r="R23" s="2895"/>
      <c r="S23" s="2891"/>
    </row>
    <row r="24" spans="3:19" s="326" customFormat="1" ht="11.25" customHeight="1">
      <c r="D24" s="369"/>
      <c r="E24" s="331" t="s">
        <v>2070</v>
      </c>
      <c r="H24" s="2890"/>
      <c r="I24" s="2891"/>
      <c r="J24" s="3005"/>
      <c r="K24" s="2009" t="s">
        <v>2069</v>
      </c>
      <c r="L24" s="2897"/>
      <c r="M24" s="2898"/>
      <c r="N24" s="2898"/>
      <c r="O24" s="2898"/>
      <c r="P24" s="2898"/>
      <c r="Q24" s="2898"/>
      <c r="R24" s="2898"/>
      <c r="S24" s="2899"/>
    </row>
    <row r="25" spans="3:19" s="326" customFormat="1" ht="4.1500000000000004" customHeight="1">
      <c r="D25" s="369"/>
      <c r="E25" s="2012"/>
      <c r="F25" s="2012"/>
      <c r="G25" s="2002"/>
      <c r="H25" s="3006"/>
      <c r="I25" s="3006"/>
      <c r="J25" s="3006"/>
      <c r="K25" s="2009"/>
      <c r="L25" s="3006"/>
      <c r="M25" s="3006"/>
      <c r="N25" s="2005"/>
      <c r="O25" s="3007"/>
      <c r="P25" s="3007"/>
      <c r="Q25" s="2009"/>
      <c r="R25" s="3007"/>
      <c r="S25" s="3007"/>
    </row>
    <row r="26" spans="3:19" s="326" customFormat="1" ht="11.25" customHeight="1">
      <c r="D26" s="328" t="s">
        <v>1810</v>
      </c>
      <c r="E26" s="326" t="s">
        <v>1937</v>
      </c>
      <c r="F26" s="2012"/>
      <c r="H26" s="2882"/>
      <c r="I26" s="2941"/>
      <c r="J26" s="2941"/>
      <c r="K26" s="2941"/>
      <c r="L26" s="2941"/>
      <c r="M26" s="2941"/>
      <c r="N26" s="2942"/>
      <c r="O26" s="2002" t="s">
        <v>2075</v>
      </c>
      <c r="P26" s="2002"/>
      <c r="Q26" s="2882"/>
      <c r="R26" s="2941"/>
      <c r="S26" s="2942"/>
    </row>
    <row r="27" spans="3:19" s="326" customFormat="1" ht="11.25" customHeight="1">
      <c r="D27" s="369"/>
      <c r="E27" s="331" t="s">
        <v>1065</v>
      </c>
      <c r="F27" s="339"/>
      <c r="H27" s="2882"/>
      <c r="I27" s="2941"/>
      <c r="J27" s="2941"/>
      <c r="K27" s="2941"/>
      <c r="L27" s="2941"/>
      <c r="M27" s="2941"/>
      <c r="N27" s="2942"/>
      <c r="O27" s="2002" t="s">
        <v>1823</v>
      </c>
      <c r="Q27" s="2882"/>
      <c r="R27" s="2941"/>
      <c r="S27" s="2942"/>
    </row>
    <row r="28" spans="3:19" s="326" customFormat="1" ht="11.25" customHeight="1">
      <c r="D28" s="369"/>
      <c r="E28" s="331" t="s">
        <v>648</v>
      </c>
      <c r="H28" s="2882"/>
      <c r="I28" s="2941"/>
      <c r="J28" s="2942"/>
      <c r="K28" s="2003" t="s">
        <v>2832</v>
      </c>
      <c r="L28" s="2882"/>
      <c r="M28" s="2941"/>
      <c r="N28" s="2942"/>
      <c r="O28" s="2002" t="s">
        <v>1879</v>
      </c>
      <c r="Q28" s="2890"/>
      <c r="R28" s="2895"/>
      <c r="S28" s="2891"/>
    </row>
    <row r="29" spans="3:19" s="326" customFormat="1" ht="11.25" customHeight="1">
      <c r="E29" s="331" t="s">
        <v>1875</v>
      </c>
      <c r="H29" s="2896"/>
      <c r="K29" s="2004" t="s">
        <v>2319</v>
      </c>
      <c r="L29" s="2893"/>
      <c r="M29" s="2942"/>
      <c r="O29" s="2002" t="s">
        <v>2064</v>
      </c>
      <c r="Q29" s="2890"/>
      <c r="R29" s="2895"/>
      <c r="S29" s="2891"/>
    </row>
    <row r="30" spans="3:19" s="326" customFormat="1" ht="11.25" customHeight="1">
      <c r="D30" s="369"/>
      <c r="E30" s="331" t="s">
        <v>2070</v>
      </c>
      <c r="H30" s="2890"/>
      <c r="I30" s="2891"/>
      <c r="J30" s="3005"/>
      <c r="K30" s="2009" t="s">
        <v>2069</v>
      </c>
      <c r="L30" s="2897"/>
      <c r="M30" s="2898"/>
      <c r="N30" s="2898"/>
      <c r="O30" s="2898"/>
      <c r="P30" s="2898"/>
      <c r="Q30" s="2898"/>
      <c r="R30" s="2898"/>
      <c r="S30" s="2899"/>
    </row>
    <row r="31" spans="3:19" ht="4.1500000000000004" customHeight="1"/>
    <row r="32" spans="3:19" s="326" customFormat="1" ht="11.25" customHeight="1">
      <c r="C32" s="371" t="s">
        <v>2074</v>
      </c>
      <c r="D32" s="368" t="s">
        <v>1939</v>
      </c>
      <c r="H32" s="2012"/>
      <c r="I32" s="2012"/>
      <c r="J32" s="2012"/>
      <c r="K32" s="2012"/>
      <c r="L32" s="2012"/>
      <c r="M32" s="2012"/>
    </row>
    <row r="33" spans="3:19" s="326" customFormat="1" ht="11.25" customHeight="1">
      <c r="D33" s="328" t="s">
        <v>2204</v>
      </c>
      <c r="E33" s="326" t="s">
        <v>787</v>
      </c>
      <c r="H33" s="2882" t="s">
        <v>4656</v>
      </c>
      <c r="I33" s="2941"/>
      <c r="J33" s="2941"/>
      <c r="K33" s="2941"/>
      <c r="L33" s="2941"/>
      <c r="M33" s="2941"/>
      <c r="N33" s="2942"/>
      <c r="O33" s="2002" t="s">
        <v>2075</v>
      </c>
      <c r="P33" s="2002"/>
      <c r="Q33" s="2882" t="s">
        <v>4658</v>
      </c>
      <c r="R33" s="2941"/>
      <c r="S33" s="2942"/>
    </row>
    <row r="34" spans="3:19" s="326" customFormat="1" ht="11.25" customHeight="1">
      <c r="D34" s="369"/>
      <c r="E34" s="331" t="s">
        <v>1065</v>
      </c>
      <c r="F34" s="339"/>
      <c r="H34" s="2882" t="s">
        <v>4657</v>
      </c>
      <c r="I34" s="2941"/>
      <c r="J34" s="2941"/>
      <c r="K34" s="2941"/>
      <c r="L34" s="2941"/>
      <c r="M34" s="2941"/>
      <c r="N34" s="2942"/>
      <c r="O34" s="2002" t="s">
        <v>1823</v>
      </c>
      <c r="Q34" s="2882" t="s">
        <v>4659</v>
      </c>
      <c r="R34" s="2941"/>
      <c r="S34" s="2942"/>
    </row>
    <row r="35" spans="3:19" s="326" customFormat="1" ht="11.25" customHeight="1">
      <c r="D35" s="369"/>
      <c r="E35" s="331" t="s">
        <v>648</v>
      </c>
      <c r="H35" s="2882" t="s">
        <v>1515</v>
      </c>
      <c r="I35" s="2941"/>
      <c r="J35" s="2942"/>
      <c r="K35" s="2003" t="s">
        <v>2832</v>
      </c>
      <c r="L35" s="2882" t="s">
        <v>4660</v>
      </c>
      <c r="M35" s="2941"/>
      <c r="N35" s="2942"/>
      <c r="O35" s="2002" t="s">
        <v>1879</v>
      </c>
      <c r="Q35" s="2890">
        <v>7704870555</v>
      </c>
      <c r="R35" s="2895"/>
      <c r="S35" s="2891"/>
    </row>
    <row r="36" spans="3:19" s="326" customFormat="1" ht="11.25" customHeight="1">
      <c r="E36" s="331" t="s">
        <v>1875</v>
      </c>
      <c r="H36" s="2896" t="s">
        <v>887</v>
      </c>
      <c r="K36" s="2004" t="s">
        <v>2319</v>
      </c>
      <c r="L36" s="2893">
        <v>302690000</v>
      </c>
      <c r="M36" s="2942"/>
      <c r="O36" s="2002" t="s">
        <v>2064</v>
      </c>
      <c r="Q36" s="2890"/>
      <c r="R36" s="2895"/>
      <c r="S36" s="2891"/>
    </row>
    <row r="37" spans="3:19" s="326" customFormat="1" ht="11.25" customHeight="1">
      <c r="D37" s="369"/>
      <c r="E37" s="331" t="s">
        <v>2070</v>
      </c>
      <c r="H37" s="2890">
        <v>7704870555</v>
      </c>
      <c r="I37" s="2891"/>
      <c r="J37" s="3005"/>
      <c r="K37" s="2009" t="s">
        <v>2069</v>
      </c>
      <c r="L37" s="2897" t="s">
        <v>4661</v>
      </c>
      <c r="M37" s="2898"/>
      <c r="N37" s="2898"/>
      <c r="O37" s="2898"/>
      <c r="P37" s="2898"/>
      <c r="Q37" s="2898"/>
      <c r="R37" s="2898"/>
      <c r="S37" s="2899"/>
    </row>
    <row r="38" spans="3:19" ht="4.1500000000000004" customHeight="1">
      <c r="H38" s="3006"/>
      <c r="I38" s="3006"/>
      <c r="J38" s="3006"/>
      <c r="K38" s="2009"/>
      <c r="L38" s="3006"/>
      <c r="M38" s="3006"/>
      <c r="N38" s="2005"/>
      <c r="O38" s="3007"/>
      <c r="P38" s="3007"/>
      <c r="Q38" s="2009"/>
      <c r="R38" s="3007"/>
      <c r="S38" s="3007"/>
    </row>
    <row r="39" spans="3:19" s="326" customFormat="1" ht="11.25" customHeight="1">
      <c r="D39" s="328" t="s">
        <v>2205</v>
      </c>
      <c r="E39" s="326" t="s">
        <v>788</v>
      </c>
      <c r="F39" s="328"/>
      <c r="H39" s="2882" t="s">
        <v>4656</v>
      </c>
      <c r="I39" s="2941"/>
      <c r="J39" s="2941"/>
      <c r="K39" s="2941"/>
      <c r="L39" s="2941"/>
      <c r="M39" s="2941"/>
      <c r="N39" s="2942"/>
      <c r="O39" s="2002" t="s">
        <v>2075</v>
      </c>
      <c r="P39" s="2002"/>
      <c r="Q39" s="2882" t="s">
        <v>4658</v>
      </c>
      <c r="R39" s="2941"/>
      <c r="S39" s="2942"/>
    </row>
    <row r="40" spans="3:19" s="326" customFormat="1" ht="11.25" customHeight="1">
      <c r="D40" s="369"/>
      <c r="E40" s="331" t="s">
        <v>1065</v>
      </c>
      <c r="F40" s="339"/>
      <c r="H40" s="2882" t="s">
        <v>4657</v>
      </c>
      <c r="I40" s="2941"/>
      <c r="J40" s="2941"/>
      <c r="K40" s="2941"/>
      <c r="L40" s="2941"/>
      <c r="M40" s="2941"/>
      <c r="N40" s="2942"/>
      <c r="O40" s="2002" t="s">
        <v>1823</v>
      </c>
      <c r="Q40" s="2882" t="s">
        <v>4659</v>
      </c>
      <c r="R40" s="2941"/>
      <c r="S40" s="2942"/>
    </row>
    <row r="41" spans="3:19" s="326" customFormat="1" ht="11.25" customHeight="1">
      <c r="D41" s="369"/>
      <c r="E41" s="331" t="s">
        <v>648</v>
      </c>
      <c r="H41" s="2882" t="s">
        <v>1515</v>
      </c>
      <c r="I41" s="2941"/>
      <c r="J41" s="2942"/>
      <c r="K41" s="2003" t="s">
        <v>2832</v>
      </c>
      <c r="L41" s="2882" t="s">
        <v>4660</v>
      </c>
      <c r="M41" s="2941"/>
      <c r="N41" s="2942"/>
      <c r="O41" s="2002" t="s">
        <v>1879</v>
      </c>
      <c r="Q41" s="2890">
        <v>7704870555</v>
      </c>
      <c r="R41" s="2895"/>
      <c r="S41" s="2891"/>
    </row>
    <row r="42" spans="3:19" s="326" customFormat="1" ht="11.25" customHeight="1">
      <c r="D42" s="328"/>
      <c r="E42" s="331" t="s">
        <v>1875</v>
      </c>
      <c r="H42" s="2896" t="s">
        <v>887</v>
      </c>
      <c r="K42" s="2004" t="s">
        <v>2319</v>
      </c>
      <c r="L42" s="2893">
        <v>302690000</v>
      </c>
      <c r="M42" s="2942"/>
      <c r="O42" s="2002" t="s">
        <v>2064</v>
      </c>
      <c r="Q42" s="2890"/>
      <c r="R42" s="2895"/>
      <c r="S42" s="2891"/>
    </row>
    <row r="43" spans="3:19" s="326" customFormat="1" ht="11.25" customHeight="1">
      <c r="D43" s="369"/>
      <c r="E43" s="331" t="s">
        <v>2070</v>
      </c>
      <c r="H43" s="2890">
        <v>7704870555</v>
      </c>
      <c r="I43" s="2891"/>
      <c r="J43" s="3005"/>
      <c r="K43" s="2009" t="s">
        <v>2069</v>
      </c>
      <c r="L43" s="2897" t="s">
        <v>4661</v>
      </c>
      <c r="M43" s="2898"/>
      <c r="N43" s="2898"/>
      <c r="O43" s="2898"/>
      <c r="P43" s="2898"/>
      <c r="Q43" s="2898"/>
      <c r="R43" s="2898"/>
      <c r="S43" s="2899"/>
    </row>
    <row r="44" spans="3:19" s="326" customFormat="1" ht="4.1500000000000004" customHeight="1">
      <c r="D44" s="369"/>
      <c r="E44" s="331"/>
      <c r="F44" s="328"/>
      <c r="H44" s="363"/>
      <c r="I44" s="363"/>
      <c r="J44" s="3008"/>
      <c r="K44" s="2009"/>
      <c r="L44" s="363"/>
      <c r="M44" s="363"/>
      <c r="N44" s="2009"/>
      <c r="O44" s="363"/>
      <c r="P44" s="363"/>
      <c r="Q44" s="2009"/>
      <c r="R44" s="363"/>
      <c r="S44" s="363"/>
    </row>
    <row r="45" spans="3:19" s="326" customFormat="1" ht="11.25" customHeight="1">
      <c r="C45" s="372" t="s">
        <v>2634</v>
      </c>
      <c r="D45" s="368" t="s">
        <v>683</v>
      </c>
      <c r="H45" s="2012"/>
      <c r="I45" s="2012"/>
      <c r="J45" s="2012"/>
      <c r="K45" s="2012"/>
      <c r="L45" s="2012"/>
      <c r="M45" s="2012"/>
    </row>
    <row r="46" spans="3:19" s="326" customFormat="1" ht="11.25" customHeight="1">
      <c r="E46" s="326" t="s">
        <v>94</v>
      </c>
      <c r="H46" s="2882"/>
      <c r="I46" s="2941"/>
      <c r="J46" s="2941"/>
      <c r="K46" s="2941"/>
      <c r="L46" s="2941"/>
      <c r="M46" s="2941"/>
      <c r="N46" s="2942"/>
      <c r="O46" s="2002" t="s">
        <v>2075</v>
      </c>
      <c r="P46" s="2002"/>
      <c r="Q46" s="2882"/>
      <c r="R46" s="2941"/>
      <c r="S46" s="2942"/>
    </row>
    <row r="47" spans="3:19" s="326" customFormat="1" ht="11.25" customHeight="1">
      <c r="D47" s="369"/>
      <c r="E47" s="331" t="s">
        <v>1065</v>
      </c>
      <c r="F47" s="339"/>
      <c r="H47" s="2882"/>
      <c r="I47" s="2941"/>
      <c r="J47" s="2941"/>
      <c r="K47" s="2941"/>
      <c r="L47" s="2941"/>
      <c r="M47" s="2941"/>
      <c r="N47" s="2942"/>
      <c r="O47" s="2002" t="s">
        <v>1823</v>
      </c>
      <c r="Q47" s="2882"/>
      <c r="R47" s="2941"/>
      <c r="S47" s="2942"/>
    </row>
    <row r="48" spans="3:19" s="326" customFormat="1" ht="11.25" customHeight="1">
      <c r="D48" s="369"/>
      <c r="E48" s="331" t="s">
        <v>648</v>
      </c>
      <c r="H48" s="2882"/>
      <c r="I48" s="2941"/>
      <c r="J48" s="2942"/>
      <c r="K48" s="2003" t="s">
        <v>2832</v>
      </c>
      <c r="L48" s="2882"/>
      <c r="M48" s="2941"/>
      <c r="N48" s="2942"/>
      <c r="O48" s="2002" t="s">
        <v>1879</v>
      </c>
      <c r="Q48" s="2890"/>
      <c r="R48" s="2895"/>
      <c r="S48" s="2891"/>
    </row>
    <row r="49" spans="1:19" s="326" customFormat="1" ht="11.25" customHeight="1">
      <c r="E49" s="331" t="s">
        <v>1875</v>
      </c>
      <c r="H49" s="2896"/>
      <c r="K49" s="2004" t="s">
        <v>2319</v>
      </c>
      <c r="L49" s="2893"/>
      <c r="M49" s="2942"/>
      <c r="O49" s="2002" t="s">
        <v>2064</v>
      </c>
      <c r="Q49" s="2890"/>
      <c r="R49" s="2895"/>
      <c r="S49" s="2891"/>
    </row>
    <row r="50" spans="1:19" s="326" customFormat="1" ht="11.25" customHeight="1">
      <c r="D50" s="369"/>
      <c r="E50" s="331" t="s">
        <v>2070</v>
      </c>
      <c r="H50" s="2890"/>
      <c r="I50" s="2891"/>
      <c r="J50" s="3005"/>
      <c r="K50" s="2009" t="s">
        <v>2069</v>
      </c>
      <c r="L50" s="2897"/>
      <c r="M50" s="2898"/>
      <c r="N50" s="2898"/>
      <c r="O50" s="2898"/>
      <c r="P50" s="2898"/>
      <c r="Q50" s="2898"/>
      <c r="R50" s="2898"/>
      <c r="S50" s="2899"/>
    </row>
    <row r="51" spans="1:19" ht="6.75" customHeight="1"/>
    <row r="52" spans="1:19" s="326" customFormat="1" ht="13.15" customHeight="1">
      <c r="A52" s="328" t="s">
        <v>777</v>
      </c>
      <c r="B52" s="328" t="s">
        <v>684</v>
      </c>
      <c r="F52" s="328"/>
      <c r="G52" s="2009"/>
      <c r="H52" s="2009"/>
      <c r="I52" s="2009"/>
      <c r="J52" s="2012"/>
      <c r="K52" s="2012"/>
      <c r="L52" s="2012"/>
      <c r="M52" s="2012"/>
      <c r="N52" s="2012"/>
      <c r="O52" s="2012"/>
      <c r="P52" s="2012"/>
      <c r="Q52" s="2012"/>
      <c r="R52" s="2012"/>
      <c r="S52" s="2012"/>
    </row>
    <row r="53" spans="1:19" s="326" customFormat="1" ht="3" customHeight="1">
      <c r="A53" s="328"/>
      <c r="B53" s="328"/>
      <c r="F53" s="328"/>
      <c r="G53" s="2009"/>
      <c r="H53" s="3009"/>
      <c r="I53" s="3009"/>
      <c r="J53" s="3009"/>
      <c r="K53" s="2005"/>
      <c r="L53" s="3009"/>
      <c r="M53" s="3009"/>
      <c r="N53" s="2005"/>
      <c r="O53" s="3007"/>
      <c r="P53" s="3007"/>
      <c r="Q53" s="2009"/>
      <c r="R53" s="3007"/>
      <c r="S53" s="3007"/>
    </row>
    <row r="54" spans="1:19" s="326" customFormat="1" ht="11.25" customHeight="1">
      <c r="B54" s="328" t="s">
        <v>2068</v>
      </c>
      <c r="C54" s="328" t="s">
        <v>296</v>
      </c>
      <c r="H54" s="2882" t="s">
        <v>4662</v>
      </c>
      <c r="I54" s="2941"/>
      <c r="J54" s="2941"/>
      <c r="K54" s="2941"/>
      <c r="L54" s="2941"/>
      <c r="M54" s="2941"/>
      <c r="N54" s="2942"/>
      <c r="O54" s="2002" t="s">
        <v>2075</v>
      </c>
      <c r="P54" s="2002"/>
      <c r="Q54" s="2882" t="s">
        <v>4635</v>
      </c>
      <c r="R54" s="2941"/>
      <c r="S54" s="2942"/>
    </row>
    <row r="55" spans="1:19" s="326" customFormat="1" ht="11.25" customHeight="1">
      <c r="D55" s="369"/>
      <c r="E55" s="331" t="s">
        <v>1065</v>
      </c>
      <c r="F55" s="339"/>
      <c r="H55" s="2882" t="s">
        <v>4655</v>
      </c>
      <c r="I55" s="2941"/>
      <c r="J55" s="2941"/>
      <c r="K55" s="2941"/>
      <c r="L55" s="2941"/>
      <c r="M55" s="2941"/>
      <c r="N55" s="2942"/>
      <c r="O55" s="2002" t="s">
        <v>1823</v>
      </c>
      <c r="Q55" s="2882" t="s">
        <v>4636</v>
      </c>
      <c r="R55" s="2941"/>
      <c r="S55" s="2942"/>
    </row>
    <row r="56" spans="1:19" s="326" customFormat="1" ht="11.25" customHeight="1">
      <c r="D56" s="369"/>
      <c r="E56" s="331" t="s">
        <v>648</v>
      </c>
      <c r="H56" s="2882" t="s">
        <v>1258</v>
      </c>
      <c r="I56" s="2941"/>
      <c r="J56" s="2942"/>
      <c r="K56" s="2003" t="s">
        <v>2832</v>
      </c>
      <c r="L56" s="2882" t="s">
        <v>4665</v>
      </c>
      <c r="M56" s="2941"/>
      <c r="N56" s="2942"/>
      <c r="O56" s="2002" t="s">
        <v>1879</v>
      </c>
      <c r="Q56" s="2890">
        <v>4049493873</v>
      </c>
      <c r="R56" s="2895"/>
      <c r="S56" s="2891"/>
    </row>
    <row r="57" spans="1:19" s="326" customFormat="1" ht="11.25" customHeight="1">
      <c r="E57" s="331" t="s">
        <v>1875</v>
      </c>
      <c r="H57" s="2896" t="s">
        <v>887</v>
      </c>
      <c r="K57" s="2004" t="s">
        <v>2319</v>
      </c>
      <c r="L57" s="2893">
        <v>303272800</v>
      </c>
      <c r="M57" s="2942"/>
      <c r="O57" s="2002" t="s">
        <v>2064</v>
      </c>
      <c r="Q57" s="2890">
        <v>7708619049</v>
      </c>
      <c r="R57" s="2895"/>
      <c r="S57" s="2891"/>
    </row>
    <row r="58" spans="1:19" s="326" customFormat="1" ht="11.25" customHeight="1">
      <c r="D58" s="369"/>
      <c r="E58" s="331" t="s">
        <v>2070</v>
      </c>
      <c r="H58" s="2890">
        <v>4049493873</v>
      </c>
      <c r="I58" s="2891"/>
      <c r="J58" s="3005"/>
      <c r="K58" s="2009" t="s">
        <v>2069</v>
      </c>
      <c r="L58" s="2897" t="s">
        <v>4638</v>
      </c>
      <c r="M58" s="2898"/>
      <c r="N58" s="2898"/>
      <c r="O58" s="2898"/>
      <c r="P58" s="2898"/>
      <c r="Q58" s="2898"/>
      <c r="R58" s="2898"/>
      <c r="S58" s="2899"/>
    </row>
    <row r="59" spans="1:19" s="326" customFormat="1" ht="6.6" customHeight="1">
      <c r="D59" s="369"/>
      <c r="E59" s="2012"/>
      <c r="F59" s="2012"/>
      <c r="G59" s="2002"/>
      <c r="H59" s="3006"/>
      <c r="I59" s="3006"/>
      <c r="J59" s="3006"/>
      <c r="K59" s="2009"/>
      <c r="L59" s="3006"/>
      <c r="M59" s="3006"/>
      <c r="N59" s="2005"/>
      <c r="O59" s="3007"/>
      <c r="P59" s="3007"/>
      <c r="Q59" s="2009"/>
      <c r="R59" s="3007"/>
      <c r="S59" s="3007"/>
    </row>
    <row r="60" spans="1:19" s="326" customFormat="1" ht="11.25" customHeight="1">
      <c r="B60" s="328" t="s">
        <v>2071</v>
      </c>
      <c r="C60" s="328" t="s">
        <v>297</v>
      </c>
      <c r="H60" s="2882"/>
      <c r="I60" s="2941"/>
      <c r="J60" s="2941"/>
      <c r="K60" s="2941"/>
      <c r="L60" s="2941"/>
      <c r="M60" s="2941"/>
      <c r="N60" s="2942"/>
      <c r="O60" s="2002" t="s">
        <v>2075</v>
      </c>
      <c r="P60" s="2002"/>
      <c r="Q60" s="2882"/>
      <c r="R60" s="2941"/>
      <c r="S60" s="2942"/>
    </row>
    <row r="61" spans="1:19" s="326" customFormat="1" ht="11.25" customHeight="1">
      <c r="D61" s="369"/>
      <c r="E61" s="331" t="s">
        <v>1065</v>
      </c>
      <c r="F61" s="339"/>
      <c r="H61" s="2882"/>
      <c r="I61" s="2941"/>
      <c r="J61" s="2941"/>
      <c r="K61" s="2941"/>
      <c r="L61" s="2941"/>
      <c r="M61" s="2941"/>
      <c r="N61" s="2942"/>
      <c r="O61" s="2002" t="s">
        <v>1823</v>
      </c>
      <c r="Q61" s="2882"/>
      <c r="R61" s="2941"/>
      <c r="S61" s="2942"/>
    </row>
    <row r="62" spans="1:19" s="326" customFormat="1" ht="11.25" customHeight="1">
      <c r="D62" s="369"/>
      <c r="E62" s="331" t="s">
        <v>648</v>
      </c>
      <c r="H62" s="2882"/>
      <c r="I62" s="2941"/>
      <c r="J62" s="2942"/>
      <c r="K62" s="2003" t="s">
        <v>2832</v>
      </c>
      <c r="L62" s="2882"/>
      <c r="M62" s="2941"/>
      <c r="N62" s="2942"/>
      <c r="O62" s="2002" t="s">
        <v>1879</v>
      </c>
      <c r="Q62" s="2890"/>
      <c r="R62" s="2895"/>
      <c r="S62" s="2891"/>
    </row>
    <row r="63" spans="1:19" s="326" customFormat="1" ht="11.25" customHeight="1">
      <c r="E63" s="331" t="s">
        <v>1875</v>
      </c>
      <c r="H63" s="2896"/>
      <c r="K63" s="2004" t="s">
        <v>2319</v>
      </c>
      <c r="L63" s="2893"/>
      <c r="M63" s="2942"/>
      <c r="O63" s="2002" t="s">
        <v>2064</v>
      </c>
      <c r="Q63" s="2890"/>
      <c r="R63" s="2895"/>
      <c r="S63" s="2891"/>
    </row>
    <row r="64" spans="1:19" s="326" customFormat="1" ht="11.25" customHeight="1">
      <c r="D64" s="369"/>
      <c r="E64" s="331" t="s">
        <v>2070</v>
      </c>
      <c r="H64" s="2890"/>
      <c r="I64" s="2891"/>
      <c r="J64" s="3005"/>
      <c r="K64" s="2009" t="s">
        <v>2069</v>
      </c>
      <c r="L64" s="2897"/>
      <c r="M64" s="2898"/>
      <c r="N64" s="2898"/>
      <c r="O64" s="2898"/>
      <c r="P64" s="2898"/>
      <c r="Q64" s="2898"/>
      <c r="R64" s="2898"/>
      <c r="S64" s="2899"/>
    </row>
    <row r="65" spans="1:19" s="326" customFormat="1" ht="6.6" customHeight="1">
      <c r="D65" s="369"/>
      <c r="E65" s="2012"/>
      <c r="F65" s="2012"/>
      <c r="G65" s="2002"/>
      <c r="H65" s="3006"/>
      <c r="I65" s="3006"/>
      <c r="J65" s="3006"/>
      <c r="K65" s="2009"/>
      <c r="L65" s="3006"/>
      <c r="M65" s="3006"/>
      <c r="N65" s="2005"/>
      <c r="O65" s="3007"/>
      <c r="P65" s="3007"/>
      <c r="Q65" s="2009"/>
      <c r="R65" s="3007"/>
      <c r="S65" s="3007"/>
    </row>
    <row r="66" spans="1:19" s="326" customFormat="1" ht="11.25" customHeight="1">
      <c r="B66" s="328" t="s">
        <v>786</v>
      </c>
      <c r="C66" s="328" t="s">
        <v>1594</v>
      </c>
      <c r="H66" s="2882"/>
      <c r="I66" s="2941"/>
      <c r="J66" s="2941"/>
      <c r="K66" s="2941"/>
      <c r="L66" s="2941"/>
      <c r="M66" s="2941"/>
      <c r="N66" s="2942"/>
      <c r="O66" s="2002" t="s">
        <v>2075</v>
      </c>
      <c r="P66" s="2002"/>
      <c r="Q66" s="2882"/>
      <c r="R66" s="2941"/>
      <c r="S66" s="2942"/>
    </row>
    <row r="67" spans="1:19" s="326" customFormat="1" ht="11.25" customHeight="1">
      <c r="D67" s="369"/>
      <c r="E67" s="331" t="s">
        <v>1065</v>
      </c>
      <c r="F67" s="339"/>
      <c r="H67" s="2882"/>
      <c r="I67" s="2941"/>
      <c r="J67" s="2941"/>
      <c r="K67" s="2941"/>
      <c r="L67" s="2941"/>
      <c r="M67" s="2941"/>
      <c r="N67" s="2942"/>
      <c r="O67" s="2002" t="s">
        <v>1823</v>
      </c>
      <c r="Q67" s="2882"/>
      <c r="R67" s="2941"/>
      <c r="S67" s="2942"/>
    </row>
    <row r="68" spans="1:19" s="326" customFormat="1" ht="11.25" customHeight="1">
      <c r="D68" s="369"/>
      <c r="E68" s="331" t="s">
        <v>648</v>
      </c>
      <c r="H68" s="2882"/>
      <c r="I68" s="2941"/>
      <c r="J68" s="2942"/>
      <c r="K68" s="2003" t="s">
        <v>2832</v>
      </c>
      <c r="L68" s="2882"/>
      <c r="M68" s="2941"/>
      <c r="N68" s="2942"/>
      <c r="O68" s="2002" t="s">
        <v>1879</v>
      </c>
      <c r="Q68" s="2890"/>
      <c r="R68" s="2895"/>
      <c r="S68" s="2891"/>
    </row>
    <row r="69" spans="1:19" s="326" customFormat="1" ht="11.25" customHeight="1">
      <c r="E69" s="331" t="s">
        <v>1875</v>
      </c>
      <c r="H69" s="2896"/>
      <c r="K69" s="2004" t="s">
        <v>2319</v>
      </c>
      <c r="L69" s="2893"/>
      <c r="M69" s="2942"/>
      <c r="O69" s="2002" t="s">
        <v>2064</v>
      </c>
      <c r="Q69" s="2890"/>
      <c r="R69" s="2895"/>
      <c r="S69" s="2891"/>
    </row>
    <row r="70" spans="1:19" s="326" customFormat="1" ht="11.25" customHeight="1">
      <c r="D70" s="369"/>
      <c r="E70" s="331" t="s">
        <v>2070</v>
      </c>
      <c r="H70" s="2890"/>
      <c r="I70" s="2891"/>
      <c r="J70" s="3005"/>
      <c r="K70" s="2009" t="s">
        <v>2069</v>
      </c>
      <c r="L70" s="2897"/>
      <c r="M70" s="2898"/>
      <c r="N70" s="2898"/>
      <c r="O70" s="2898"/>
      <c r="P70" s="2898"/>
      <c r="Q70" s="2898"/>
      <c r="R70" s="2898"/>
      <c r="S70" s="2899"/>
    </row>
    <row r="71" spans="1:19" ht="6.6" customHeight="1">
      <c r="H71" s="3006"/>
      <c r="I71" s="3006"/>
      <c r="J71" s="3006"/>
      <c r="K71" s="2009"/>
      <c r="L71" s="3006"/>
      <c r="M71" s="3006"/>
      <c r="N71" s="2005"/>
      <c r="O71" s="3007"/>
      <c r="P71" s="3007"/>
      <c r="Q71" s="2009"/>
      <c r="R71" s="3007"/>
      <c r="S71" s="3007"/>
    </row>
    <row r="72" spans="1:19" s="326" customFormat="1" ht="11.25" customHeight="1">
      <c r="B72" s="328" t="s">
        <v>2203</v>
      </c>
      <c r="C72" s="328" t="s">
        <v>298</v>
      </c>
      <c r="H72" s="2882"/>
      <c r="I72" s="2941"/>
      <c r="J72" s="2941"/>
      <c r="K72" s="2941"/>
      <c r="L72" s="2941"/>
      <c r="M72" s="2941"/>
      <c r="N72" s="2942"/>
      <c r="O72" s="2002" t="s">
        <v>2075</v>
      </c>
      <c r="P72" s="2002"/>
      <c r="Q72" s="2882"/>
      <c r="R72" s="2941"/>
      <c r="S72" s="2942"/>
    </row>
    <row r="73" spans="1:19" s="326" customFormat="1" ht="11.25" customHeight="1">
      <c r="D73" s="369"/>
      <c r="E73" s="331" t="s">
        <v>1065</v>
      </c>
      <c r="F73" s="339"/>
      <c r="H73" s="2882"/>
      <c r="I73" s="2941"/>
      <c r="J73" s="2941"/>
      <c r="K73" s="2941"/>
      <c r="L73" s="2941"/>
      <c r="M73" s="2941"/>
      <c r="N73" s="2942"/>
      <c r="O73" s="2002" t="s">
        <v>1823</v>
      </c>
      <c r="Q73" s="2882"/>
      <c r="R73" s="2941"/>
      <c r="S73" s="2942"/>
    </row>
    <row r="74" spans="1:19" s="326" customFormat="1" ht="11.25" customHeight="1">
      <c r="D74" s="369"/>
      <c r="E74" s="331" t="s">
        <v>648</v>
      </c>
      <c r="H74" s="2882"/>
      <c r="I74" s="2941"/>
      <c r="J74" s="2942"/>
      <c r="K74" s="2003" t="s">
        <v>2832</v>
      </c>
      <c r="L74" s="2882"/>
      <c r="M74" s="2941"/>
      <c r="N74" s="2942"/>
      <c r="O74" s="2002" t="s">
        <v>1879</v>
      </c>
      <c r="Q74" s="2890"/>
      <c r="R74" s="2895"/>
      <c r="S74" s="2891"/>
    </row>
    <row r="75" spans="1:19" s="326" customFormat="1" ht="11.25" customHeight="1">
      <c r="E75" s="331" t="s">
        <v>1875</v>
      </c>
      <c r="H75" s="2896"/>
      <c r="K75" s="2004" t="s">
        <v>2319</v>
      </c>
      <c r="L75" s="2893"/>
      <c r="M75" s="2942"/>
      <c r="O75" s="2002" t="s">
        <v>2064</v>
      </c>
      <c r="Q75" s="2890"/>
      <c r="R75" s="2895"/>
      <c r="S75" s="2891"/>
    </row>
    <row r="76" spans="1:19" s="326" customFormat="1" ht="11.25" customHeight="1">
      <c r="D76" s="369"/>
      <c r="E76" s="331" t="s">
        <v>2070</v>
      </c>
      <c r="H76" s="2890"/>
      <c r="I76" s="2891"/>
      <c r="J76" s="3005"/>
      <c r="K76" s="2009" t="s">
        <v>2069</v>
      </c>
      <c r="L76" s="2897"/>
      <c r="M76" s="2898"/>
      <c r="N76" s="2898"/>
      <c r="O76" s="2898"/>
      <c r="P76" s="2898"/>
      <c r="Q76" s="2898"/>
      <c r="R76" s="2898"/>
      <c r="S76" s="2899"/>
    </row>
    <row r="77" spans="1:19" ht="6.75" customHeight="1"/>
    <row r="78" spans="1:19" s="331" customFormat="1" ht="13.15" customHeight="1">
      <c r="A78" s="332" t="s">
        <v>779</v>
      </c>
      <c r="B78" s="332" t="s">
        <v>299</v>
      </c>
      <c r="D78" s="332"/>
      <c r="E78" s="2002"/>
      <c r="F78" s="296"/>
      <c r="G78" s="296"/>
      <c r="H78" s="296"/>
      <c r="I78" s="296"/>
      <c r="J78" s="296"/>
      <c r="K78" s="296"/>
      <c r="L78" s="296"/>
      <c r="M78" s="296"/>
    </row>
    <row r="79" spans="1:19" s="331" customFormat="1" ht="3" customHeight="1">
      <c r="A79" s="332"/>
      <c r="B79" s="332"/>
      <c r="D79" s="332"/>
      <c r="E79" s="2002"/>
      <c r="F79" s="296"/>
      <c r="G79" s="296"/>
      <c r="H79" s="3009"/>
      <c r="I79" s="3009"/>
      <c r="J79" s="3009"/>
      <c r="K79" s="2005"/>
      <c r="L79" s="3009"/>
      <c r="M79" s="3009"/>
      <c r="N79" s="2005"/>
      <c r="O79" s="3007"/>
      <c r="P79" s="3007"/>
      <c r="Q79" s="2009"/>
      <c r="R79" s="3007"/>
      <c r="S79" s="3007"/>
    </row>
    <row r="80" spans="1:19" s="326" customFormat="1" ht="11.25" customHeight="1">
      <c r="B80" s="328" t="s">
        <v>2068</v>
      </c>
      <c r="C80" s="328" t="s">
        <v>300</v>
      </c>
      <c r="H80" s="2882"/>
      <c r="I80" s="2941"/>
      <c r="J80" s="2941"/>
      <c r="K80" s="2941"/>
      <c r="L80" s="2941"/>
      <c r="M80" s="2941"/>
      <c r="N80" s="2942"/>
      <c r="O80" s="2002" t="s">
        <v>2075</v>
      </c>
      <c r="P80" s="2002"/>
      <c r="Q80" s="2882"/>
      <c r="R80" s="2941"/>
      <c r="S80" s="2942"/>
    </row>
    <row r="81" spans="2:19" s="326" customFormat="1" ht="11.25" customHeight="1">
      <c r="D81" s="369"/>
      <c r="E81" s="331" t="s">
        <v>1065</v>
      </c>
      <c r="F81" s="339"/>
      <c r="H81" s="2882"/>
      <c r="I81" s="2941"/>
      <c r="J81" s="2941"/>
      <c r="K81" s="2941"/>
      <c r="L81" s="2941"/>
      <c r="M81" s="2941"/>
      <c r="N81" s="2942"/>
      <c r="O81" s="2002" t="s">
        <v>1823</v>
      </c>
      <c r="Q81" s="2882"/>
      <c r="R81" s="2941"/>
      <c r="S81" s="2942"/>
    </row>
    <row r="82" spans="2:19" s="326" customFormat="1" ht="11.25" customHeight="1">
      <c r="D82" s="369"/>
      <c r="E82" s="331" t="s">
        <v>648</v>
      </c>
      <c r="H82" s="2882"/>
      <c r="I82" s="2941"/>
      <c r="J82" s="2942"/>
      <c r="K82" s="2003" t="s">
        <v>2832</v>
      </c>
      <c r="L82" s="2882"/>
      <c r="M82" s="2941"/>
      <c r="N82" s="2942"/>
      <c r="O82" s="2002" t="s">
        <v>1879</v>
      </c>
      <c r="Q82" s="2890"/>
      <c r="R82" s="2895"/>
      <c r="S82" s="2891"/>
    </row>
    <row r="83" spans="2:19" s="326" customFormat="1" ht="11.25" customHeight="1">
      <c r="E83" s="331" t="s">
        <v>1875</v>
      </c>
      <c r="H83" s="2896"/>
      <c r="K83" s="2004" t="s">
        <v>2319</v>
      </c>
      <c r="L83" s="2893"/>
      <c r="M83" s="2942"/>
      <c r="O83" s="2002" t="s">
        <v>2064</v>
      </c>
      <c r="Q83" s="2890"/>
      <c r="R83" s="2895"/>
      <c r="S83" s="2891"/>
    </row>
    <row r="84" spans="2:19" s="326" customFormat="1" ht="11.25" customHeight="1">
      <c r="D84" s="369"/>
      <c r="E84" s="331" t="s">
        <v>2070</v>
      </c>
      <c r="H84" s="2890"/>
      <c r="I84" s="2891"/>
      <c r="J84" s="3005"/>
      <c r="K84" s="2009" t="s">
        <v>2069</v>
      </c>
      <c r="L84" s="2897"/>
      <c r="M84" s="2898"/>
      <c r="N84" s="2898"/>
      <c r="O84" s="2898"/>
      <c r="P84" s="2898"/>
      <c r="Q84" s="2898"/>
      <c r="R84" s="2898"/>
      <c r="S84" s="2899"/>
    </row>
    <row r="85" spans="2:19" ht="6.6" customHeight="1">
      <c r="H85" s="3006"/>
      <c r="I85" s="3006"/>
      <c r="J85" s="3006"/>
      <c r="K85" s="2009"/>
      <c r="L85" s="3006"/>
      <c r="M85" s="3006"/>
      <c r="N85" s="2005"/>
      <c r="O85" s="3007"/>
      <c r="P85" s="3007"/>
      <c r="Q85" s="2009"/>
      <c r="R85" s="3007"/>
      <c r="S85" s="3007"/>
    </row>
    <row r="86" spans="2:19" s="326" customFormat="1" ht="11.25" customHeight="1">
      <c r="B86" s="328" t="s">
        <v>2071</v>
      </c>
      <c r="C86" s="328" t="s">
        <v>301</v>
      </c>
      <c r="H86" s="2882" t="s">
        <v>4663</v>
      </c>
      <c r="I86" s="2941"/>
      <c r="J86" s="2941"/>
      <c r="K86" s="2941"/>
      <c r="L86" s="2941"/>
      <c r="M86" s="2941"/>
      <c r="N86" s="2942"/>
      <c r="O86" s="2002" t="s">
        <v>2075</v>
      </c>
      <c r="P86" s="2002"/>
      <c r="Q86" s="2882" t="s">
        <v>4664</v>
      </c>
      <c r="R86" s="2941"/>
      <c r="S86" s="2942"/>
    </row>
    <row r="87" spans="2:19" s="326" customFormat="1" ht="11.25" customHeight="1">
      <c r="D87" s="369"/>
      <c r="E87" s="331" t="s">
        <v>1065</v>
      </c>
      <c r="F87" s="339"/>
      <c r="H87" s="2882" t="s">
        <v>4652</v>
      </c>
      <c r="I87" s="2941"/>
      <c r="J87" s="2941"/>
      <c r="K87" s="2941"/>
      <c r="L87" s="2941"/>
      <c r="M87" s="2941"/>
      <c r="N87" s="2942"/>
      <c r="O87" s="2002" t="s">
        <v>1823</v>
      </c>
      <c r="Q87" s="2882" t="s">
        <v>4659</v>
      </c>
      <c r="R87" s="2941"/>
      <c r="S87" s="2942"/>
    </row>
    <row r="88" spans="2:19" s="326" customFormat="1" ht="11.25" customHeight="1">
      <c r="D88" s="369"/>
      <c r="E88" s="331" t="s">
        <v>648</v>
      </c>
      <c r="H88" s="2882" t="s">
        <v>1258</v>
      </c>
      <c r="I88" s="2941"/>
      <c r="J88" s="2942"/>
      <c r="K88" s="2003" t="s">
        <v>2832</v>
      </c>
      <c r="L88" s="2882" t="s">
        <v>4665</v>
      </c>
      <c r="M88" s="2941"/>
      <c r="N88" s="2942"/>
      <c r="O88" s="2002" t="s">
        <v>1879</v>
      </c>
      <c r="Q88" s="2890">
        <v>4049493882</v>
      </c>
      <c r="R88" s="2895"/>
      <c r="S88" s="2891"/>
    </row>
    <row r="89" spans="2:19" s="326" customFormat="1" ht="11.25" customHeight="1">
      <c r="E89" s="331" t="s">
        <v>1875</v>
      </c>
      <c r="H89" s="2896" t="s">
        <v>887</v>
      </c>
      <c r="K89" s="2004" t="s">
        <v>2319</v>
      </c>
      <c r="L89" s="2893">
        <v>303272800</v>
      </c>
      <c r="M89" s="2942"/>
      <c r="O89" s="2002" t="s">
        <v>2064</v>
      </c>
      <c r="Q89" s="2890">
        <v>4043761063</v>
      </c>
      <c r="R89" s="2895"/>
      <c r="S89" s="2891"/>
    </row>
    <row r="90" spans="2:19" s="326" customFormat="1" ht="11.25" customHeight="1">
      <c r="D90" s="369"/>
      <c r="E90" s="331" t="s">
        <v>2070</v>
      </c>
      <c r="H90" s="2890">
        <v>4049493882</v>
      </c>
      <c r="I90" s="2891"/>
      <c r="J90" s="3005"/>
      <c r="K90" s="2009" t="s">
        <v>2069</v>
      </c>
      <c r="L90" s="2897" t="s">
        <v>4666</v>
      </c>
      <c r="M90" s="2898"/>
      <c r="N90" s="2898"/>
      <c r="O90" s="2898"/>
      <c r="P90" s="2898"/>
      <c r="Q90" s="2898"/>
      <c r="R90" s="2898"/>
      <c r="S90" s="2899"/>
    </row>
    <row r="91" spans="2:19" ht="6.6" customHeight="1">
      <c r="H91" s="3006"/>
      <c r="I91" s="3006"/>
      <c r="J91" s="3006"/>
      <c r="K91" s="2009"/>
      <c r="L91" s="3006"/>
      <c r="M91" s="3006"/>
      <c r="N91" s="2005"/>
      <c r="O91" s="3007"/>
      <c r="P91" s="3007"/>
      <c r="Q91" s="2009"/>
      <c r="R91" s="3007"/>
      <c r="S91" s="3007"/>
    </row>
    <row r="92" spans="2:19" s="326" customFormat="1" ht="11.25" customHeight="1">
      <c r="B92" s="328" t="s">
        <v>786</v>
      </c>
      <c r="C92" s="328" t="s">
        <v>302</v>
      </c>
      <c r="F92" s="345"/>
      <c r="H92" s="2882" t="s">
        <v>4667</v>
      </c>
      <c r="I92" s="2941"/>
      <c r="J92" s="2941"/>
      <c r="K92" s="2941"/>
      <c r="L92" s="2941"/>
      <c r="M92" s="2941"/>
      <c r="N92" s="2942"/>
      <c r="O92" s="2002" t="s">
        <v>2075</v>
      </c>
      <c r="P92" s="2002"/>
      <c r="Q92" s="2882" t="s">
        <v>4669</v>
      </c>
      <c r="R92" s="2941"/>
      <c r="S92" s="2942"/>
    </row>
    <row r="93" spans="2:19" s="326" customFormat="1" ht="11.25" customHeight="1">
      <c r="D93" s="369"/>
      <c r="E93" s="331" t="s">
        <v>1065</v>
      </c>
      <c r="F93" s="339"/>
      <c r="H93" s="2882" t="s">
        <v>4668</v>
      </c>
      <c r="I93" s="2941"/>
      <c r="J93" s="2941"/>
      <c r="K93" s="2941"/>
      <c r="L93" s="2941"/>
      <c r="M93" s="2941"/>
      <c r="N93" s="2942"/>
      <c r="O93" s="2002" t="s">
        <v>1823</v>
      </c>
      <c r="Q93" s="2882" t="s">
        <v>4670</v>
      </c>
      <c r="R93" s="2941"/>
      <c r="S93" s="2942"/>
    </row>
    <row r="94" spans="2:19" s="326" customFormat="1" ht="11.25" customHeight="1">
      <c r="D94" s="369"/>
      <c r="E94" s="331" t="s">
        <v>648</v>
      </c>
      <c r="H94" s="2882" t="s">
        <v>1258</v>
      </c>
      <c r="I94" s="2941"/>
      <c r="J94" s="2942"/>
      <c r="K94" s="2003" t="s">
        <v>2832</v>
      </c>
      <c r="L94" s="2882" t="s">
        <v>4671</v>
      </c>
      <c r="M94" s="2941"/>
      <c r="N94" s="2942"/>
      <c r="O94" s="2002" t="s">
        <v>1879</v>
      </c>
      <c r="Q94" s="2890">
        <v>9014357720</v>
      </c>
      <c r="R94" s="2895"/>
      <c r="S94" s="2891"/>
    </row>
    <row r="95" spans="2:19" s="326" customFormat="1" ht="11.25" customHeight="1">
      <c r="D95" s="369"/>
      <c r="E95" s="331" t="s">
        <v>1875</v>
      </c>
      <c r="H95" s="2896" t="s">
        <v>1415</v>
      </c>
      <c r="K95" s="2004" t="s">
        <v>2319</v>
      </c>
      <c r="L95" s="2893">
        <v>381182409</v>
      </c>
      <c r="M95" s="2942"/>
      <c r="O95" s="2002" t="s">
        <v>2064</v>
      </c>
      <c r="Q95" s="2890">
        <v>9015089195</v>
      </c>
      <c r="R95" s="2895"/>
      <c r="S95" s="2891"/>
    </row>
    <row r="96" spans="2:19" s="326" customFormat="1" ht="11.25" customHeight="1">
      <c r="D96" s="369"/>
      <c r="E96" s="331" t="s">
        <v>2070</v>
      </c>
      <c r="H96" s="2890">
        <v>9014357720</v>
      </c>
      <c r="I96" s="2891"/>
      <c r="J96" s="3005"/>
      <c r="K96" s="2009" t="s">
        <v>2069</v>
      </c>
      <c r="L96" s="2897" t="s">
        <v>4672</v>
      </c>
      <c r="M96" s="2898"/>
      <c r="N96" s="2898"/>
      <c r="O96" s="2898"/>
      <c r="P96" s="2898"/>
      <c r="Q96" s="2898"/>
      <c r="R96" s="2898"/>
      <c r="S96" s="2899"/>
    </row>
    <row r="97" spans="2:19" ht="6.6" customHeight="1">
      <c r="H97" s="3006"/>
      <c r="I97" s="3006"/>
      <c r="J97" s="3006"/>
      <c r="K97" s="2009"/>
      <c r="L97" s="3006"/>
      <c r="M97" s="3006"/>
      <c r="N97" s="2005"/>
      <c r="O97" s="3007"/>
      <c r="P97" s="3007"/>
      <c r="Q97" s="2009"/>
      <c r="R97" s="3007"/>
      <c r="S97" s="3007"/>
    </row>
    <row r="98" spans="2:19" s="326" customFormat="1" ht="11.25" customHeight="1">
      <c r="B98" s="328" t="s">
        <v>2203</v>
      </c>
      <c r="C98" s="328" t="s">
        <v>303</v>
      </c>
      <c r="H98" s="2882" t="s">
        <v>4673</v>
      </c>
      <c r="I98" s="2941"/>
      <c r="J98" s="2941"/>
      <c r="K98" s="2941"/>
      <c r="L98" s="2941"/>
      <c r="M98" s="2941"/>
      <c r="N98" s="2942"/>
      <c r="O98" s="2002" t="s">
        <v>2075</v>
      </c>
      <c r="P98" s="2002"/>
      <c r="Q98" s="2882" t="s">
        <v>4674</v>
      </c>
      <c r="R98" s="2941"/>
      <c r="S98" s="2942"/>
    </row>
    <row r="99" spans="2:19" s="326" customFormat="1" ht="11.25" customHeight="1">
      <c r="D99" s="369"/>
      <c r="E99" s="331" t="s">
        <v>1065</v>
      </c>
      <c r="F99" s="339"/>
      <c r="H99" s="2882" t="s">
        <v>4676</v>
      </c>
      <c r="I99" s="2941"/>
      <c r="J99" s="2941"/>
      <c r="K99" s="2941"/>
      <c r="L99" s="2941"/>
      <c r="M99" s="2941"/>
      <c r="N99" s="2942"/>
      <c r="O99" s="2002" t="s">
        <v>1823</v>
      </c>
      <c r="Q99" s="2882" t="s">
        <v>4675</v>
      </c>
      <c r="R99" s="2941"/>
      <c r="S99" s="2942"/>
    </row>
    <row r="100" spans="2:19" s="326" customFormat="1" ht="11.25" customHeight="1">
      <c r="D100" s="369"/>
      <c r="E100" s="331" t="s">
        <v>648</v>
      </c>
      <c r="H100" s="2882" t="s">
        <v>1258</v>
      </c>
      <c r="I100" s="2941"/>
      <c r="J100" s="2942"/>
      <c r="K100" s="2003" t="s">
        <v>2832</v>
      </c>
      <c r="L100" s="2882" t="s">
        <v>4677</v>
      </c>
      <c r="M100" s="2941"/>
      <c r="N100" s="2942"/>
      <c r="O100" s="2002" t="s">
        <v>1879</v>
      </c>
      <c r="Q100" s="2890">
        <v>4048737014</v>
      </c>
      <c r="R100" s="2895"/>
      <c r="S100" s="2891"/>
    </row>
    <row r="101" spans="2:19" s="326" customFormat="1" ht="11.25" customHeight="1">
      <c r="D101" s="369"/>
      <c r="E101" s="331" t="s">
        <v>1875</v>
      </c>
      <c r="H101" s="2896" t="s">
        <v>887</v>
      </c>
      <c r="K101" s="2004" t="s">
        <v>2319</v>
      </c>
      <c r="L101" s="2893">
        <v>303631031</v>
      </c>
      <c r="M101" s="2942"/>
      <c r="O101" s="2002" t="s">
        <v>2064</v>
      </c>
      <c r="Q101" s="2890">
        <v>4042340004</v>
      </c>
      <c r="R101" s="2895"/>
      <c r="S101" s="2891"/>
    </row>
    <row r="102" spans="2:19" ht="11.25" customHeight="1">
      <c r="E102" s="331" t="s">
        <v>2070</v>
      </c>
      <c r="F102" s="326"/>
      <c r="G102" s="326"/>
      <c r="H102" s="2890">
        <v>4048737014</v>
      </c>
      <c r="I102" s="2891"/>
      <c r="J102" s="3005"/>
      <c r="K102" s="2009" t="s">
        <v>2069</v>
      </c>
      <c r="L102" s="2897" t="s">
        <v>4678</v>
      </c>
      <c r="M102" s="2898"/>
      <c r="N102" s="2898"/>
      <c r="O102" s="2898"/>
      <c r="P102" s="2898"/>
      <c r="Q102" s="2898"/>
      <c r="R102" s="2898"/>
      <c r="S102" s="2899"/>
    </row>
    <row r="103" spans="2:19" ht="6" customHeight="1">
      <c r="E103" s="331"/>
      <c r="F103" s="326"/>
      <c r="G103" s="326"/>
      <c r="H103" s="326"/>
      <c r="I103" s="326"/>
      <c r="J103" s="326"/>
      <c r="K103" s="326"/>
      <c r="L103" s="326"/>
      <c r="M103" s="326"/>
      <c r="N103" s="326"/>
      <c r="O103" s="326"/>
      <c r="P103" s="326"/>
      <c r="Q103" s="2009"/>
      <c r="R103" s="2009"/>
      <c r="S103" s="3010"/>
    </row>
    <row r="104" spans="2:19" ht="0.6" customHeight="1">
      <c r="E104" s="331"/>
      <c r="F104" s="326"/>
      <c r="G104" s="2012"/>
      <c r="H104" s="3009"/>
      <c r="I104" s="3009"/>
      <c r="J104" s="3009"/>
      <c r="K104" s="2005"/>
      <c r="L104" s="3009"/>
      <c r="M104" s="3009"/>
      <c r="N104" s="2005"/>
      <c r="O104" s="3007"/>
      <c r="P104" s="3007"/>
      <c r="Q104" s="2009"/>
      <c r="R104" s="3007"/>
      <c r="S104" s="3007"/>
    </row>
    <row r="105" spans="2:19" s="326" customFormat="1" ht="11.25" customHeight="1">
      <c r="B105" s="328" t="s">
        <v>1811</v>
      </c>
      <c r="C105" s="328" t="s">
        <v>304</v>
      </c>
      <c r="H105" s="2882" t="s">
        <v>4679</v>
      </c>
      <c r="I105" s="2941"/>
      <c r="J105" s="2941"/>
      <c r="K105" s="2941"/>
      <c r="L105" s="2941"/>
      <c r="M105" s="2941"/>
      <c r="N105" s="2942"/>
      <c r="O105" s="2002" t="s">
        <v>2075</v>
      </c>
      <c r="P105" s="2002"/>
      <c r="Q105" s="2882" t="s">
        <v>4680</v>
      </c>
      <c r="R105" s="2941"/>
      <c r="S105" s="2942"/>
    </row>
    <row r="106" spans="2:19" s="326" customFormat="1" ht="11.25" customHeight="1">
      <c r="D106" s="369"/>
      <c r="E106" s="331" t="s">
        <v>1065</v>
      </c>
      <c r="F106" s="339"/>
      <c r="H106" s="2882" t="s">
        <v>4681</v>
      </c>
      <c r="I106" s="2941"/>
      <c r="J106" s="2941"/>
      <c r="K106" s="2941"/>
      <c r="L106" s="2941"/>
      <c r="M106" s="2941"/>
      <c r="N106" s="2942"/>
      <c r="O106" s="2002" t="s">
        <v>1823</v>
      </c>
      <c r="Q106" s="2882" t="s">
        <v>4682</v>
      </c>
      <c r="R106" s="2941"/>
      <c r="S106" s="2942"/>
    </row>
    <row r="107" spans="2:19" s="326" customFormat="1" ht="11.25" customHeight="1">
      <c r="D107" s="369"/>
      <c r="E107" s="331" t="s">
        <v>648</v>
      </c>
      <c r="H107" s="2882" t="s">
        <v>1258</v>
      </c>
      <c r="I107" s="2941"/>
      <c r="J107" s="2942"/>
      <c r="K107" s="2003" t="s">
        <v>2832</v>
      </c>
      <c r="L107" s="2882" t="s">
        <v>4683</v>
      </c>
      <c r="M107" s="2941"/>
      <c r="N107" s="2942"/>
      <c r="O107" s="2002" t="s">
        <v>1879</v>
      </c>
      <c r="Q107" s="2890">
        <v>4048479447</v>
      </c>
      <c r="R107" s="2895"/>
      <c r="S107" s="2891"/>
    </row>
    <row r="108" spans="2:19" s="326" customFormat="1" ht="11.25" customHeight="1">
      <c r="D108" s="369"/>
      <c r="E108" s="331" t="s">
        <v>1875</v>
      </c>
      <c r="H108" s="2896" t="s">
        <v>887</v>
      </c>
      <c r="K108" s="2004" t="s">
        <v>2319</v>
      </c>
      <c r="L108" s="2893">
        <v>303264726</v>
      </c>
      <c r="M108" s="2942"/>
      <c r="O108" s="2002" t="s">
        <v>2064</v>
      </c>
      <c r="Q108" s="2890">
        <v>6785760400</v>
      </c>
      <c r="R108" s="2895"/>
      <c r="S108" s="2891"/>
    </row>
    <row r="109" spans="2:19" ht="11.25" customHeight="1">
      <c r="E109" s="331" t="s">
        <v>2070</v>
      </c>
      <c r="F109" s="326"/>
      <c r="G109" s="326"/>
      <c r="H109" s="2890">
        <v>4048479447</v>
      </c>
      <c r="I109" s="2891"/>
      <c r="J109" s="3005"/>
      <c r="K109" s="2009" t="s">
        <v>2069</v>
      </c>
      <c r="L109" s="2897" t="s">
        <v>4684</v>
      </c>
      <c r="M109" s="2898"/>
      <c r="N109" s="2898"/>
      <c r="O109" s="2898"/>
      <c r="P109" s="2898"/>
      <c r="Q109" s="2898"/>
      <c r="R109" s="2898"/>
      <c r="S109" s="2899"/>
    </row>
    <row r="110" spans="2:19" ht="6.6" customHeight="1">
      <c r="E110" s="331"/>
      <c r="F110" s="326"/>
      <c r="G110" s="2012"/>
      <c r="H110" s="3006"/>
      <c r="I110" s="3006"/>
      <c r="J110" s="3006"/>
      <c r="K110" s="2009"/>
      <c r="L110" s="3006"/>
      <c r="M110" s="3006"/>
      <c r="N110" s="2005"/>
      <c r="O110" s="3007"/>
      <c r="P110" s="3007"/>
      <c r="Q110" s="2009"/>
      <c r="R110" s="3007"/>
      <c r="S110" s="3007"/>
    </row>
    <row r="111" spans="2:19" s="326" customFormat="1" ht="11.25" customHeight="1">
      <c r="B111" s="328" t="s">
        <v>1812</v>
      </c>
      <c r="C111" s="328" t="s">
        <v>305</v>
      </c>
      <c r="H111" s="2882" t="s">
        <v>4685</v>
      </c>
      <c r="I111" s="2941"/>
      <c r="J111" s="2941"/>
      <c r="K111" s="2941"/>
      <c r="L111" s="2941"/>
      <c r="M111" s="2941"/>
      <c r="N111" s="2942"/>
      <c r="O111" s="2002" t="s">
        <v>2075</v>
      </c>
      <c r="P111" s="2002"/>
      <c r="Q111" s="2882" t="s">
        <v>4686</v>
      </c>
      <c r="R111" s="2941"/>
      <c r="S111" s="2942"/>
    </row>
    <row r="112" spans="2:19" s="326" customFormat="1" ht="11.25" customHeight="1">
      <c r="D112" s="369"/>
      <c r="E112" s="331" t="s">
        <v>1065</v>
      </c>
      <c r="F112" s="339"/>
      <c r="H112" s="2882" t="s">
        <v>4687</v>
      </c>
      <c r="I112" s="2941"/>
      <c r="J112" s="2941"/>
      <c r="K112" s="2941"/>
      <c r="L112" s="2941"/>
      <c r="M112" s="2941"/>
      <c r="N112" s="2942"/>
      <c r="O112" s="2002" t="s">
        <v>1823</v>
      </c>
      <c r="Q112" s="2882" t="s">
        <v>4675</v>
      </c>
      <c r="R112" s="2941"/>
      <c r="S112" s="2942"/>
    </row>
    <row r="113" spans="1:19" s="326" customFormat="1" ht="11.25" customHeight="1">
      <c r="D113" s="369"/>
      <c r="E113" s="331" t="s">
        <v>648</v>
      </c>
      <c r="H113" s="2882" t="s">
        <v>1258</v>
      </c>
      <c r="I113" s="2941"/>
      <c r="J113" s="2942"/>
      <c r="K113" s="2003" t="s">
        <v>2832</v>
      </c>
      <c r="L113" s="2882" t="s">
        <v>4688</v>
      </c>
      <c r="M113" s="2941"/>
      <c r="N113" s="2942"/>
      <c r="O113" s="2002" t="s">
        <v>1879</v>
      </c>
      <c r="Q113" s="2890">
        <v>4042281958</v>
      </c>
      <c r="R113" s="2895"/>
      <c r="S113" s="2891"/>
    </row>
    <row r="114" spans="1:19" s="326" customFormat="1" ht="11.25" customHeight="1">
      <c r="D114" s="373"/>
      <c r="E114" s="331" t="s">
        <v>1875</v>
      </c>
      <c r="H114" s="2896" t="s">
        <v>887</v>
      </c>
      <c r="K114" s="2004" t="s">
        <v>2319</v>
      </c>
      <c r="L114" s="2893">
        <v>303180000</v>
      </c>
      <c r="M114" s="2942"/>
      <c r="O114" s="2002" t="s">
        <v>2064</v>
      </c>
      <c r="Q114" s="2890">
        <v>4047979944</v>
      </c>
      <c r="R114" s="2895"/>
      <c r="S114" s="2891"/>
    </row>
    <row r="115" spans="1:19" s="326" customFormat="1" ht="11.25" customHeight="1">
      <c r="D115" s="373"/>
      <c r="E115" s="331" t="s">
        <v>2070</v>
      </c>
      <c r="H115" s="2890">
        <v>4042281958</v>
      </c>
      <c r="I115" s="2891"/>
      <c r="J115" s="3005"/>
      <c r="K115" s="2009" t="s">
        <v>2069</v>
      </c>
      <c r="L115" s="2897" t="s">
        <v>4689</v>
      </c>
      <c r="M115" s="2898"/>
      <c r="N115" s="2898"/>
      <c r="O115" s="2898"/>
      <c r="P115" s="2898"/>
      <c r="Q115" s="2898"/>
      <c r="R115" s="2898"/>
      <c r="S115" s="2899"/>
    </row>
    <row r="116" spans="1:19" ht="4.5" customHeight="1"/>
    <row r="117" spans="1:19" s="326" customFormat="1" ht="13.15" customHeight="1">
      <c r="A117" s="328" t="s">
        <v>1868</v>
      </c>
      <c r="B117" s="328" t="s">
        <v>2703</v>
      </c>
      <c r="F117" s="328"/>
      <c r="G117" s="2009"/>
      <c r="H117" s="2009"/>
      <c r="I117" s="2009"/>
      <c r="J117" s="2009"/>
      <c r="K117" s="2009"/>
      <c r="L117" s="2009"/>
      <c r="M117" s="2009"/>
      <c r="N117" s="2009"/>
      <c r="O117" s="2009"/>
      <c r="P117" s="2009"/>
      <c r="Q117" s="2003"/>
    </row>
    <row r="118" spans="1:19" s="326" customFormat="1" ht="11.25" customHeight="1">
      <c r="B118" s="328" t="s">
        <v>2068</v>
      </c>
      <c r="C118" s="328" t="s">
        <v>4111</v>
      </c>
      <c r="H118" s="2900"/>
      <c r="I118" s="2901"/>
      <c r="J118" s="2902"/>
      <c r="K118" s="2009" t="s">
        <v>2572</v>
      </c>
      <c r="L118" s="2882"/>
      <c r="M118" s="2941"/>
      <c r="N118" s="2942"/>
      <c r="O118" s="331" t="s">
        <v>4112</v>
      </c>
      <c r="Q118" s="2882"/>
      <c r="R118" s="2941"/>
      <c r="S118" s="2942"/>
    </row>
    <row r="119" spans="1:19" s="326" customFormat="1" ht="11.25" customHeight="1">
      <c r="D119" s="369"/>
      <c r="E119" s="331" t="s">
        <v>1065</v>
      </c>
      <c r="F119" s="339"/>
      <c r="H119" s="2882"/>
      <c r="I119" s="2941"/>
      <c r="J119" s="2941"/>
      <c r="K119" s="2941"/>
      <c r="L119" s="2941"/>
      <c r="M119" s="2941"/>
      <c r="N119" s="2942"/>
      <c r="O119" s="331" t="s">
        <v>648</v>
      </c>
      <c r="Q119" s="2882"/>
      <c r="R119" s="2941"/>
      <c r="S119" s="2942"/>
    </row>
    <row r="120" spans="1:19" s="326" customFormat="1" ht="11.25" customHeight="1">
      <c r="D120" s="369"/>
      <c r="E120" s="331" t="s">
        <v>1875</v>
      </c>
      <c r="H120" s="2896"/>
      <c r="I120" s="2004" t="s">
        <v>2319</v>
      </c>
      <c r="J120" s="2893"/>
      <c r="K120" s="2942"/>
      <c r="L120" s="2009" t="s">
        <v>2069</v>
      </c>
      <c r="M120" s="2897"/>
      <c r="N120" s="2898"/>
      <c r="O120" s="2898"/>
      <c r="P120" s="2898"/>
      <c r="Q120" s="2898"/>
      <c r="R120" s="2898"/>
      <c r="S120" s="2899"/>
    </row>
    <row r="121" spans="1:19" ht="12" customHeight="1">
      <c r="B121" s="328" t="s">
        <v>2071</v>
      </c>
      <c r="C121" s="328" t="s">
        <v>3084</v>
      </c>
      <c r="H121" s="3011"/>
      <c r="I121" s="3011"/>
      <c r="J121" s="3011"/>
      <c r="K121" s="3011"/>
      <c r="L121" s="3011"/>
      <c r="M121" s="3011"/>
      <c r="N121" s="3011"/>
      <c r="O121" s="3011"/>
      <c r="P121" s="3011"/>
      <c r="Q121" s="3011"/>
      <c r="R121" s="3011"/>
      <c r="S121" s="3011"/>
    </row>
    <row r="122" spans="1:19" ht="11.25" customHeight="1">
      <c r="A122" s="2245" t="s">
        <v>3834</v>
      </c>
      <c r="B122" s="2245"/>
      <c r="C122" s="2245"/>
      <c r="D122" s="2245"/>
      <c r="E122" s="2246"/>
      <c r="F122" s="3012" t="s">
        <v>2609</v>
      </c>
      <c r="G122" s="3013" t="s">
        <v>3965</v>
      </c>
      <c r="H122" s="3014"/>
      <c r="I122" s="3014"/>
      <c r="J122" s="3014"/>
      <c r="K122" s="3014"/>
      <c r="L122" s="3014"/>
      <c r="M122" s="3014"/>
      <c r="N122" s="3014"/>
      <c r="O122" s="3014"/>
      <c r="P122" s="3014"/>
      <c r="Q122" s="3014"/>
      <c r="R122" s="3014"/>
      <c r="S122" s="3015"/>
    </row>
    <row r="123" spans="1:19" s="326" customFormat="1" ht="31.5" customHeight="1">
      <c r="B123" s="612"/>
      <c r="C123" s="885" t="s">
        <v>2072</v>
      </c>
      <c r="D123" s="2228" t="s">
        <v>3085</v>
      </c>
      <c r="E123" s="2229"/>
      <c r="F123" s="3016" t="s">
        <v>3297</v>
      </c>
      <c r="G123" s="3017" t="s">
        <v>4690</v>
      </c>
      <c r="H123" s="3018"/>
      <c r="I123" s="3018"/>
      <c r="J123" s="3018"/>
      <c r="K123" s="3018"/>
      <c r="L123" s="3018"/>
      <c r="M123" s="3018"/>
      <c r="N123" s="3018"/>
      <c r="O123" s="3018"/>
      <c r="P123" s="3018"/>
      <c r="Q123" s="3018"/>
      <c r="R123" s="3018"/>
      <c r="S123" s="3019"/>
    </row>
    <row r="124" spans="1:19" s="326" customFormat="1" ht="31.5" customHeight="1">
      <c r="B124" s="612"/>
      <c r="C124" s="885" t="s">
        <v>2074</v>
      </c>
      <c r="D124" s="2228" t="s">
        <v>3184</v>
      </c>
      <c r="E124" s="2229"/>
      <c r="F124" s="3020" t="s">
        <v>3300</v>
      </c>
      <c r="G124" s="3021"/>
      <c r="H124" s="3022"/>
      <c r="I124" s="3022"/>
      <c r="J124" s="3022"/>
      <c r="K124" s="3022"/>
      <c r="L124" s="3022"/>
      <c r="M124" s="3022"/>
      <c r="N124" s="3022"/>
      <c r="O124" s="3022"/>
      <c r="P124" s="3022"/>
      <c r="Q124" s="3022"/>
      <c r="R124" s="3022"/>
      <c r="S124" s="3023"/>
    </row>
    <row r="125" spans="1:19" s="326" customFormat="1" ht="31.5" customHeight="1">
      <c r="B125" s="612"/>
      <c r="C125" s="885" t="s">
        <v>2634</v>
      </c>
      <c r="D125" s="2228" t="s">
        <v>3156</v>
      </c>
      <c r="E125" s="2229"/>
      <c r="F125" s="3020" t="s">
        <v>3297</v>
      </c>
      <c r="G125" s="3021" t="s">
        <v>4690</v>
      </c>
      <c r="H125" s="3022"/>
      <c r="I125" s="3022"/>
      <c r="J125" s="3022"/>
      <c r="K125" s="3022"/>
      <c r="L125" s="3022"/>
      <c r="M125" s="3022"/>
      <c r="N125" s="3022"/>
      <c r="O125" s="3022"/>
      <c r="P125" s="3022"/>
      <c r="Q125" s="3022"/>
      <c r="R125" s="3022"/>
      <c r="S125" s="3023"/>
    </row>
    <row r="126" spans="1:19" s="326" customFormat="1" ht="31.5" customHeight="1">
      <c r="B126" s="612"/>
      <c r="C126" s="885" t="s">
        <v>1277</v>
      </c>
      <c r="D126" s="2228" t="s">
        <v>3086</v>
      </c>
      <c r="E126" s="2229"/>
      <c r="F126" s="3020" t="s">
        <v>3300</v>
      </c>
      <c r="G126" s="3021"/>
      <c r="H126" s="3022"/>
      <c r="I126" s="3022"/>
      <c r="J126" s="3022"/>
      <c r="K126" s="3022"/>
      <c r="L126" s="3022"/>
      <c r="M126" s="3022"/>
      <c r="N126" s="3022"/>
      <c r="O126" s="3022"/>
      <c r="P126" s="3022"/>
      <c r="Q126" s="3022"/>
      <c r="R126" s="3022"/>
      <c r="S126" s="3023"/>
    </row>
    <row r="127" spans="1:19" s="326" customFormat="1" ht="31.5" customHeight="1">
      <c r="B127" s="612"/>
      <c r="C127" s="885" t="s">
        <v>1278</v>
      </c>
      <c r="D127" s="2228" t="s">
        <v>3936</v>
      </c>
      <c r="E127" s="2229"/>
      <c r="F127" s="3020" t="s">
        <v>3300</v>
      </c>
      <c r="G127" s="3021"/>
      <c r="H127" s="3022"/>
      <c r="I127" s="3022"/>
      <c r="J127" s="3022"/>
      <c r="K127" s="3022"/>
      <c r="L127" s="3022"/>
      <c r="M127" s="3022"/>
      <c r="N127" s="3022"/>
      <c r="O127" s="3022"/>
      <c r="P127" s="3022"/>
      <c r="Q127" s="3022"/>
      <c r="R127" s="3022"/>
      <c r="S127" s="3023"/>
    </row>
    <row r="128" spans="1:19" s="326" customFormat="1" ht="31.5" customHeight="1">
      <c r="B128" s="612"/>
      <c r="C128" s="885" t="s">
        <v>1965</v>
      </c>
      <c r="D128" s="2228" t="s">
        <v>3937</v>
      </c>
      <c r="E128" s="2229"/>
      <c r="F128" s="3020" t="s">
        <v>3300</v>
      </c>
      <c r="G128" s="3021"/>
      <c r="H128" s="3022"/>
      <c r="I128" s="3022"/>
      <c r="J128" s="3022"/>
      <c r="K128" s="3022"/>
      <c r="L128" s="3022"/>
      <c r="M128" s="3022"/>
      <c r="N128" s="3022"/>
      <c r="O128" s="3022"/>
      <c r="P128" s="3022"/>
      <c r="Q128" s="3022"/>
      <c r="R128" s="3022"/>
      <c r="S128" s="3023"/>
    </row>
    <row r="129" spans="1:19" s="326" customFormat="1" ht="31.5" customHeight="1">
      <c r="B129" s="612"/>
      <c r="C129" s="885" t="s">
        <v>527</v>
      </c>
      <c r="D129" s="2228" t="s">
        <v>3087</v>
      </c>
      <c r="E129" s="2229"/>
      <c r="F129" s="3020" t="s">
        <v>3300</v>
      </c>
      <c r="G129" s="3021"/>
      <c r="H129" s="3022"/>
      <c r="I129" s="3022"/>
      <c r="J129" s="3022"/>
      <c r="K129" s="3022"/>
      <c r="L129" s="3022"/>
      <c r="M129" s="3022"/>
      <c r="N129" s="3022"/>
      <c r="O129" s="3022"/>
      <c r="P129" s="3022"/>
      <c r="Q129" s="3022"/>
      <c r="R129" s="3022"/>
      <c r="S129" s="3023"/>
    </row>
    <row r="130" spans="1:19" s="326" customFormat="1" ht="31.5" customHeight="1">
      <c r="B130" s="612"/>
      <c r="C130" s="885" t="s">
        <v>528</v>
      </c>
      <c r="D130" s="2228" t="s">
        <v>1669</v>
      </c>
      <c r="E130" s="2229"/>
      <c r="F130" s="3024" t="s">
        <v>3300</v>
      </c>
      <c r="G130" s="3025"/>
      <c r="H130" s="3026"/>
      <c r="I130" s="3026"/>
      <c r="J130" s="3026"/>
      <c r="K130" s="3026"/>
      <c r="L130" s="3026"/>
      <c r="M130" s="3026"/>
      <c r="N130" s="3026"/>
      <c r="O130" s="3026"/>
      <c r="P130" s="3026"/>
      <c r="Q130" s="3026"/>
      <c r="R130" s="3026"/>
      <c r="S130" s="3027"/>
    </row>
    <row r="131" spans="1:19" s="326" customFormat="1" ht="13.15" customHeight="1">
      <c r="A131" s="328" t="s">
        <v>1868</v>
      </c>
      <c r="B131" s="328" t="s">
        <v>3097</v>
      </c>
      <c r="F131" s="328"/>
      <c r="G131" s="2009"/>
      <c r="H131" s="2009"/>
      <c r="I131" s="2009"/>
      <c r="J131" s="2009"/>
      <c r="K131" s="2009"/>
      <c r="L131" s="2009"/>
      <c r="M131" s="2009"/>
      <c r="N131" s="2009"/>
      <c r="O131" s="2009"/>
      <c r="P131" s="2009"/>
      <c r="Q131" s="2003"/>
    </row>
    <row r="132" spans="1:19" s="326" customFormat="1" ht="2.25" customHeight="1">
      <c r="A132" s="328"/>
      <c r="B132" s="328"/>
      <c r="F132" s="328"/>
      <c r="G132" s="2009"/>
      <c r="H132" s="2009"/>
      <c r="I132" s="2009"/>
      <c r="J132" s="2009"/>
      <c r="K132" s="2009"/>
      <c r="L132" s="2009"/>
      <c r="M132" s="2009"/>
      <c r="N132" s="2009"/>
      <c r="O132" s="2009"/>
      <c r="P132" s="2009"/>
      <c r="Q132" s="2003"/>
    </row>
    <row r="133" spans="1:19" ht="13.15" customHeight="1">
      <c r="B133" s="328" t="s">
        <v>786</v>
      </c>
      <c r="C133" s="328" t="s">
        <v>3088</v>
      </c>
    </row>
    <row r="134" spans="1:19" s="326" customFormat="1" ht="13.5" customHeight="1">
      <c r="A134" s="2256" t="s">
        <v>670</v>
      </c>
      <c r="B134" s="2257"/>
      <c r="C134" s="2257"/>
      <c r="D134" s="2257"/>
      <c r="E134" s="2239" t="s">
        <v>3840</v>
      </c>
      <c r="F134" s="2240"/>
      <c r="G134" s="2240"/>
      <c r="H134" s="2240"/>
      <c r="I134" s="2241"/>
      <c r="J134" s="2236" t="s">
        <v>3841</v>
      </c>
      <c r="K134" s="2224" t="s">
        <v>3208</v>
      </c>
      <c r="L134" s="2224" t="s">
        <v>3209</v>
      </c>
      <c r="M134" s="2230" t="s">
        <v>3859</v>
      </c>
      <c r="N134" s="2231"/>
      <c r="O134" s="2231"/>
      <c r="P134" s="2231"/>
      <c r="Q134" s="2231"/>
      <c r="R134" s="2231"/>
      <c r="S134" s="2232"/>
    </row>
    <row r="135" spans="1:19" s="326" customFormat="1" ht="13.5" customHeight="1">
      <c r="A135" s="2258"/>
      <c r="B135" s="2259"/>
      <c r="C135" s="2259"/>
      <c r="D135" s="2259"/>
      <c r="E135" s="2242"/>
      <c r="F135" s="2243"/>
      <c r="G135" s="2243"/>
      <c r="H135" s="2243"/>
      <c r="I135" s="2244"/>
      <c r="J135" s="2237"/>
      <c r="K135" s="2225"/>
      <c r="L135" s="2225"/>
      <c r="M135" s="2233"/>
      <c r="N135" s="2234"/>
      <c r="O135" s="2234"/>
      <c r="P135" s="2234"/>
      <c r="Q135" s="2234"/>
      <c r="R135" s="2234"/>
      <c r="S135" s="2235"/>
    </row>
    <row r="136" spans="1:19" s="326" customFormat="1" ht="13.5" customHeight="1">
      <c r="A136" s="2258"/>
      <c r="B136" s="2259"/>
      <c r="C136" s="2259"/>
      <c r="D136" s="2259"/>
      <c r="E136" s="2242"/>
      <c r="F136" s="2243"/>
      <c r="G136" s="2243"/>
      <c r="H136" s="2243"/>
      <c r="I136" s="2244"/>
      <c r="J136" s="2237"/>
      <c r="K136" s="2225"/>
      <c r="L136" s="2225"/>
      <c r="M136" s="2233"/>
      <c r="N136" s="2234"/>
      <c r="O136" s="2234"/>
      <c r="P136" s="2234"/>
      <c r="Q136" s="2234"/>
      <c r="R136" s="2234"/>
      <c r="S136" s="2235"/>
    </row>
    <row r="137" spans="1:19" s="326" customFormat="1" ht="23.25" customHeight="1">
      <c r="A137" s="2258"/>
      <c r="B137" s="2259"/>
      <c r="C137" s="2259"/>
      <c r="D137" s="2259"/>
      <c r="E137" s="2262" t="s">
        <v>3903</v>
      </c>
      <c r="F137" s="2263"/>
      <c r="G137" s="2263"/>
      <c r="H137" s="2264"/>
      <c r="I137" s="886"/>
      <c r="J137" s="2237"/>
      <c r="K137" s="2225"/>
      <c r="L137" s="2225"/>
      <c r="M137" s="2233"/>
      <c r="N137" s="2234"/>
      <c r="O137" s="2234"/>
      <c r="P137" s="2234"/>
      <c r="Q137" s="2234"/>
      <c r="R137" s="2234"/>
      <c r="S137" s="2235"/>
    </row>
    <row r="138" spans="1:19" s="326" customFormat="1" ht="13.5" customHeight="1">
      <c r="A138" s="2260"/>
      <c r="B138" s="2261"/>
      <c r="C138" s="2261"/>
      <c r="D138" s="2261"/>
      <c r="E138" s="2265"/>
      <c r="F138" s="2266"/>
      <c r="G138" s="2266"/>
      <c r="H138" s="2267"/>
      <c r="I138" s="1205" t="s">
        <v>2609</v>
      </c>
      <c r="J138" s="2238"/>
      <c r="K138" s="2226"/>
      <c r="L138" s="2225"/>
      <c r="M138" s="403" t="s">
        <v>2609</v>
      </c>
      <c r="N138" s="2208" t="s">
        <v>3207</v>
      </c>
      <c r="O138" s="2208"/>
      <c r="P138" s="2208"/>
      <c r="Q138" s="2208"/>
      <c r="R138" s="2208"/>
      <c r="S138" s="2227"/>
    </row>
    <row r="139" spans="1:19" s="326" customFormat="1" ht="24" customHeight="1">
      <c r="A139" s="2253" t="s">
        <v>3835</v>
      </c>
      <c r="B139" s="2254"/>
      <c r="C139" s="2254"/>
      <c r="D139" s="2255"/>
      <c r="E139" s="3017"/>
      <c r="F139" s="3018"/>
      <c r="G139" s="3018"/>
      <c r="H139" s="3018"/>
      <c r="I139" s="3028" t="s">
        <v>3300</v>
      </c>
      <c r="J139" s="3016" t="s">
        <v>3300</v>
      </c>
      <c r="K139" s="3029" t="s">
        <v>4653</v>
      </c>
      <c r="L139" s="3030">
        <v>1E-4</v>
      </c>
      <c r="M139" s="3031" t="s">
        <v>3297</v>
      </c>
      <c r="N139" s="3032" t="s">
        <v>4691</v>
      </c>
      <c r="O139" s="3018"/>
      <c r="P139" s="3018"/>
      <c r="Q139" s="3018"/>
      <c r="R139" s="3018"/>
      <c r="S139" s="3019"/>
    </row>
    <row r="140" spans="1:19" s="326" customFormat="1" ht="24" customHeight="1">
      <c r="A140" s="2250" t="s">
        <v>3836</v>
      </c>
      <c r="B140" s="2251"/>
      <c r="C140" s="2251"/>
      <c r="D140" s="2252"/>
      <c r="E140" s="3021"/>
      <c r="F140" s="3022"/>
      <c r="G140" s="3022"/>
      <c r="H140" s="3022"/>
      <c r="I140" s="3033"/>
      <c r="J140" s="3020"/>
      <c r="K140" s="3034"/>
      <c r="L140" s="3035"/>
      <c r="M140" s="3036"/>
      <c r="N140" s="3037"/>
      <c r="O140" s="3022"/>
      <c r="P140" s="3022"/>
      <c r="Q140" s="3022"/>
      <c r="R140" s="3022"/>
      <c r="S140" s="3023"/>
    </row>
    <row r="141" spans="1:19" s="326" customFormat="1" ht="24" customHeight="1">
      <c r="A141" s="2250" t="s">
        <v>3837</v>
      </c>
      <c r="B141" s="2251"/>
      <c r="C141" s="2251"/>
      <c r="D141" s="2252"/>
      <c r="E141" s="3021"/>
      <c r="F141" s="3022"/>
      <c r="G141" s="3022"/>
      <c r="H141" s="3022"/>
      <c r="I141" s="3033"/>
      <c r="J141" s="3020"/>
      <c r="K141" s="3034"/>
      <c r="L141" s="3035"/>
      <c r="M141" s="3036"/>
      <c r="N141" s="3037"/>
      <c r="O141" s="3022"/>
      <c r="P141" s="3022"/>
      <c r="Q141" s="3022"/>
      <c r="R141" s="3022"/>
      <c r="S141" s="3023"/>
    </row>
    <row r="142" spans="1:19" s="326" customFormat="1" ht="24" customHeight="1">
      <c r="A142" s="2250" t="s">
        <v>3838</v>
      </c>
      <c r="B142" s="2251"/>
      <c r="C142" s="2251"/>
      <c r="D142" s="2252"/>
      <c r="E142" s="3021"/>
      <c r="F142" s="3022"/>
      <c r="G142" s="3022"/>
      <c r="H142" s="3022"/>
      <c r="I142" s="3033" t="s">
        <v>3300</v>
      </c>
      <c r="J142" s="3020" t="s">
        <v>3300</v>
      </c>
      <c r="K142" s="3034" t="s">
        <v>4653</v>
      </c>
      <c r="L142" s="3035">
        <v>0.99980000000000002</v>
      </c>
      <c r="M142" s="3036" t="s">
        <v>3300</v>
      </c>
      <c r="N142" s="3037"/>
      <c r="O142" s="3022"/>
      <c r="P142" s="3022"/>
      <c r="Q142" s="3022"/>
      <c r="R142" s="3022"/>
      <c r="S142" s="3023"/>
    </row>
    <row r="143" spans="1:19" s="326" customFormat="1" ht="24" customHeight="1">
      <c r="A143" s="2250" t="s">
        <v>3839</v>
      </c>
      <c r="B143" s="2251"/>
      <c r="C143" s="2251"/>
      <c r="D143" s="2252"/>
      <c r="E143" s="3021"/>
      <c r="F143" s="3022"/>
      <c r="G143" s="3022"/>
      <c r="H143" s="3022"/>
      <c r="I143" s="3033" t="s">
        <v>3300</v>
      </c>
      <c r="J143" s="3020" t="s">
        <v>3300</v>
      </c>
      <c r="K143" s="3034" t="s">
        <v>4653</v>
      </c>
      <c r="L143" s="3035">
        <v>1E-4</v>
      </c>
      <c r="M143" s="3036" t="s">
        <v>3300</v>
      </c>
      <c r="N143" s="3037"/>
      <c r="O143" s="3022"/>
      <c r="P143" s="3022"/>
      <c r="Q143" s="3022"/>
      <c r="R143" s="3022"/>
      <c r="S143" s="3023"/>
    </row>
    <row r="144" spans="1:19" s="326" customFormat="1" ht="24" customHeight="1">
      <c r="A144" s="2250" t="s">
        <v>3177</v>
      </c>
      <c r="B144" s="2251"/>
      <c r="C144" s="2251"/>
      <c r="D144" s="2252"/>
      <c r="E144" s="3021"/>
      <c r="F144" s="3022"/>
      <c r="G144" s="3022"/>
      <c r="H144" s="3022"/>
      <c r="I144" s="3033"/>
      <c r="J144" s="3020"/>
      <c r="K144" s="3034"/>
      <c r="L144" s="3035"/>
      <c r="M144" s="3036"/>
      <c r="N144" s="3037"/>
      <c r="O144" s="3022"/>
      <c r="P144" s="3022"/>
      <c r="Q144" s="3022"/>
      <c r="R144" s="3022"/>
      <c r="S144" s="3023"/>
    </row>
    <row r="145" spans="1:24" s="326" customFormat="1" ht="24" customHeight="1">
      <c r="A145" s="2250" t="s">
        <v>685</v>
      </c>
      <c r="B145" s="2251"/>
      <c r="C145" s="2251"/>
      <c r="D145" s="2252"/>
      <c r="E145" s="3021"/>
      <c r="F145" s="3022"/>
      <c r="G145" s="3022"/>
      <c r="H145" s="3022"/>
      <c r="I145" s="3033" t="s">
        <v>3300</v>
      </c>
      <c r="J145" s="3020" t="s">
        <v>3300</v>
      </c>
      <c r="K145" s="3034" t="s">
        <v>4653</v>
      </c>
      <c r="L145" s="3035"/>
      <c r="M145" s="3036" t="s">
        <v>3297</v>
      </c>
      <c r="N145" s="3037" t="s">
        <v>4691</v>
      </c>
      <c r="O145" s="3022"/>
      <c r="P145" s="3022"/>
      <c r="Q145" s="3022"/>
      <c r="R145" s="3022"/>
      <c r="S145" s="3023"/>
    </row>
    <row r="146" spans="1:24" s="326" customFormat="1" ht="24" customHeight="1">
      <c r="A146" s="2250" t="s">
        <v>3178</v>
      </c>
      <c r="B146" s="2251"/>
      <c r="C146" s="2251"/>
      <c r="D146" s="2252"/>
      <c r="E146" s="3021"/>
      <c r="F146" s="3022"/>
      <c r="G146" s="3022"/>
      <c r="H146" s="3022"/>
      <c r="I146" s="3033"/>
      <c r="J146" s="3020"/>
      <c r="K146" s="3034"/>
      <c r="L146" s="3035"/>
      <c r="M146" s="3036"/>
      <c r="N146" s="3037"/>
      <c r="O146" s="3022"/>
      <c r="P146" s="3022"/>
      <c r="Q146" s="3022"/>
      <c r="R146" s="3022"/>
      <c r="S146" s="3023"/>
    </row>
    <row r="147" spans="1:24" s="326" customFormat="1" ht="24" customHeight="1">
      <c r="A147" s="2250" t="s">
        <v>3179</v>
      </c>
      <c r="B147" s="2251"/>
      <c r="C147" s="2251"/>
      <c r="D147" s="2252"/>
      <c r="E147" s="3021"/>
      <c r="F147" s="3022"/>
      <c r="G147" s="3022"/>
      <c r="H147" s="3022"/>
      <c r="I147" s="3033"/>
      <c r="J147" s="3020"/>
      <c r="K147" s="3034"/>
      <c r="L147" s="3035"/>
      <c r="M147" s="3036"/>
      <c r="N147" s="3037"/>
      <c r="O147" s="3022"/>
      <c r="P147" s="3022"/>
      <c r="Q147" s="3022"/>
      <c r="R147" s="3022"/>
      <c r="S147" s="3023"/>
    </row>
    <row r="148" spans="1:24" s="326" customFormat="1" ht="24" customHeight="1">
      <c r="A148" s="2250" t="s">
        <v>3181</v>
      </c>
      <c r="B148" s="2251"/>
      <c r="C148" s="2251"/>
      <c r="D148" s="2252"/>
      <c r="E148" s="3021"/>
      <c r="F148" s="3022"/>
      <c r="G148" s="3022"/>
      <c r="H148" s="3022"/>
      <c r="I148" s="3033"/>
      <c r="J148" s="3020"/>
      <c r="K148" s="3034"/>
      <c r="L148" s="3035"/>
      <c r="M148" s="3036"/>
      <c r="N148" s="3037"/>
      <c r="O148" s="3022"/>
      <c r="P148" s="3022"/>
      <c r="Q148" s="3022"/>
      <c r="R148" s="3022"/>
      <c r="S148" s="3023"/>
    </row>
    <row r="149" spans="1:24" s="326" customFormat="1" ht="24" customHeight="1">
      <c r="A149" s="2250" t="s">
        <v>3180</v>
      </c>
      <c r="B149" s="2251"/>
      <c r="C149" s="2251"/>
      <c r="D149" s="2252"/>
      <c r="E149" s="3021"/>
      <c r="F149" s="3022"/>
      <c r="G149" s="3022"/>
      <c r="H149" s="3022"/>
      <c r="I149" s="3033"/>
      <c r="J149" s="3020"/>
      <c r="K149" s="3034"/>
      <c r="L149" s="3035"/>
      <c r="M149" s="3036"/>
      <c r="N149" s="3037"/>
      <c r="O149" s="3022"/>
      <c r="P149" s="3022"/>
      <c r="Q149" s="3022"/>
      <c r="R149" s="3022"/>
      <c r="S149" s="3023"/>
    </row>
    <row r="150" spans="1:24" s="326" customFormat="1" ht="24" customHeight="1">
      <c r="A150" s="2250" t="s">
        <v>1595</v>
      </c>
      <c r="B150" s="2251"/>
      <c r="C150" s="2251"/>
      <c r="D150" s="2252"/>
      <c r="E150" s="3021"/>
      <c r="F150" s="3022"/>
      <c r="G150" s="3022"/>
      <c r="H150" s="3022"/>
      <c r="I150" s="3033" t="s">
        <v>3300</v>
      </c>
      <c r="J150" s="3020" t="s">
        <v>3300</v>
      </c>
      <c r="K150" s="3034" t="s">
        <v>4653</v>
      </c>
      <c r="L150" s="3035"/>
      <c r="M150" s="3036" t="s">
        <v>3297</v>
      </c>
      <c r="N150" s="3037" t="s">
        <v>4692</v>
      </c>
      <c r="O150" s="3022"/>
      <c r="P150" s="3022"/>
      <c r="Q150" s="3022"/>
      <c r="R150" s="3022"/>
      <c r="S150" s="3023"/>
    </row>
    <row r="151" spans="1:24" s="326" customFormat="1" ht="24" customHeight="1">
      <c r="A151" s="2247" t="s">
        <v>3182</v>
      </c>
      <c r="B151" s="2248"/>
      <c r="C151" s="2248"/>
      <c r="D151" s="2249"/>
      <c r="E151" s="3025"/>
      <c r="F151" s="3026"/>
      <c r="G151" s="3026"/>
      <c r="H151" s="3026"/>
      <c r="I151" s="3038" t="s">
        <v>3300</v>
      </c>
      <c r="J151" s="3024" t="s">
        <v>3300</v>
      </c>
      <c r="K151" s="3039" t="s">
        <v>4653</v>
      </c>
      <c r="L151" s="3040"/>
      <c r="M151" s="3041" t="s">
        <v>3300</v>
      </c>
      <c r="N151" s="3042"/>
      <c r="O151" s="3026"/>
      <c r="P151" s="3026"/>
      <c r="Q151" s="3026"/>
      <c r="R151" s="3026"/>
      <c r="S151" s="3027"/>
    </row>
    <row r="152" spans="1:24" s="2012" customFormat="1" ht="12" customHeight="1">
      <c r="G152" s="337"/>
      <c r="H152" s="337"/>
      <c r="I152" s="337"/>
      <c r="J152" s="2009"/>
      <c r="K152" s="352" t="s">
        <v>564</v>
      </c>
      <c r="L152" s="715">
        <f>SUM(L139:S151)</f>
        <v>1</v>
      </c>
      <c r="M152" s="2009"/>
      <c r="P152" s="335"/>
    </row>
    <row r="153" spans="1:24" ht="11.25" customHeight="1">
      <c r="A153" s="354" t="s">
        <v>1870</v>
      </c>
      <c r="B153" s="368"/>
      <c r="C153" s="354" t="s">
        <v>599</v>
      </c>
      <c r="N153" s="354" t="s">
        <v>555</v>
      </c>
      <c r="O153" s="354" t="s">
        <v>81</v>
      </c>
    </row>
    <row r="154" spans="1:24" ht="60" customHeight="1">
      <c r="A154" s="2980"/>
      <c r="B154" s="2981"/>
      <c r="C154" s="2981"/>
      <c r="D154" s="2981"/>
      <c r="E154" s="2981"/>
      <c r="F154" s="2981"/>
      <c r="G154" s="2981"/>
      <c r="H154" s="2981"/>
      <c r="I154" s="2981"/>
      <c r="J154" s="2981"/>
      <c r="K154" s="2981"/>
      <c r="L154" s="2981"/>
      <c r="M154" s="2982"/>
      <c r="N154" s="2983"/>
      <c r="O154" s="2984"/>
      <c r="P154" s="2984"/>
      <c r="Q154" s="2984"/>
      <c r="R154" s="2984"/>
      <c r="S154" s="2985"/>
      <c r="T154" s="2195" t="s">
        <v>2811</v>
      </c>
      <c r="U154" s="2195"/>
      <c r="V154" s="2195"/>
      <c r="W154" s="2195"/>
      <c r="X154" s="2195"/>
    </row>
    <row r="155" spans="1:24" s="326" customFormat="1" ht="12" customHeight="1">
      <c r="A155" s="332"/>
      <c r="B155" s="345"/>
      <c r="C155" s="345"/>
      <c r="D155" s="345"/>
      <c r="E155" s="345"/>
      <c r="F155" s="345"/>
      <c r="G155" s="345"/>
      <c r="H155" s="345"/>
      <c r="I155" s="345"/>
      <c r="J155" s="345"/>
      <c r="K155" s="345"/>
      <c r="L155" s="345"/>
      <c r="M155" s="345"/>
      <c r="N155" s="345"/>
      <c r="O155" s="345"/>
      <c r="T155" s="2195"/>
      <c r="U155" s="2195"/>
      <c r="V155" s="2195"/>
      <c r="W155" s="2195"/>
      <c r="X155" s="2195"/>
    </row>
    <row r="156" spans="1:24" s="326" customFormat="1" ht="12" customHeight="1">
      <c r="A156" s="545"/>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3043" t="s">
        <v>1875</v>
      </c>
    </row>
    <row r="160" spans="1:24" s="326" customFormat="1" ht="12" customHeight="1">
      <c r="A160" s="369"/>
      <c r="B160" s="345"/>
      <c r="C160" s="345"/>
      <c r="D160" s="345"/>
      <c r="E160" s="345"/>
      <c r="F160" s="345"/>
      <c r="G160" s="345"/>
      <c r="H160" s="345"/>
      <c r="I160" s="345"/>
      <c r="J160" s="345"/>
      <c r="K160" s="345"/>
      <c r="L160" s="345"/>
      <c r="M160" s="345"/>
      <c r="N160" s="345"/>
      <c r="O160" s="345"/>
      <c r="P160" s="3044" t="s">
        <v>877</v>
      </c>
    </row>
    <row r="161" spans="1:16" s="326" customFormat="1" ht="12" customHeight="1">
      <c r="A161" s="369"/>
      <c r="B161" s="345"/>
      <c r="C161" s="345"/>
      <c r="D161" s="345"/>
      <c r="E161" s="345"/>
      <c r="F161" s="345"/>
      <c r="G161" s="345"/>
      <c r="H161" s="345"/>
      <c r="I161" s="345"/>
      <c r="J161" s="345"/>
      <c r="K161" s="345"/>
      <c r="L161" s="345"/>
      <c r="M161" s="345"/>
      <c r="N161" s="345"/>
      <c r="O161" s="345"/>
      <c r="P161" s="3044" t="s">
        <v>878</v>
      </c>
    </row>
    <row r="162" spans="1:16" s="326" customFormat="1" ht="12" customHeight="1">
      <c r="A162" s="369"/>
      <c r="B162" s="345"/>
      <c r="C162" s="345"/>
      <c r="D162" s="345"/>
      <c r="E162" s="345"/>
      <c r="F162" s="345"/>
      <c r="G162" s="345"/>
      <c r="H162" s="345"/>
      <c r="I162" s="345"/>
      <c r="J162" s="345"/>
      <c r="K162" s="345"/>
      <c r="L162" s="345"/>
      <c r="M162" s="345"/>
      <c r="N162" s="345"/>
      <c r="O162" s="345"/>
      <c r="P162" s="3044" t="s">
        <v>879</v>
      </c>
    </row>
    <row r="163" spans="1:16" s="326" customFormat="1" ht="12" customHeight="1">
      <c r="A163" s="545"/>
      <c r="B163" s="345"/>
      <c r="C163" s="345"/>
      <c r="D163" s="345"/>
      <c r="E163" s="345"/>
      <c r="F163" s="345"/>
      <c r="G163" s="345"/>
      <c r="H163" s="345"/>
      <c r="I163" s="345"/>
      <c r="J163" s="345"/>
      <c r="K163" s="345"/>
      <c r="L163" s="345"/>
      <c r="M163" s="345"/>
      <c r="N163" s="345"/>
      <c r="O163" s="345"/>
      <c r="P163" s="3044" t="s">
        <v>880</v>
      </c>
    </row>
    <row r="164" spans="1:16" s="326" customFormat="1" ht="12" customHeight="1">
      <c r="B164" s="345"/>
      <c r="C164" s="345"/>
      <c r="D164" s="345"/>
      <c r="E164" s="345"/>
      <c r="F164" s="345"/>
      <c r="G164" s="345"/>
      <c r="H164" s="345"/>
      <c r="I164" s="345"/>
      <c r="J164" s="345"/>
      <c r="K164" s="345"/>
      <c r="L164" s="345"/>
      <c r="M164" s="345"/>
      <c r="N164" s="345"/>
      <c r="O164" s="345"/>
      <c r="P164" s="3044" t="s">
        <v>881</v>
      </c>
    </row>
    <row r="165" spans="1:16" s="326" customFormat="1" ht="12" customHeight="1">
      <c r="B165" s="345"/>
      <c r="C165" s="345"/>
      <c r="D165" s="345"/>
      <c r="E165" s="345"/>
      <c r="F165" s="345"/>
      <c r="G165" s="345"/>
      <c r="H165" s="345"/>
      <c r="I165" s="345"/>
      <c r="J165" s="345"/>
      <c r="K165" s="345"/>
      <c r="L165" s="345"/>
      <c r="M165" s="345"/>
      <c r="N165" s="345"/>
      <c r="O165" s="345"/>
      <c r="P165" s="3044" t="s">
        <v>882</v>
      </c>
    </row>
    <row r="166" spans="1:16" s="326" customFormat="1" ht="12" customHeight="1">
      <c r="B166" s="345"/>
      <c r="C166" s="345"/>
      <c r="D166" s="345"/>
      <c r="E166" s="345"/>
      <c r="F166" s="345"/>
      <c r="G166" s="345"/>
      <c r="H166" s="345"/>
      <c r="I166" s="345"/>
      <c r="J166" s="345"/>
      <c r="K166" s="345"/>
      <c r="L166" s="345"/>
      <c r="M166" s="345"/>
      <c r="N166" s="345"/>
      <c r="O166" s="345"/>
      <c r="P166" s="3044" t="s">
        <v>883</v>
      </c>
    </row>
    <row r="167" spans="1:16" s="326" customFormat="1" ht="12" customHeight="1">
      <c r="B167" s="345"/>
      <c r="C167" s="345"/>
      <c r="D167" s="345"/>
      <c r="E167" s="345"/>
      <c r="F167" s="345"/>
      <c r="G167" s="345"/>
      <c r="H167" s="345"/>
      <c r="I167" s="345"/>
      <c r="J167" s="345"/>
      <c r="K167" s="345"/>
      <c r="L167" s="345"/>
      <c r="M167" s="345"/>
      <c r="N167" s="345"/>
      <c r="O167" s="345"/>
      <c r="P167" s="3044" t="s">
        <v>884</v>
      </c>
    </row>
    <row r="168" spans="1:16" ht="12" customHeight="1">
      <c r="P168" s="3044" t="s">
        <v>885</v>
      </c>
    </row>
    <row r="169" spans="1:16" ht="12" customHeight="1">
      <c r="A169" s="354"/>
      <c r="P169" s="3044" t="s">
        <v>886</v>
      </c>
    </row>
    <row r="170" spans="1:16" ht="12" customHeight="1">
      <c r="P170" s="3044" t="s">
        <v>887</v>
      </c>
    </row>
    <row r="171" spans="1:16" ht="12" customHeight="1">
      <c r="P171" s="3044" t="s">
        <v>888</v>
      </c>
    </row>
    <row r="172" spans="1:16" ht="12" customHeight="1">
      <c r="P172" s="3044" t="s">
        <v>889</v>
      </c>
    </row>
    <row r="173" spans="1:16" ht="12" customHeight="1">
      <c r="P173" s="3044" t="s">
        <v>890</v>
      </c>
    </row>
    <row r="174" spans="1:16" ht="12" customHeight="1">
      <c r="P174" s="3044" t="s">
        <v>891</v>
      </c>
    </row>
    <row r="175" spans="1:16" ht="12" customHeight="1">
      <c r="P175" s="3044" t="s">
        <v>892</v>
      </c>
    </row>
    <row r="176" spans="1:16" ht="12" customHeight="1">
      <c r="P176" s="3044" t="s">
        <v>893</v>
      </c>
    </row>
    <row r="177" spans="16:16" ht="12" customHeight="1">
      <c r="P177" s="3044" t="s">
        <v>894</v>
      </c>
    </row>
    <row r="178" spans="16:16" ht="12" customHeight="1">
      <c r="P178" s="3044" t="s">
        <v>895</v>
      </c>
    </row>
    <row r="179" spans="16:16" ht="12" customHeight="1">
      <c r="P179" s="3044" t="s">
        <v>896</v>
      </c>
    </row>
    <row r="180" spans="16:16" ht="12" customHeight="1">
      <c r="P180" s="3044" t="s">
        <v>897</v>
      </c>
    </row>
    <row r="181" spans="16:16" ht="12" customHeight="1">
      <c r="P181" s="3044" t="s">
        <v>898</v>
      </c>
    </row>
    <row r="182" spans="16:16" ht="12" customHeight="1">
      <c r="P182" s="3044" t="s">
        <v>899</v>
      </c>
    </row>
    <row r="183" spans="16:16" ht="12" customHeight="1">
      <c r="P183" s="3044" t="s">
        <v>900</v>
      </c>
    </row>
    <row r="184" spans="16:16" ht="12" customHeight="1">
      <c r="P184" s="3044" t="s">
        <v>901</v>
      </c>
    </row>
    <row r="185" spans="16:16" ht="12" customHeight="1">
      <c r="P185" s="3044" t="s">
        <v>1398</v>
      </c>
    </row>
    <row r="186" spans="16:16" ht="12" customHeight="1">
      <c r="P186" s="3044" t="s">
        <v>1399</v>
      </c>
    </row>
    <row r="187" spans="16:16" ht="12" customHeight="1">
      <c r="P187" s="3044" t="s">
        <v>1400</v>
      </c>
    </row>
    <row r="188" spans="16:16" ht="12" customHeight="1">
      <c r="P188" s="3044" t="s">
        <v>1401</v>
      </c>
    </row>
    <row r="189" spans="16:16" ht="12" customHeight="1">
      <c r="P189" s="3044" t="s">
        <v>1402</v>
      </c>
    </row>
    <row r="190" spans="16:16" ht="13.5">
      <c r="P190" s="3044" t="s">
        <v>1403</v>
      </c>
    </row>
    <row r="191" spans="16:16" ht="12" customHeight="1">
      <c r="P191" s="3044" t="s">
        <v>1404</v>
      </c>
    </row>
    <row r="192" spans="16:16" ht="12" customHeight="1">
      <c r="P192" s="3044" t="s">
        <v>1405</v>
      </c>
    </row>
    <row r="193" spans="16:16" ht="12" customHeight="1">
      <c r="P193" s="3044" t="s">
        <v>1406</v>
      </c>
    </row>
    <row r="194" spans="16:16" ht="12" customHeight="1">
      <c r="P194" s="3044" t="s">
        <v>1407</v>
      </c>
    </row>
    <row r="195" spans="16:16" ht="12" customHeight="1">
      <c r="P195" s="3044" t="s">
        <v>1408</v>
      </c>
    </row>
    <row r="196" spans="16:16" ht="12" customHeight="1">
      <c r="P196" s="3044" t="s">
        <v>1409</v>
      </c>
    </row>
    <row r="197" spans="16:16" ht="12" customHeight="1">
      <c r="P197" s="3044" t="s">
        <v>1410</v>
      </c>
    </row>
    <row r="198" spans="16:16" ht="12" customHeight="1">
      <c r="P198" s="3044" t="s">
        <v>1411</v>
      </c>
    </row>
    <row r="199" spans="16:16" ht="12" customHeight="1">
      <c r="P199" s="3044" t="s">
        <v>1412</v>
      </c>
    </row>
    <row r="200" spans="16:16" ht="12" customHeight="1">
      <c r="P200" s="3044" t="s">
        <v>1413</v>
      </c>
    </row>
    <row r="201" spans="16:16" ht="12" customHeight="1">
      <c r="P201" s="3044" t="s">
        <v>1414</v>
      </c>
    </row>
    <row r="202" spans="16:16" ht="12" customHeight="1">
      <c r="P202" s="3044" t="s">
        <v>1415</v>
      </c>
    </row>
    <row r="203" spans="16:16" ht="12" customHeight="1">
      <c r="P203" s="3044" t="s">
        <v>1416</v>
      </c>
    </row>
    <row r="204" spans="16:16" ht="12" customHeight="1">
      <c r="P204" s="3044" t="s">
        <v>1417</v>
      </c>
    </row>
    <row r="205" spans="16:16" ht="12" customHeight="1">
      <c r="P205" s="3044" t="s">
        <v>1418</v>
      </c>
    </row>
    <row r="206" spans="16:16" ht="12" customHeight="1">
      <c r="P206" s="3044" t="s">
        <v>1419</v>
      </c>
    </row>
    <row r="207" spans="16:16" ht="12" customHeight="1">
      <c r="P207" s="3044" t="s">
        <v>1420</v>
      </c>
    </row>
    <row r="208" spans="16:16" ht="12" customHeight="1">
      <c r="P208" s="3044" t="s">
        <v>1421</v>
      </c>
    </row>
    <row r="209" spans="16:16" ht="12" customHeight="1">
      <c r="P209" s="3044" t="s">
        <v>1422</v>
      </c>
    </row>
    <row r="210" spans="16:16" ht="12" customHeight="1">
      <c r="P210" s="3044" t="s">
        <v>1423</v>
      </c>
    </row>
  </sheetData>
  <sheetProtection algorithmName="SHA-512" hashValue="JTUtWk8U3xStnD3RUrNZID6tXevagX9gUN/dWXYALozJ4sm2aQ/5ezrqhZRlVsFjrkBn+YP20rU2YKOw7UKl1g==" saltValue="xEM/VoyLTwlN3A+w03T7qA==" spinCount="100000" sheet="1" objects="1" scenarios="1" formatColumns="0" formatRows="0"/>
  <mergeCells count="264">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1" zoomScaleNormal="100" zoomScaleSheetLayoutView="90" workbookViewId="0">
      <selection activeCell="A31"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c r="A1" s="2221" t="str">
        <f>CONCATENATE("PART THREE - SOURCES OF FUNDS","  -  ",'Part I-Project Information'!$O$4," ",'Part I-Project Information'!$F$24,", ",'Part I-Project Information'!$F$28,", ",'Part I-Project Information'!$J$29," County")</f>
        <v>PART THREE - SOURCES OF FUNDS  -  2016-508 Gateway Capitol View, Atlanta, Fulton County</v>
      </c>
      <c r="B1" s="2222"/>
      <c r="C1" s="2222"/>
      <c r="D1" s="2222"/>
      <c r="E1" s="2222"/>
      <c r="F1" s="2222"/>
      <c r="G1" s="2222"/>
      <c r="H1" s="2222"/>
      <c r="I1" s="2222"/>
      <c r="J1" s="2222"/>
      <c r="K1" s="2222"/>
      <c r="L1" s="2222"/>
      <c r="M1" s="2222"/>
      <c r="N1" s="2222"/>
      <c r="O1" s="2222"/>
      <c r="P1" s="2222"/>
      <c r="Q1" s="2223"/>
      <c r="S1" s="2292" t="str">
        <f>$A$1</f>
        <v>PART THREE - SOURCES OF FUNDS  -  2016-508 Gateway Capitol View, Atlanta, Fulton County</v>
      </c>
      <c r="T1" s="2292"/>
    </row>
    <row r="2" spans="1:20" ht="17.45" customHeight="1">
      <c r="A2" s="345"/>
      <c r="B2" s="345"/>
      <c r="C2" s="345"/>
      <c r="D2" s="345"/>
      <c r="E2" s="345"/>
      <c r="F2" s="345"/>
      <c r="G2" s="345"/>
      <c r="H2" s="345"/>
      <c r="I2" s="345"/>
      <c r="J2" s="345"/>
      <c r="K2" s="345"/>
      <c r="L2" s="345"/>
      <c r="M2" s="345"/>
      <c r="N2" s="345"/>
      <c r="O2" s="345"/>
      <c r="P2" s="345"/>
      <c r="Q2" s="345"/>
    </row>
    <row r="3" spans="1:20" s="297" customFormat="1" ht="13.15" customHeight="1">
      <c r="A3" s="328" t="s">
        <v>646</v>
      </c>
      <c r="B3" s="348" t="s">
        <v>2589</v>
      </c>
      <c r="C3" s="326"/>
      <c r="D3" s="2012"/>
      <c r="E3" s="2012"/>
      <c r="F3" s="2012"/>
      <c r="G3" s="2012"/>
      <c r="J3" s="2012"/>
      <c r="M3" s="2012"/>
      <c r="N3" s="2012"/>
      <c r="S3" s="376" t="str">
        <f>B3</f>
        <v>GOVERNMENT FUNDING SOURCES  (check all that apply)</v>
      </c>
    </row>
    <row r="4" spans="1:20" s="297" customFormat="1" ht="15.75" customHeight="1">
      <c r="A4" s="354"/>
      <c r="B4" s="545"/>
      <c r="C4" s="348"/>
      <c r="D4" s="2012"/>
      <c r="E4" s="2012"/>
      <c r="F4" s="2012"/>
      <c r="G4" s="2012"/>
      <c r="S4" s="2293" t="s">
        <v>2791</v>
      </c>
      <c r="T4" s="2293"/>
    </row>
    <row r="5" spans="1:20" s="297" customFormat="1" ht="15" customHeight="1">
      <c r="A5" s="545"/>
      <c r="B5" s="3045" t="s">
        <v>3297</v>
      </c>
      <c r="C5" s="2002" t="s">
        <v>2506</v>
      </c>
      <c r="D5" s="326"/>
      <c r="H5" s="3045" t="s">
        <v>3300</v>
      </c>
      <c r="I5" s="2002" t="s">
        <v>1603</v>
      </c>
      <c r="L5" s="3045" t="s">
        <v>3300</v>
      </c>
      <c r="M5" s="331" t="s">
        <v>4481</v>
      </c>
      <c r="S5" s="3046"/>
      <c r="T5" s="3047"/>
    </row>
    <row r="6" spans="1:20" s="297" customFormat="1" ht="15" customHeight="1">
      <c r="A6" s="545"/>
      <c r="B6" s="3048" t="s">
        <v>3300</v>
      </c>
      <c r="C6" s="2002" t="s">
        <v>575</v>
      </c>
      <c r="D6" s="326"/>
      <c r="H6" s="3048"/>
      <c r="I6" s="2002" t="s">
        <v>574</v>
      </c>
      <c r="L6" s="3048" t="s">
        <v>3297</v>
      </c>
      <c r="M6" s="331" t="s">
        <v>2709</v>
      </c>
      <c r="Q6" s="612"/>
      <c r="S6" s="3049"/>
      <c r="T6" s="3050"/>
    </row>
    <row r="7" spans="1:20" s="297" customFormat="1" ht="15" customHeight="1">
      <c r="A7" s="326"/>
      <c r="B7" s="3048" t="s">
        <v>3297</v>
      </c>
      <c r="C7" s="2002" t="s">
        <v>4452</v>
      </c>
      <c r="E7" s="3051">
        <v>13175000</v>
      </c>
      <c r="F7" s="3052"/>
      <c r="H7" s="3048" t="s">
        <v>3300</v>
      </c>
      <c r="I7" s="2002" t="s">
        <v>4480</v>
      </c>
      <c r="L7" s="3048" t="s">
        <v>3300</v>
      </c>
      <c r="M7" s="331" t="s">
        <v>4488</v>
      </c>
      <c r="S7" s="3049"/>
      <c r="T7" s="3050"/>
    </row>
    <row r="8" spans="1:20" s="297" customFormat="1" ht="15" customHeight="1">
      <c r="A8" s="545"/>
      <c r="B8" s="3048"/>
      <c r="C8" s="2002" t="s">
        <v>1880</v>
      </c>
      <c r="D8" s="326"/>
      <c r="H8" s="3048" t="s">
        <v>3300</v>
      </c>
      <c r="I8" s="326" t="s">
        <v>2710</v>
      </c>
      <c r="L8" s="3048" t="s">
        <v>3300</v>
      </c>
      <c r="M8" s="2012" t="s">
        <v>2701</v>
      </c>
      <c r="S8" s="3053"/>
      <c r="T8" s="3054"/>
    </row>
    <row r="9" spans="1:20" s="297" customFormat="1" ht="15" customHeight="1">
      <c r="A9" s="545"/>
      <c r="B9" s="3048"/>
      <c r="C9" s="2002" t="s">
        <v>576</v>
      </c>
      <c r="H9" s="3048" t="s">
        <v>3300</v>
      </c>
      <c r="I9" s="326" t="s">
        <v>2708</v>
      </c>
      <c r="L9" s="3055" t="s">
        <v>3300</v>
      </c>
      <c r="M9" s="350" t="s">
        <v>2702</v>
      </c>
      <c r="P9" s="326"/>
      <c r="Q9" s="326"/>
      <c r="S9" s="3046"/>
      <c r="T9" s="3047"/>
    </row>
    <row r="10" spans="1:20" s="297" customFormat="1" ht="15" customHeight="1">
      <c r="A10" s="545"/>
      <c r="B10" s="3048" t="s">
        <v>3297</v>
      </c>
      <c r="C10" s="2002" t="s">
        <v>4490</v>
      </c>
      <c r="D10" s="326"/>
      <c r="E10" s="3056">
        <v>3000000</v>
      </c>
      <c r="F10" s="3057"/>
      <c r="G10" s="887"/>
      <c r="H10" s="3055" t="s">
        <v>3300</v>
      </c>
      <c r="I10" s="2228" t="s">
        <v>3025</v>
      </c>
      <c r="J10" s="2228"/>
      <c r="L10" s="2997" t="s">
        <v>3300</v>
      </c>
      <c r="M10" s="3058" t="s">
        <v>4492</v>
      </c>
      <c r="N10" s="3059"/>
      <c r="O10" s="3059"/>
      <c r="P10" s="3059"/>
      <c r="Q10" s="3060"/>
      <c r="S10" s="3049"/>
      <c r="T10" s="3050"/>
    </row>
    <row r="11" spans="1:20" s="297" customFormat="1" ht="15" customHeight="1">
      <c r="A11" s="545"/>
      <c r="B11" s="3055"/>
      <c r="C11" s="2002" t="s">
        <v>4486</v>
      </c>
      <c r="I11" s="2228"/>
      <c r="J11" s="2228"/>
      <c r="M11" s="3061" t="s">
        <v>4526</v>
      </c>
      <c r="N11" s="3062"/>
      <c r="O11" s="3062"/>
      <c r="P11" s="3062"/>
      <c r="Q11" s="3063"/>
      <c r="S11" s="3049"/>
      <c r="T11" s="3050"/>
    </row>
    <row r="12" spans="1:20" s="297" customFormat="1" ht="15" customHeight="1">
      <c r="A12" s="545"/>
      <c r="B12" s="545"/>
      <c r="C12" s="297" t="s">
        <v>4487</v>
      </c>
      <c r="E12" s="3061" t="s">
        <v>3842</v>
      </c>
      <c r="F12" s="3062"/>
      <c r="G12" s="3062"/>
      <c r="H12" s="3062"/>
      <c r="I12" s="3063"/>
      <c r="S12" s="3053"/>
      <c r="T12" s="3054"/>
    </row>
    <row r="13" spans="1:20" s="297" customFormat="1" ht="15" customHeight="1">
      <c r="A13" s="545"/>
      <c r="C13" s="297" t="s">
        <v>4489</v>
      </c>
      <c r="E13" s="3056"/>
      <c r="F13" s="3057"/>
      <c r="Q13" s="326"/>
    </row>
    <row r="14" spans="1:20" s="297" customFormat="1" ht="16.899999999999999" customHeight="1">
      <c r="A14" s="545"/>
      <c r="B14" s="297" t="s">
        <v>4491</v>
      </c>
      <c r="C14" s="326"/>
      <c r="D14" s="326"/>
      <c r="E14" s="326"/>
      <c r="F14" s="326"/>
      <c r="G14" s="326"/>
      <c r="H14" s="326"/>
      <c r="I14" s="326"/>
      <c r="J14" s="326"/>
      <c r="K14" s="326"/>
      <c r="L14" s="326"/>
      <c r="M14" s="350"/>
      <c r="N14" s="326"/>
      <c r="O14" s="326"/>
      <c r="P14" s="326"/>
      <c r="Q14" s="326"/>
    </row>
    <row r="15" spans="1:20" s="297" customFormat="1" ht="17.45" customHeight="1">
      <c r="A15" s="545"/>
      <c r="L15" s="326"/>
      <c r="M15" s="350"/>
      <c r="N15" s="326"/>
      <c r="O15" s="326"/>
      <c r="P15" s="326"/>
      <c r="Q15" s="326"/>
    </row>
    <row r="16" spans="1:20" s="376" customFormat="1" ht="15" customHeight="1">
      <c r="A16" s="328" t="s">
        <v>777</v>
      </c>
      <c r="B16" s="296" t="s">
        <v>2437</v>
      </c>
      <c r="C16" s="326"/>
      <c r="D16" s="2012"/>
      <c r="E16" s="326"/>
      <c r="F16" s="326"/>
      <c r="G16" s="326"/>
      <c r="H16" s="297"/>
      <c r="I16" s="297"/>
      <c r="J16" s="328"/>
      <c r="K16" s="326"/>
      <c r="L16" s="326"/>
      <c r="M16" s="2012"/>
      <c r="N16" s="2217"/>
      <c r="O16" s="2217"/>
      <c r="P16" s="326"/>
      <c r="Q16" s="326"/>
      <c r="S16" s="376" t="str">
        <f>B16</f>
        <v>CONSTRUCTION FINANCING</v>
      </c>
    </row>
    <row r="17" spans="1:20" s="376" customFormat="1" ht="13.9" customHeight="1">
      <c r="A17" s="328"/>
      <c r="B17" s="296"/>
      <c r="C17" s="326"/>
      <c r="K17" s="326"/>
      <c r="L17" s="326"/>
      <c r="M17" s="2012"/>
      <c r="N17" s="2003"/>
      <c r="O17" s="2003"/>
      <c r="P17" s="326"/>
      <c r="Q17" s="326"/>
    </row>
    <row r="18" spans="1:20" s="297" customFormat="1" ht="16.899999999999999" customHeight="1">
      <c r="A18" s="326"/>
      <c r="B18" s="2002" t="s">
        <v>1952</v>
      </c>
      <c r="C18" s="326"/>
      <c r="D18" s="326"/>
      <c r="E18" s="326"/>
      <c r="F18" s="326"/>
      <c r="G18" s="326"/>
      <c r="H18" s="2297" t="s">
        <v>1353</v>
      </c>
      <c r="I18" s="2297"/>
      <c r="J18" s="2297"/>
      <c r="K18" s="2297"/>
      <c r="L18" s="2207" t="s">
        <v>2076</v>
      </c>
      <c r="M18" s="2207"/>
      <c r="N18" s="2207" t="s">
        <v>1573</v>
      </c>
      <c r="O18" s="2207"/>
      <c r="P18" s="2207" t="s">
        <v>1699</v>
      </c>
      <c r="Q18" s="2207"/>
      <c r="S18" s="2293" t="s">
        <v>2791</v>
      </c>
      <c r="T18" s="2293"/>
    </row>
    <row r="19" spans="1:20" s="297" customFormat="1" ht="16.899999999999999" customHeight="1">
      <c r="A19" s="326"/>
      <c r="B19" s="2276" t="s">
        <v>1658</v>
      </c>
      <c r="C19" s="2277"/>
      <c r="D19" s="2277"/>
      <c r="E19" s="2013"/>
      <c r="F19" s="2013"/>
      <c r="G19" s="2013"/>
      <c r="H19" s="3064" t="s">
        <v>4749</v>
      </c>
      <c r="I19" s="3065"/>
      <c r="J19" s="3065"/>
      <c r="K19" s="3066"/>
      <c r="L19" s="3067">
        <v>13175000</v>
      </c>
      <c r="M19" s="3068"/>
      <c r="N19" s="3069">
        <v>4.4999999999999998E-2</v>
      </c>
      <c r="O19" s="3070"/>
      <c r="P19" s="3071">
        <v>24</v>
      </c>
      <c r="Q19" s="3072"/>
      <c r="S19" s="3046"/>
      <c r="T19" s="3047"/>
    </row>
    <row r="20" spans="1:20" s="297" customFormat="1" ht="16.899999999999999" customHeight="1">
      <c r="A20" s="326"/>
      <c r="B20" s="2274" t="s">
        <v>1659</v>
      </c>
      <c r="C20" s="2275"/>
      <c r="D20" s="2275"/>
      <c r="E20" s="2012"/>
      <c r="F20" s="2012"/>
      <c r="G20" s="2012"/>
      <c r="H20" s="3073" t="s">
        <v>4748</v>
      </c>
      <c r="I20" s="3074"/>
      <c r="J20" s="3074"/>
      <c r="K20" s="3075"/>
      <c r="L20" s="3076">
        <v>3000000</v>
      </c>
      <c r="M20" s="3077"/>
      <c r="N20" s="3078">
        <v>0</v>
      </c>
      <c r="O20" s="3079"/>
      <c r="P20" s="3080">
        <v>24</v>
      </c>
      <c r="Q20" s="3081"/>
      <c r="S20" s="3049"/>
      <c r="T20" s="3050"/>
    </row>
    <row r="21" spans="1:20" s="297" customFormat="1" ht="16.899999999999999" customHeight="1">
      <c r="A21" s="326"/>
      <c r="B21" s="2295" t="s">
        <v>1660</v>
      </c>
      <c r="C21" s="2296"/>
      <c r="D21" s="2296"/>
      <c r="E21" s="2015"/>
      <c r="F21" s="2015"/>
      <c r="G21" s="2015"/>
      <c r="H21" s="3082"/>
      <c r="I21" s="3083"/>
      <c r="J21" s="3083"/>
      <c r="K21" s="3084"/>
      <c r="L21" s="3085"/>
      <c r="M21" s="3086"/>
      <c r="N21" s="3087"/>
      <c r="O21" s="3088"/>
      <c r="P21" s="3089"/>
      <c r="Q21" s="3090"/>
      <c r="S21" s="3049"/>
      <c r="T21" s="3050"/>
    </row>
    <row r="22" spans="1:20" s="297" customFormat="1" ht="16.899999999999999" customHeight="1">
      <c r="A22" s="326"/>
      <c r="B22" s="2276" t="s">
        <v>2304</v>
      </c>
      <c r="C22" s="2277"/>
      <c r="D22" s="2277"/>
      <c r="E22" s="2012"/>
      <c r="F22" s="2012"/>
      <c r="G22" s="2012"/>
      <c r="H22" s="3091"/>
      <c r="I22" s="3092"/>
      <c r="J22" s="3092"/>
      <c r="K22" s="3093"/>
      <c r="L22" s="3094"/>
      <c r="M22" s="3095"/>
      <c r="N22" s="2289"/>
      <c r="O22" s="2290"/>
      <c r="P22" s="2294"/>
      <c r="Q22" s="2294"/>
      <c r="S22" s="3049"/>
      <c r="T22" s="3050"/>
    </row>
    <row r="23" spans="1:20" s="297" customFormat="1" ht="16.899999999999999" customHeight="1">
      <c r="A23" s="326"/>
      <c r="B23" s="2274" t="s">
        <v>840</v>
      </c>
      <c r="C23" s="2275"/>
      <c r="D23" s="2275"/>
      <c r="E23" s="2012"/>
      <c r="H23" s="3073"/>
      <c r="I23" s="3074"/>
      <c r="J23" s="3074"/>
      <c r="K23" s="3075"/>
      <c r="L23" s="3076"/>
      <c r="M23" s="3077"/>
      <c r="N23" s="2289"/>
      <c r="O23" s="2290"/>
      <c r="P23" s="2294"/>
      <c r="Q23" s="2294"/>
      <c r="S23" s="3049"/>
      <c r="T23" s="3050"/>
    </row>
    <row r="24" spans="1:20" s="297" customFormat="1" ht="16.899999999999999" customHeight="1">
      <c r="A24" s="326"/>
      <c r="B24" s="2274" t="s">
        <v>671</v>
      </c>
      <c r="C24" s="2275"/>
      <c r="D24" s="2275"/>
      <c r="E24" s="2012"/>
      <c r="H24" s="3073"/>
      <c r="I24" s="3074"/>
      <c r="J24" s="3074"/>
      <c r="K24" s="3075"/>
      <c r="L24" s="3076"/>
      <c r="M24" s="3077"/>
      <c r="N24" s="2289"/>
      <c r="O24" s="2290"/>
      <c r="P24" s="2294"/>
      <c r="Q24" s="2294"/>
      <c r="S24" s="3049"/>
      <c r="T24" s="3050"/>
    </row>
    <row r="25" spans="1:20" s="297" customFormat="1" ht="16.899999999999999" customHeight="1">
      <c r="A25" s="326"/>
      <c r="B25" s="2274" t="s">
        <v>841</v>
      </c>
      <c r="C25" s="2275"/>
      <c r="D25" s="2275"/>
      <c r="E25" s="2012"/>
      <c r="H25" s="3073" t="s">
        <v>4656</v>
      </c>
      <c r="I25" s="3074"/>
      <c r="J25" s="3074"/>
      <c r="K25" s="3075"/>
      <c r="L25" s="3076">
        <v>5825271</v>
      </c>
      <c r="M25" s="3077"/>
      <c r="N25" s="326"/>
      <c r="O25" s="326"/>
      <c r="P25" s="326"/>
      <c r="Q25" s="326"/>
      <c r="S25" s="3053"/>
      <c r="T25" s="3054"/>
    </row>
    <row r="26" spans="1:20" s="297" customFormat="1" ht="16.899999999999999" customHeight="1">
      <c r="A26" s="326"/>
      <c r="B26" s="2274" t="s">
        <v>842</v>
      </c>
      <c r="C26" s="2275"/>
      <c r="D26" s="2275"/>
      <c r="E26" s="2012"/>
      <c r="H26" s="3073" t="s">
        <v>4656</v>
      </c>
      <c r="I26" s="3074"/>
      <c r="J26" s="3074"/>
      <c r="K26" s="3075"/>
      <c r="L26" s="3076">
        <v>3051637</v>
      </c>
      <c r="M26" s="3077"/>
      <c r="N26" s="326"/>
      <c r="Q26" s="326"/>
      <c r="S26" s="3046"/>
      <c r="T26" s="3047"/>
    </row>
    <row r="27" spans="1:20" s="297" customFormat="1" ht="16.899999999999999" customHeight="1">
      <c r="A27" s="326"/>
      <c r="B27" s="2011" t="s">
        <v>254</v>
      </c>
      <c r="C27" s="2012"/>
      <c r="D27" s="3096"/>
      <c r="E27" s="3096"/>
      <c r="F27" s="3096"/>
      <c r="G27" s="3096"/>
      <c r="H27" s="3073"/>
      <c r="I27" s="3074"/>
      <c r="J27" s="3074"/>
      <c r="K27" s="3075"/>
      <c r="L27" s="3076"/>
      <c r="M27" s="3077"/>
      <c r="N27" s="326"/>
      <c r="Q27" s="326"/>
      <c r="S27" s="3049"/>
      <c r="T27" s="3050"/>
    </row>
    <row r="28" spans="1:20" s="297" customFormat="1" ht="16.899999999999999" customHeight="1">
      <c r="A28" s="326"/>
      <c r="B28" s="2011" t="s">
        <v>254</v>
      </c>
      <c r="C28" s="2012"/>
      <c r="D28" s="3097"/>
      <c r="E28" s="3097"/>
      <c r="F28" s="3097"/>
      <c r="G28" s="3097"/>
      <c r="H28" s="3073"/>
      <c r="I28" s="3074"/>
      <c r="J28" s="3074"/>
      <c r="K28" s="3075"/>
      <c r="L28" s="3076"/>
      <c r="M28" s="3077"/>
      <c r="N28" s="326"/>
      <c r="S28" s="3049"/>
      <c r="T28" s="3050"/>
    </row>
    <row r="29" spans="1:20" s="297" customFormat="1" ht="16.899999999999999" customHeight="1">
      <c r="A29" s="326"/>
      <c r="B29" s="2014" t="s">
        <v>254</v>
      </c>
      <c r="C29" s="2015"/>
      <c r="D29" s="3098"/>
      <c r="E29" s="3098"/>
      <c r="F29" s="3098"/>
      <c r="G29" s="3098"/>
      <c r="H29" s="3082"/>
      <c r="I29" s="3083"/>
      <c r="J29" s="3083"/>
      <c r="K29" s="3084"/>
      <c r="L29" s="3085"/>
      <c r="M29" s="3086"/>
      <c r="N29" s="326"/>
      <c r="S29" s="3049"/>
      <c r="T29" s="3050"/>
    </row>
    <row r="30" spans="1:20" s="297" customFormat="1" ht="16.899999999999999" customHeight="1">
      <c r="A30" s="326"/>
      <c r="B30" s="296" t="s">
        <v>1354</v>
      </c>
      <c r="C30" s="326"/>
      <c r="D30" s="326"/>
      <c r="E30" s="326"/>
      <c r="F30" s="326"/>
      <c r="G30" s="326"/>
      <c r="H30" s="326"/>
      <c r="I30" s="326"/>
      <c r="L30" s="2298">
        <f>SUM(L19:L29)</f>
        <v>25051908</v>
      </c>
      <c r="M30" s="2299"/>
      <c r="N30" s="345"/>
      <c r="S30" s="3049"/>
      <c r="T30" s="3050"/>
    </row>
    <row r="31" spans="1:20" s="297" customFormat="1" ht="16.899999999999999" customHeight="1">
      <c r="A31" s="326"/>
      <c r="B31" s="2002" t="s">
        <v>1355</v>
      </c>
      <c r="C31" s="326"/>
      <c r="D31" s="326"/>
      <c r="E31" s="326"/>
      <c r="F31" s="326"/>
      <c r="G31" s="326"/>
      <c r="H31" s="326"/>
      <c r="I31" s="326"/>
      <c r="L31" s="309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21140504.5</v>
      </c>
      <c r="M31" s="3100"/>
      <c r="N31" s="1206"/>
      <c r="S31" s="3049"/>
      <c r="T31" s="3050"/>
    </row>
    <row r="32" spans="1:20" s="297" customFormat="1" ht="16.899999999999999" customHeight="1">
      <c r="A32" s="326"/>
      <c r="B32" s="331" t="s">
        <v>2245</v>
      </c>
      <c r="C32" s="326"/>
      <c r="D32" s="326"/>
      <c r="E32" s="326"/>
      <c r="F32" s="326"/>
      <c r="G32" s="326"/>
      <c r="H32" s="326"/>
      <c r="I32" s="326"/>
      <c r="L32" s="2287">
        <f>L30-L31</f>
        <v>3911403.5</v>
      </c>
      <c r="M32" s="2288"/>
      <c r="N32" s="1206"/>
      <c r="S32" s="3053"/>
      <c r="T32" s="3054"/>
    </row>
    <row r="33" spans="1:20" ht="9.6" customHeight="1">
      <c r="A33" s="354"/>
      <c r="B33" s="296"/>
      <c r="C33" s="345"/>
      <c r="D33" s="345"/>
      <c r="E33" s="345"/>
      <c r="F33" s="345"/>
      <c r="G33" s="345"/>
      <c r="H33" s="345"/>
      <c r="I33" s="345"/>
      <c r="J33" s="345"/>
      <c r="K33" s="345"/>
      <c r="L33" s="345"/>
      <c r="M33" s="2009"/>
      <c r="N33" s="2009"/>
    </row>
    <row r="34" spans="1:20" ht="9.6" customHeight="1">
      <c r="A34" s="328" t="s">
        <v>779</v>
      </c>
      <c r="B34" s="296" t="s">
        <v>839</v>
      </c>
      <c r="C34" s="345"/>
      <c r="D34" s="345"/>
      <c r="E34" s="345"/>
      <c r="F34" s="345"/>
      <c r="G34" s="345"/>
      <c r="H34" s="345"/>
      <c r="I34" s="345"/>
      <c r="J34" s="345"/>
      <c r="K34" s="345"/>
      <c r="L34" s="345"/>
      <c r="M34" s="2009"/>
      <c r="N34" s="2009"/>
      <c r="O34" s="345"/>
      <c r="S34" s="376" t="str">
        <f>B34</f>
        <v>PERMANENT FINANCING</v>
      </c>
    </row>
    <row r="35" spans="1:20" s="297" customFormat="1" ht="13.15" customHeight="1">
      <c r="A35" s="326"/>
      <c r="B35" s="326"/>
      <c r="C35" s="326"/>
      <c r="D35" s="326"/>
      <c r="E35" s="326"/>
      <c r="F35" s="2009"/>
      <c r="G35" s="2009"/>
      <c r="H35" s="2294"/>
      <c r="I35" s="2294"/>
      <c r="K35" s="403" t="s">
        <v>2187</v>
      </c>
      <c r="L35" s="2009" t="s">
        <v>1351</v>
      </c>
      <c r="M35" s="2009" t="s">
        <v>1356</v>
      </c>
      <c r="N35" s="2268" t="s">
        <v>36</v>
      </c>
      <c r="O35" s="2268"/>
      <c r="P35" s="2009"/>
      <c r="Q35" s="328"/>
      <c r="S35" s="376"/>
    </row>
    <row r="36" spans="1:20" s="297" customFormat="1" ht="13.15" customHeight="1">
      <c r="A36" s="326"/>
      <c r="B36" s="2010" t="s">
        <v>1952</v>
      </c>
      <c r="C36" s="2015"/>
      <c r="D36" s="2015"/>
      <c r="E36" s="2196" t="s">
        <v>1353</v>
      </c>
      <c r="F36" s="2196"/>
      <c r="G36" s="2196"/>
      <c r="H36" s="2196"/>
      <c r="I36" s="2207" t="s">
        <v>511</v>
      </c>
      <c r="J36" s="2207"/>
      <c r="K36" s="2005" t="s">
        <v>1884</v>
      </c>
      <c r="L36" s="2005" t="s">
        <v>2303</v>
      </c>
      <c r="M36" s="2005" t="s">
        <v>2303</v>
      </c>
      <c r="N36" s="3101"/>
      <c r="O36" s="3101"/>
      <c r="P36" s="2207" t="s">
        <v>76</v>
      </c>
      <c r="Q36" s="2207"/>
      <c r="S36" s="2293" t="s">
        <v>2791</v>
      </c>
      <c r="T36" s="2293"/>
    </row>
    <row r="37" spans="1:20" s="297" customFormat="1" ht="16.5" customHeight="1">
      <c r="A37" s="326"/>
      <c r="B37" s="2276" t="s">
        <v>2714</v>
      </c>
      <c r="C37" s="2277"/>
      <c r="D37" s="2277"/>
      <c r="E37" s="3064" t="s">
        <v>4693</v>
      </c>
      <c r="F37" s="3065"/>
      <c r="G37" s="3065"/>
      <c r="H37" s="3066"/>
      <c r="I37" s="3102">
        <v>6676515</v>
      </c>
      <c r="J37" s="3103"/>
      <c r="K37" s="3104">
        <v>4.1500000000000002E-2</v>
      </c>
      <c r="L37" s="3045">
        <v>18</v>
      </c>
      <c r="M37" s="3045">
        <v>35</v>
      </c>
      <c r="N37" s="3105">
        <f t="shared" ref="N37:N42" si="0">IF(OR(I37&lt;=0,I37=""),"",IF(P37="Amortizing",-PMT(K37/12,M37*12,I37,0,0)*12,""))</f>
        <v>361987.34381576651</v>
      </c>
      <c r="O37" s="3105"/>
      <c r="P37" s="3106" t="s">
        <v>4694</v>
      </c>
      <c r="Q37" s="3106"/>
      <c r="S37" s="3046"/>
      <c r="T37" s="3047"/>
    </row>
    <row r="38" spans="1:20" s="297" customFormat="1" ht="16.5" customHeight="1">
      <c r="A38" s="326"/>
      <c r="B38" s="2274" t="s">
        <v>2715</v>
      </c>
      <c r="C38" s="2275"/>
      <c r="D38" s="2275"/>
      <c r="E38" s="3073" t="s">
        <v>4695</v>
      </c>
      <c r="F38" s="3074"/>
      <c r="G38" s="3074"/>
      <c r="H38" s="3075"/>
      <c r="I38" s="3107">
        <v>3000000</v>
      </c>
      <c r="J38" s="3108"/>
      <c r="K38" s="3109">
        <v>0.01</v>
      </c>
      <c r="L38" s="3048">
        <v>18</v>
      </c>
      <c r="M38" s="3048">
        <v>35</v>
      </c>
      <c r="N38" s="3110">
        <f t="shared" si="0"/>
        <v>101622.85161720682</v>
      </c>
      <c r="O38" s="3110"/>
      <c r="P38" s="3111" t="s">
        <v>4694</v>
      </c>
      <c r="Q38" s="3111"/>
      <c r="S38" s="3049"/>
      <c r="T38" s="3050"/>
    </row>
    <row r="39" spans="1:20" s="297" customFormat="1" ht="16.5" customHeight="1">
      <c r="A39" s="326"/>
      <c r="B39" s="2274" t="s">
        <v>2716</v>
      </c>
      <c r="C39" s="2275"/>
      <c r="D39" s="2275"/>
      <c r="E39" s="3073"/>
      <c r="F39" s="3074"/>
      <c r="G39" s="3074"/>
      <c r="H39" s="3075"/>
      <c r="I39" s="3107"/>
      <c r="J39" s="3108"/>
      <c r="K39" s="3109"/>
      <c r="L39" s="3048"/>
      <c r="M39" s="3048"/>
      <c r="N39" s="3110" t="str">
        <f t="shared" si="0"/>
        <v/>
      </c>
      <c r="O39" s="3110"/>
      <c r="P39" s="3111"/>
      <c r="Q39" s="3111"/>
      <c r="S39" s="3049"/>
      <c r="T39" s="3050"/>
    </row>
    <row r="40" spans="1:20" s="297" customFormat="1" ht="16.5" customHeight="1">
      <c r="A40" s="326"/>
      <c r="B40" s="2011" t="s">
        <v>778</v>
      </c>
      <c r="C40" s="2900"/>
      <c r="D40" s="2902"/>
      <c r="E40" s="3073"/>
      <c r="F40" s="3074"/>
      <c r="G40" s="3074"/>
      <c r="H40" s="3075"/>
      <c r="I40" s="3107"/>
      <c r="J40" s="3108"/>
      <c r="K40" s="3112"/>
      <c r="L40" s="3055"/>
      <c r="M40" s="3055"/>
      <c r="N40" s="3113" t="str">
        <f t="shared" si="0"/>
        <v/>
      </c>
      <c r="O40" s="3113"/>
      <c r="P40" s="3114"/>
      <c r="Q40" s="3114"/>
      <c r="S40" s="3049"/>
      <c r="T40" s="3050"/>
    </row>
    <row r="41" spans="1:20" s="297" customFormat="1" ht="16.5" customHeight="1">
      <c r="A41" s="326"/>
      <c r="B41" s="2011" t="s">
        <v>2889</v>
      </c>
      <c r="C41" s="2012"/>
      <c r="D41" s="2016"/>
      <c r="E41" s="3073"/>
      <c r="F41" s="3074"/>
      <c r="G41" s="3074"/>
      <c r="H41" s="3075"/>
      <c r="I41" s="3107"/>
      <c r="J41" s="3108"/>
      <c r="K41" s="523"/>
      <c r="L41" s="2018"/>
      <c r="M41" s="2018"/>
      <c r="N41" s="2278" t="str">
        <f t="shared" si="0"/>
        <v/>
      </c>
      <c r="O41" s="2278"/>
      <c r="P41" s="2273"/>
      <c r="Q41" s="2273"/>
      <c r="S41" s="3049"/>
      <c r="T41" s="3050"/>
    </row>
    <row r="42" spans="1:20" s="297" customFormat="1" ht="16.5" customHeight="1">
      <c r="A42" s="326"/>
      <c r="B42" s="2014" t="s">
        <v>238</v>
      </c>
      <c r="C42" s="2015"/>
      <c r="D42" s="404">
        <f>IF(OR(I42="",I42=0,'Part IV-Uses of Funds'!$G$117="",'Part IV-Uses of Funds'!$G$117=0),"",I42/'Part IV-Uses of Funds'!$G$117)</f>
        <v>0.166411</v>
      </c>
      <c r="E42" s="3082" t="s">
        <v>4696</v>
      </c>
      <c r="F42" s="3083"/>
      <c r="G42" s="3083"/>
      <c r="H42" s="3084"/>
      <c r="I42" s="3115">
        <v>416027.5</v>
      </c>
      <c r="J42" s="3116"/>
      <c r="K42" s="3117">
        <v>0</v>
      </c>
      <c r="L42" s="2997">
        <v>10</v>
      </c>
      <c r="M42" s="2997">
        <v>10</v>
      </c>
      <c r="N42" s="3118">
        <f t="shared" si="0"/>
        <v>41602.75</v>
      </c>
      <c r="O42" s="3119"/>
      <c r="P42" s="3120" t="s">
        <v>4694</v>
      </c>
      <c r="Q42" s="3121"/>
      <c r="S42" s="3049"/>
      <c r="T42" s="3050"/>
    </row>
    <row r="43" spans="1:20" s="297" customFormat="1" ht="16.5" customHeight="1">
      <c r="A43" s="326"/>
      <c r="B43" s="2276" t="s">
        <v>2304</v>
      </c>
      <c r="C43" s="2277"/>
      <c r="D43" s="2285"/>
      <c r="E43" s="3091"/>
      <c r="F43" s="3092"/>
      <c r="G43" s="3092"/>
      <c r="H43" s="3093"/>
      <c r="I43" s="3122"/>
      <c r="J43" s="3123"/>
      <c r="K43" s="405"/>
      <c r="L43" s="405"/>
      <c r="M43" s="405"/>
      <c r="N43" s="405"/>
      <c r="O43" s="405"/>
      <c r="P43" s="405"/>
      <c r="Q43" s="405"/>
      <c r="S43" s="3046"/>
      <c r="T43" s="3047"/>
    </row>
    <row r="44" spans="1:20" s="297" customFormat="1" ht="16.5" customHeight="1">
      <c r="A44" s="326"/>
      <c r="B44" s="2274" t="s">
        <v>840</v>
      </c>
      <c r="C44" s="2275"/>
      <c r="D44" s="2286"/>
      <c r="E44" s="3073"/>
      <c r="F44" s="3074"/>
      <c r="G44" s="3074"/>
      <c r="H44" s="3075"/>
      <c r="I44" s="3107"/>
      <c r="J44" s="3108"/>
      <c r="L44" s="2283" t="s">
        <v>542</v>
      </c>
      <c r="M44" s="2283"/>
      <c r="N44" s="2282" t="s">
        <v>543</v>
      </c>
      <c r="O44" s="2282"/>
      <c r="P44" s="445" t="s">
        <v>541</v>
      </c>
      <c r="Q44" s="405"/>
      <c r="S44" s="3049"/>
      <c r="T44" s="3050"/>
    </row>
    <row r="45" spans="1:20" s="297" customFormat="1" ht="16.5" customHeight="1">
      <c r="A45" s="326"/>
      <c r="B45" s="2274" t="s">
        <v>841</v>
      </c>
      <c r="C45" s="2275"/>
      <c r="D45" s="2286"/>
      <c r="E45" s="3073" t="s">
        <v>4656</v>
      </c>
      <c r="F45" s="3074"/>
      <c r="G45" s="3074"/>
      <c r="H45" s="3075"/>
      <c r="I45" s="3107">
        <v>8961202</v>
      </c>
      <c r="J45" s="3107"/>
      <c r="L45" s="2284">
        <f>'Part IV-Uses of Funds'!$J$174*10*'Part IV-Uses of Funds'!$N$167</f>
        <v>8962096.5</v>
      </c>
      <c r="M45" s="2284"/>
      <c r="N45" s="2281">
        <f>I45-L45</f>
        <v>-894.5</v>
      </c>
      <c r="O45" s="2281"/>
      <c r="P45" s="446" t="s">
        <v>2660</v>
      </c>
      <c r="Q45" s="405"/>
      <c r="S45" s="3049"/>
      <c r="T45" s="3050"/>
    </row>
    <row r="46" spans="1:20" s="297" customFormat="1" ht="16.5" customHeight="1">
      <c r="A46" s="326"/>
      <c r="B46" s="2274" t="s">
        <v>842</v>
      </c>
      <c r="C46" s="2275"/>
      <c r="D46" s="2286"/>
      <c r="E46" s="3073" t="s">
        <v>4656</v>
      </c>
      <c r="F46" s="3074"/>
      <c r="G46" s="3074"/>
      <c r="H46" s="3075"/>
      <c r="I46" s="3107">
        <v>4694432</v>
      </c>
      <c r="J46" s="3107"/>
      <c r="L46" s="2284">
        <f>'Part IV-Uses of Funds'!$J$174*10*'Part IV-Uses of Funds'!$Q$167</f>
        <v>4694431.5</v>
      </c>
      <c r="M46" s="2284"/>
      <c r="N46" s="2281">
        <f>I46-L46</f>
        <v>0.5</v>
      </c>
      <c r="O46" s="2281"/>
      <c r="P46" s="447">
        <f>I45/I55</f>
        <v>0.37734274039945764</v>
      </c>
      <c r="Q46" s="405"/>
      <c r="S46" s="3049"/>
      <c r="T46" s="3050"/>
    </row>
    <row r="47" spans="1:20" s="297" customFormat="1" ht="16.5" customHeight="1">
      <c r="A47" s="326"/>
      <c r="B47" s="2274" t="s">
        <v>1471</v>
      </c>
      <c r="C47" s="2275"/>
      <c r="D47" s="2286"/>
      <c r="E47" s="3073"/>
      <c r="F47" s="3074"/>
      <c r="G47" s="3074"/>
      <c r="H47" s="3075"/>
      <c r="I47" s="3107"/>
      <c r="J47" s="3107"/>
      <c r="P47" s="447">
        <f>I46/I55</f>
        <v>0.19767547205150676</v>
      </c>
      <c r="Q47" s="405"/>
      <c r="S47" s="3053"/>
      <c r="T47" s="3054"/>
    </row>
    <row r="48" spans="1:20" s="297" customFormat="1" ht="16.5" customHeight="1">
      <c r="A48" s="326"/>
      <c r="B48" s="2011" t="s">
        <v>556</v>
      </c>
      <c r="C48" s="2012"/>
      <c r="D48" s="2016"/>
      <c r="E48" s="3073"/>
      <c r="F48" s="3074"/>
      <c r="G48" s="3074"/>
      <c r="H48" s="3075"/>
      <c r="I48" s="3107"/>
      <c r="J48" s="3107"/>
      <c r="K48" s="326"/>
      <c r="P48" s="448">
        <f>SUM(P46:P47)</f>
        <v>0.57501821245096441</v>
      </c>
      <c r="Q48" s="405"/>
      <c r="S48" s="3049"/>
      <c r="T48" s="3050"/>
    </row>
    <row r="49" spans="1:23" s="297" customFormat="1" ht="16.5" customHeight="1">
      <c r="A49" s="326"/>
      <c r="B49" s="2011" t="s">
        <v>1950</v>
      </c>
      <c r="C49" s="2012"/>
      <c r="D49" s="2016"/>
      <c r="E49" s="3073"/>
      <c r="F49" s="3074"/>
      <c r="G49" s="3074"/>
      <c r="H49" s="3075"/>
      <c r="I49" s="3107"/>
      <c r="J49" s="3107"/>
      <c r="N49" s="406"/>
      <c r="O49" s="406"/>
      <c r="P49" s="406"/>
      <c r="Q49" s="405"/>
      <c r="S49" s="3049"/>
      <c r="T49" s="3050"/>
    </row>
    <row r="50" spans="1:23" s="297" customFormat="1" ht="16.5" customHeight="1">
      <c r="A50" s="326"/>
      <c r="B50" s="2011" t="s">
        <v>1951</v>
      </c>
      <c r="C50" s="2012"/>
      <c r="D50" s="2016"/>
      <c r="E50" s="3073"/>
      <c r="F50" s="3074"/>
      <c r="G50" s="3074"/>
      <c r="H50" s="3075"/>
      <c r="I50" s="3107"/>
      <c r="J50" s="3107"/>
      <c r="M50" s="406"/>
      <c r="N50" s="406"/>
      <c r="O50" s="406"/>
      <c r="P50" s="406"/>
      <c r="Q50" s="405"/>
      <c r="S50" s="3049"/>
      <c r="T50" s="3050"/>
    </row>
    <row r="51" spans="1:23" s="297" customFormat="1" ht="16.5" customHeight="1">
      <c r="A51" s="326"/>
      <c r="B51" s="2011" t="s">
        <v>778</v>
      </c>
      <c r="C51" s="3096"/>
      <c r="D51" s="3096"/>
      <c r="E51" s="3073"/>
      <c r="F51" s="3074"/>
      <c r="G51" s="3074"/>
      <c r="H51" s="3075"/>
      <c r="I51" s="3107"/>
      <c r="J51" s="3107"/>
      <c r="M51" s="406"/>
      <c r="N51" s="406"/>
      <c r="O51" s="406"/>
      <c r="P51" s="406"/>
      <c r="Q51" s="405"/>
      <c r="S51" s="3049"/>
      <c r="T51" s="3050"/>
    </row>
    <row r="52" spans="1:23" s="297" customFormat="1" ht="16.5" customHeight="1">
      <c r="A52" s="326"/>
      <c r="B52" s="2011" t="s">
        <v>778</v>
      </c>
      <c r="C52" s="3097"/>
      <c r="D52" s="3097"/>
      <c r="E52" s="3073"/>
      <c r="F52" s="3074"/>
      <c r="G52" s="3074"/>
      <c r="H52" s="3075"/>
      <c r="I52" s="3107"/>
      <c r="J52" s="3107"/>
      <c r="K52" s="326"/>
      <c r="L52" s="407"/>
      <c r="M52" s="406"/>
      <c r="N52" s="406"/>
      <c r="O52" s="406"/>
      <c r="P52" s="406"/>
      <c r="Q52" s="405"/>
      <c r="S52" s="3049"/>
      <c r="T52" s="3050"/>
    </row>
    <row r="53" spans="1:23" s="297" customFormat="1" ht="16.5" customHeight="1">
      <c r="A53" s="326"/>
      <c r="B53" s="2014" t="s">
        <v>778</v>
      </c>
      <c r="C53" s="3098"/>
      <c r="D53" s="3098"/>
      <c r="E53" s="3082"/>
      <c r="F53" s="3083"/>
      <c r="G53" s="3083"/>
      <c r="H53" s="3084"/>
      <c r="I53" s="3115"/>
      <c r="J53" s="3115"/>
      <c r="K53" s="326"/>
      <c r="L53" s="407"/>
      <c r="M53" s="406"/>
      <c r="N53" s="406"/>
      <c r="O53" s="406"/>
      <c r="P53" s="406"/>
      <c r="Q53" s="405"/>
      <c r="S53" s="3049"/>
      <c r="T53" s="3050"/>
    </row>
    <row r="54" spans="1:23" s="297" customFormat="1" ht="16.5" customHeight="1">
      <c r="A54" s="326"/>
      <c r="B54" s="2002" t="s">
        <v>2305</v>
      </c>
      <c r="C54" s="326"/>
      <c r="D54" s="326"/>
      <c r="E54" s="326"/>
      <c r="F54" s="326"/>
      <c r="G54" s="326"/>
      <c r="I54" s="2271">
        <f>SUM(I37:J53)</f>
        <v>23748176.5</v>
      </c>
      <c r="J54" s="2272"/>
      <c r="K54" s="326"/>
      <c r="L54" s="407"/>
      <c r="M54" s="406"/>
      <c r="N54" s="406"/>
      <c r="O54" s="406"/>
      <c r="P54" s="406"/>
      <c r="Q54" s="405"/>
      <c r="S54" s="3049"/>
      <c r="T54" s="3050"/>
    </row>
    <row r="55" spans="1:23" s="297" customFormat="1" ht="16.5" customHeight="1" thickBot="1">
      <c r="A55" s="326"/>
      <c r="B55" s="2002" t="s">
        <v>2306</v>
      </c>
      <c r="C55" s="326"/>
      <c r="D55" s="326"/>
      <c r="E55" s="326"/>
      <c r="F55" s="326"/>
      <c r="G55" s="326"/>
      <c r="I55" s="2269">
        <f>'Part IV-Uses of Funds'!$G$131</f>
        <v>23748176.5</v>
      </c>
      <c r="J55" s="2270"/>
      <c r="K55" s="326"/>
      <c r="L55" s="407"/>
      <c r="M55" s="406"/>
      <c r="N55" s="406"/>
      <c r="O55" s="406"/>
      <c r="P55" s="406"/>
      <c r="Q55" s="405"/>
      <c r="S55" s="3049"/>
      <c r="T55" s="3050"/>
    </row>
    <row r="56" spans="1:23" s="297" customFormat="1" ht="16.5" customHeight="1" thickBot="1">
      <c r="A56" s="326"/>
      <c r="B56" s="331" t="s">
        <v>1591</v>
      </c>
      <c r="C56" s="326"/>
      <c r="D56" s="326"/>
      <c r="E56" s="326"/>
      <c r="F56" s="326"/>
      <c r="G56" s="326"/>
      <c r="I56" s="2279">
        <f>I54-I55</f>
        <v>0</v>
      </c>
      <c r="J56" s="2280"/>
      <c r="K56" s="326"/>
      <c r="L56" s="407"/>
      <c r="M56" s="406"/>
      <c r="N56" s="406"/>
      <c r="O56" s="406"/>
      <c r="P56" s="406"/>
      <c r="Q56" s="405"/>
      <c r="S56" s="3053"/>
      <c r="T56" s="3054"/>
    </row>
    <row r="57" spans="1:23" s="297" customFormat="1" ht="13.15" customHeight="1">
      <c r="A57" s="326" t="s">
        <v>3938</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1868</v>
      </c>
      <c r="B59" s="328" t="s">
        <v>599</v>
      </c>
      <c r="C59" s="345"/>
      <c r="D59" s="345"/>
      <c r="E59" s="345"/>
      <c r="F59" s="345"/>
      <c r="G59" s="345"/>
      <c r="H59" s="345"/>
      <c r="I59" s="345"/>
      <c r="J59" s="345"/>
      <c r="K59" s="328" t="s">
        <v>1868</v>
      </c>
      <c r="L59" s="328" t="s">
        <v>81</v>
      </c>
      <c r="M59" s="345"/>
      <c r="N59" s="345"/>
      <c r="O59" s="345"/>
      <c r="P59" s="345"/>
      <c r="Q59" s="345"/>
    </row>
    <row r="60" spans="1:23" ht="5.45" customHeight="1">
      <c r="B60" s="378"/>
    </row>
    <row r="61" spans="1:23" ht="109.5" customHeight="1">
      <c r="A61" s="2980"/>
      <c r="B61" s="3124"/>
      <c r="C61" s="3124"/>
      <c r="D61" s="3124"/>
      <c r="E61" s="3124"/>
      <c r="F61" s="3124"/>
      <c r="G61" s="3124"/>
      <c r="H61" s="3124"/>
      <c r="I61" s="3124"/>
      <c r="J61" s="3125"/>
      <c r="K61" s="2983"/>
      <c r="L61" s="3124"/>
      <c r="M61" s="3124"/>
      <c r="N61" s="3124"/>
      <c r="O61" s="3124"/>
      <c r="P61" s="3124"/>
      <c r="Q61" s="3125"/>
      <c r="S61" s="2291" t="s">
        <v>2811</v>
      </c>
      <c r="T61" s="2291"/>
      <c r="U61" s="535"/>
      <c r="V61" s="535"/>
      <c r="W61" s="535"/>
    </row>
    <row r="62" spans="1:23" ht="11.25" customHeight="1">
      <c r="S62" s="535"/>
      <c r="T62" s="535"/>
      <c r="U62" s="535"/>
      <c r="V62" s="535"/>
      <c r="W62" s="535"/>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nAsVtZXhRAp+yFkam5bwIBdTOTUTGOCu7Zxtm7+uXwCCr23UWouOHFIS6KCKLcPOO84Bid2qswr/5fSX+BXk2w==" saltValue="ADQ1FgNXUIhPSdNlzy9saQ==" spinCount="100000" sheet="1" objects="1" scenarios="1" formatColumns="0" formatRows="0"/>
  <mergeCells count="147">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L29:M29"/>
    <mergeCell ref="L32:M32"/>
    <mergeCell ref="L21:M21"/>
    <mergeCell ref="L26:M26"/>
    <mergeCell ref="L22:M22"/>
    <mergeCell ref="L23:M23"/>
    <mergeCell ref="L24:M24"/>
    <mergeCell ref="L25:M25"/>
    <mergeCell ref="N24:O24"/>
    <mergeCell ref="H28:K28"/>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40:D40"/>
    <mergeCell ref="C53:D53"/>
    <mergeCell ref="I36:J36"/>
    <mergeCell ref="S48:T56"/>
    <mergeCell ref="S37:T42"/>
    <mergeCell ref="I47:J47"/>
    <mergeCell ref="I51:J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I52:J5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C52:D52"/>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9 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300" t="str">
        <f>CONCATENATE("PART III B: USD 538 LOAN","  -  ",'Part I-Project Information'!$O$4," ",'Part I-Project Information'!$F$24,", ",'Part I-Project Information'!$F$28,", ",'Part I-Project Information'!$J$29," County")</f>
        <v>PART III B: USD 538 LOAN  -  2016-508 Gateway Capitol View, Atlanta, Fulton County</v>
      </c>
      <c r="B1" s="2301"/>
      <c r="C1" s="2301"/>
      <c r="D1" s="2301"/>
      <c r="E1" s="2301"/>
      <c r="F1" s="230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309" t="s">
        <v>225</v>
      </c>
      <c r="B3" s="2309"/>
      <c r="C3" s="2309"/>
      <c r="D3" s="2309"/>
      <c r="E3" s="2309"/>
      <c r="F3" s="2309"/>
      <c r="G3" s="212"/>
      <c r="H3" s="212"/>
    </row>
    <row r="4" spans="1:17" s="200" customFormat="1" ht="6" customHeight="1"/>
    <row r="5" spans="1:17">
      <c r="A5" s="34" t="s">
        <v>2346</v>
      </c>
      <c r="B5" s="34"/>
      <c r="C5" s="285"/>
      <c r="D5" s="286">
        <f>IF(C5&gt;1500000,1500000,0)</f>
        <v>0</v>
      </c>
      <c r="E5" s="287">
        <f>IF(C5&gt;1500000,C5-1500000,0)</f>
        <v>0</v>
      </c>
    </row>
    <row r="6" spans="1:17">
      <c r="A6" s="34" t="s">
        <v>2561</v>
      </c>
      <c r="B6" s="235" t="s">
        <v>529</v>
      </c>
      <c r="C6" s="288">
        <v>0</v>
      </c>
      <c r="D6" s="126" t="s">
        <v>530</v>
      </c>
      <c r="E6" s="34"/>
    </row>
    <row r="7" spans="1:17">
      <c r="A7" s="34"/>
      <c r="B7" s="235" t="s">
        <v>2577</v>
      </c>
      <c r="C7" s="289"/>
      <c r="D7" s="126" t="s">
        <v>1732</v>
      </c>
      <c r="E7" s="34"/>
    </row>
    <row r="8" spans="1:17" ht="13.15" customHeight="1">
      <c r="A8" s="34" t="s">
        <v>2565</v>
      </c>
      <c r="B8" s="34"/>
      <c r="C8" s="288">
        <v>0</v>
      </c>
      <c r="D8" s="126" t="s">
        <v>1733</v>
      </c>
      <c r="E8" s="34"/>
    </row>
    <row r="9" spans="1:17">
      <c r="A9" s="34" t="s">
        <v>1444</v>
      </c>
      <c r="B9" s="34"/>
      <c r="C9" s="290"/>
      <c r="D9" s="34"/>
      <c r="E9" s="34"/>
    </row>
    <row r="10" spans="1:17">
      <c r="A10" s="34" t="s">
        <v>1445</v>
      </c>
      <c r="B10" s="34"/>
      <c r="C10" s="290"/>
      <c r="D10" s="34"/>
      <c r="E10" s="34"/>
    </row>
    <row r="11" spans="1:17">
      <c r="A11" s="34" t="s">
        <v>1442</v>
      </c>
      <c r="B11" s="34"/>
      <c r="C11" s="291" t="e">
        <f>PMT(C7/12,C10*12,-C5,0,0)*12</f>
        <v>#NUM!</v>
      </c>
      <c r="D11" s="286" t="e">
        <f>PMT($C$7/12,$C$10*12,-D5,0,0)*12</f>
        <v>#NUM!</v>
      </c>
      <c r="E11" s="286" t="e">
        <f>PMT($C$7/12,$C$10*12,-E5,0,0)*12</f>
        <v>#NUM!</v>
      </c>
    </row>
    <row r="12" spans="1:17">
      <c r="A12" s="34" t="s">
        <v>1443</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310" t="s">
        <v>130</v>
      </c>
      <c r="B14" s="2310"/>
      <c r="C14" s="2310"/>
      <c r="D14" s="2310"/>
      <c r="E14" s="2310"/>
      <c r="F14" s="2310"/>
      <c r="G14" s="212"/>
      <c r="H14" s="212"/>
    </row>
    <row r="15" spans="1:17" ht="5.45" customHeight="1">
      <c r="A15" s="29"/>
      <c r="E15" s="223"/>
      <c r="F15" s="212"/>
      <c r="G15" s="212"/>
      <c r="H15" s="212"/>
    </row>
    <row r="16" spans="1:17" ht="13.15" customHeight="1">
      <c r="A16" s="225" t="s">
        <v>2578</v>
      </c>
      <c r="B16" s="226" t="s">
        <v>2575</v>
      </c>
      <c r="C16" s="226" t="s">
        <v>2576</v>
      </c>
      <c r="D16" s="2306" t="s">
        <v>2345</v>
      </c>
      <c r="E16" s="2306"/>
      <c r="F16" s="212"/>
      <c r="G16" s="212"/>
      <c r="H16" s="212"/>
    </row>
    <row r="17" spans="1:8" ht="12.6" customHeight="1">
      <c r="A17" s="85">
        <v>1</v>
      </c>
      <c r="B17" s="201">
        <f>IF(A17&gt;$C$9,0,SUM(C64:C75)*($C$6/$C$7))</f>
        <v>0</v>
      </c>
      <c r="C17" s="224">
        <f>IF(A17&gt;C9,0,(E63+K63)*$C$8)</f>
        <v>0</v>
      </c>
      <c r="D17" s="2311">
        <f t="shared" ref="D17:D56" si="0">IF(A17&gt;$C$9,0,$C$11+C17)</f>
        <v>0</v>
      </c>
      <c r="E17" s="2311"/>
      <c r="F17" s="212"/>
      <c r="G17" s="212"/>
      <c r="H17" s="212"/>
    </row>
    <row r="18" spans="1:8" ht="12.6" customHeight="1">
      <c r="A18" s="85">
        <v>2</v>
      </c>
      <c r="B18" s="201">
        <f>IF(A18&gt;C9,0,SUM(C76:C87)*($C$6/$C$7))</f>
        <v>0</v>
      </c>
      <c r="C18" s="231">
        <f>IF(A18&gt;C9,0,(E75+K75)*$C$8)</f>
        <v>0</v>
      </c>
      <c r="D18" s="2303">
        <f t="shared" si="0"/>
        <v>0</v>
      </c>
      <c r="E18" s="2303"/>
      <c r="F18" s="212"/>
      <c r="G18" s="212"/>
      <c r="H18" s="212"/>
    </row>
    <row r="19" spans="1:8" ht="12.6" customHeight="1">
      <c r="A19" s="85">
        <v>3</v>
      </c>
      <c r="B19" s="201">
        <f>IF(A19&gt;C9,0,SUM(C88:C99)*($C$6/$C$7))</f>
        <v>0</v>
      </c>
      <c r="C19" s="224">
        <f>IF(A19&gt;C9,0,(E87+K87)*$C$8)</f>
        <v>0</v>
      </c>
      <c r="D19" s="2303">
        <f t="shared" si="0"/>
        <v>0</v>
      </c>
      <c r="E19" s="2303"/>
      <c r="F19" s="212"/>
      <c r="G19" s="212"/>
      <c r="H19" s="212"/>
    </row>
    <row r="20" spans="1:8" ht="12.6" customHeight="1">
      <c r="A20" s="85">
        <v>4</v>
      </c>
      <c r="B20" s="201">
        <f>IF(A20&gt;C9,0,SUM(C100:C111)*($C$6/$C$7))</f>
        <v>0</v>
      </c>
      <c r="C20" s="224">
        <f>IF(A20&gt;C9,0,(E99+K99)*$C$8)</f>
        <v>0</v>
      </c>
      <c r="D20" s="2303">
        <f t="shared" si="0"/>
        <v>0</v>
      </c>
      <c r="E20" s="2303"/>
      <c r="F20" s="212"/>
      <c r="G20" s="212"/>
      <c r="H20" s="212"/>
    </row>
    <row r="21" spans="1:8" ht="12.6" customHeight="1">
      <c r="A21" s="85">
        <v>5</v>
      </c>
      <c r="B21" s="201">
        <f>IF(A21&gt;C9,0,SUM(C112:C123)*($C$6/$C$7))</f>
        <v>0</v>
      </c>
      <c r="C21" s="224">
        <f>IF(A21&gt;C9,0,(E111+K111)*$C$8)</f>
        <v>0</v>
      </c>
      <c r="D21" s="2304">
        <f t="shared" si="0"/>
        <v>0</v>
      </c>
      <c r="E21" s="2304"/>
      <c r="F21" s="212"/>
      <c r="G21" s="212"/>
      <c r="H21" s="212"/>
    </row>
    <row r="22" spans="1:8" ht="12.6" customHeight="1">
      <c r="A22" s="202">
        <v>6</v>
      </c>
      <c r="B22" s="203">
        <f>IF(A22&gt;C9,0,SUM(C124:C135)*($C$6/$C$7))</f>
        <v>0</v>
      </c>
      <c r="C22" s="228">
        <f>IF(A22&gt;C9,0,(E123+K123)*$C$8)</f>
        <v>0</v>
      </c>
      <c r="D22" s="2303">
        <f t="shared" si="0"/>
        <v>0</v>
      </c>
      <c r="E22" s="2303"/>
      <c r="F22" s="212"/>
      <c r="G22" s="212"/>
      <c r="H22" s="212"/>
    </row>
    <row r="23" spans="1:8" ht="12.6" customHeight="1">
      <c r="A23" s="204">
        <v>7</v>
      </c>
      <c r="B23" s="205">
        <f>IF(A23&gt;C9,0,SUM(C136:C147)*($C$6/$C$7))</f>
        <v>0</v>
      </c>
      <c r="C23" s="206">
        <f>IF(A23&gt;C9,0,(E135+K135)*$C$8)</f>
        <v>0</v>
      </c>
      <c r="D23" s="2303">
        <f t="shared" si="0"/>
        <v>0</v>
      </c>
      <c r="E23" s="2303"/>
      <c r="F23" s="212"/>
      <c r="G23" s="212"/>
      <c r="H23" s="212"/>
    </row>
    <row r="24" spans="1:8" ht="12.6" customHeight="1">
      <c r="A24" s="204">
        <v>8</v>
      </c>
      <c r="B24" s="205">
        <f>IF(A24&gt;C9,0,SUM(C148:C159)*($C$6/$C$7))</f>
        <v>0</v>
      </c>
      <c r="C24" s="206">
        <f>IF(A24&gt;C9,0,(E147+K147)*$C$8)</f>
        <v>0</v>
      </c>
      <c r="D24" s="2303">
        <f t="shared" si="0"/>
        <v>0</v>
      </c>
      <c r="E24" s="2303"/>
      <c r="F24" s="212"/>
      <c r="G24" s="212"/>
      <c r="H24" s="212"/>
    </row>
    <row r="25" spans="1:8" ht="12.6" customHeight="1">
      <c r="A25" s="204">
        <v>9</v>
      </c>
      <c r="B25" s="205">
        <f>IF(A25&gt;C9,0,SUM(C160:C171)*($C$6/$C$7))</f>
        <v>0</v>
      </c>
      <c r="C25" s="206">
        <f>IF(A25&gt;C9,0,(E159+K159)*$C$8)</f>
        <v>0</v>
      </c>
      <c r="D25" s="2303">
        <f t="shared" si="0"/>
        <v>0</v>
      </c>
      <c r="E25" s="2303"/>
      <c r="F25" s="212"/>
      <c r="G25" s="212"/>
      <c r="H25" s="212"/>
    </row>
    <row r="26" spans="1:8" ht="12.6" customHeight="1">
      <c r="A26" s="207">
        <v>10</v>
      </c>
      <c r="B26" s="208">
        <f>IF(A26&gt;C9,0,SUM(C172:C183)*($C$6/$C$7))</f>
        <v>0</v>
      </c>
      <c r="C26" s="227">
        <f>IF(A26&gt;C9,0,(E171+K171)*$C$8)</f>
        <v>0</v>
      </c>
      <c r="D26" s="2304">
        <f t="shared" si="0"/>
        <v>0</v>
      </c>
      <c r="E26" s="2304"/>
      <c r="F26" s="212"/>
      <c r="G26" s="212"/>
      <c r="H26" s="212"/>
    </row>
    <row r="27" spans="1:8" ht="12.6" customHeight="1">
      <c r="A27" s="209">
        <v>11</v>
      </c>
      <c r="B27" s="201">
        <f>IF(A27&gt;C9,0,SUM(C184:C195)*($C$6/$C$7))</f>
        <v>0</v>
      </c>
      <c r="C27" s="224">
        <f>IF(A27&gt;C9,0,(E183+K183)*$C$8)</f>
        <v>0</v>
      </c>
      <c r="D27" s="2303">
        <f t="shared" si="0"/>
        <v>0</v>
      </c>
      <c r="E27" s="2303"/>
      <c r="F27" s="212"/>
      <c r="G27" s="212"/>
      <c r="H27" s="212"/>
    </row>
    <row r="28" spans="1:8" ht="12.6" customHeight="1">
      <c r="A28" s="209">
        <v>12</v>
      </c>
      <c r="B28" s="201">
        <f>IF(A28&gt;C9,0,SUM(C196:C207)*($C$6/$C$7))</f>
        <v>0</v>
      </c>
      <c r="C28" s="224">
        <f>IF(A28&gt;C9,0,(E195+K195)*$C$8)</f>
        <v>0</v>
      </c>
      <c r="D28" s="2303">
        <f t="shared" si="0"/>
        <v>0</v>
      </c>
      <c r="E28" s="2303"/>
      <c r="F28" s="212"/>
      <c r="G28" s="212"/>
      <c r="H28" s="212"/>
    </row>
    <row r="29" spans="1:8" ht="12.6" customHeight="1">
      <c r="A29" s="209">
        <v>13</v>
      </c>
      <c r="B29" s="201">
        <f>IF(A29&gt;C9,0,SUM(C208:C219)*($C$6/$C$7))</f>
        <v>0</v>
      </c>
      <c r="C29" s="224">
        <f>IF(A29&gt;C9,0,(E207+K207)*$C$8)</f>
        <v>0</v>
      </c>
      <c r="D29" s="2303">
        <f t="shared" si="0"/>
        <v>0</v>
      </c>
      <c r="E29" s="2303"/>
      <c r="F29" s="212"/>
      <c r="G29" s="212"/>
      <c r="H29" s="212"/>
    </row>
    <row r="30" spans="1:8" ht="12.6" customHeight="1">
      <c r="A30" s="209">
        <v>14</v>
      </c>
      <c r="B30" s="201">
        <f>IF(A30&gt;C9,0,SUM(C220:C231)*($C$6/$C$7))</f>
        <v>0</v>
      </c>
      <c r="C30" s="224">
        <f>IF(A30&gt;C9,0,(E219+K219)*$C$8)</f>
        <v>0</v>
      </c>
      <c r="D30" s="2303">
        <f t="shared" si="0"/>
        <v>0</v>
      </c>
      <c r="E30" s="2303"/>
      <c r="F30" s="212"/>
      <c r="G30" s="212"/>
      <c r="H30" s="212"/>
    </row>
    <row r="31" spans="1:8" ht="12.6" customHeight="1">
      <c r="A31" s="209">
        <v>15</v>
      </c>
      <c r="B31" s="201">
        <f>IF(A31&gt;C9,0,SUM(C232:C243)*($C$6/$C$7))</f>
        <v>0</v>
      </c>
      <c r="C31" s="224">
        <f>IF(A31&gt;C9,0,(E231+K231)*$C$8)</f>
        <v>0</v>
      </c>
      <c r="D31" s="2304">
        <f t="shared" si="0"/>
        <v>0</v>
      </c>
      <c r="E31" s="2304"/>
      <c r="F31" s="212"/>
      <c r="G31" s="212"/>
      <c r="H31" s="212"/>
    </row>
    <row r="32" spans="1:8" ht="12.6" customHeight="1">
      <c r="A32" s="211">
        <v>16</v>
      </c>
      <c r="B32" s="203">
        <f>IF(A32&gt;C9,0,SUM(C244:C255)*($C$6/$C$7))</f>
        <v>0</v>
      </c>
      <c r="C32" s="228">
        <f>IF(A32&gt;C9,0,(E243+K243)*$C$8)</f>
        <v>0</v>
      </c>
      <c r="D32" s="2303">
        <f t="shared" si="0"/>
        <v>0</v>
      </c>
      <c r="E32" s="2303"/>
      <c r="F32" s="212"/>
      <c r="G32" s="212"/>
      <c r="H32" s="212"/>
    </row>
    <row r="33" spans="1:8" ht="12.6" customHeight="1">
      <c r="A33" s="204">
        <v>17</v>
      </c>
      <c r="B33" s="205">
        <f>IF(A33&gt;C9,0,SUM(C256:C267)*($C$6/$C$7))</f>
        <v>0</v>
      </c>
      <c r="C33" s="206">
        <f>IF(A33&gt;C9,0,(E255+K255)*$C$8)</f>
        <v>0</v>
      </c>
      <c r="D33" s="2303">
        <f t="shared" si="0"/>
        <v>0</v>
      </c>
      <c r="E33" s="2303"/>
      <c r="F33" s="212"/>
      <c r="G33" s="212"/>
      <c r="H33" s="212"/>
    </row>
    <row r="34" spans="1:8" ht="12.6" customHeight="1">
      <c r="A34" s="204">
        <v>18</v>
      </c>
      <c r="B34" s="205">
        <f>IF(A34&gt;C9,0,SUM(C268:C279)*($C$6/$C$7))</f>
        <v>0</v>
      </c>
      <c r="C34" s="206">
        <f>IF(A34&gt;C9,0,(E267+K267)*$C$8)</f>
        <v>0</v>
      </c>
      <c r="D34" s="2303">
        <f t="shared" si="0"/>
        <v>0</v>
      </c>
      <c r="E34" s="2303"/>
      <c r="F34" s="212"/>
      <c r="G34" s="212"/>
      <c r="H34" s="212"/>
    </row>
    <row r="35" spans="1:8" ht="12.6" customHeight="1">
      <c r="A35" s="204">
        <v>19</v>
      </c>
      <c r="B35" s="205">
        <f>IF(A35&gt;C9,0,SUM(C280:C291)*($C$6/$C$7))</f>
        <v>0</v>
      </c>
      <c r="C35" s="206">
        <f>IF(A35&gt;C9,0,(E279+K279)*$C$8)</f>
        <v>0</v>
      </c>
      <c r="D35" s="2303">
        <f t="shared" si="0"/>
        <v>0</v>
      </c>
      <c r="E35" s="2303"/>
      <c r="F35" s="212"/>
      <c r="G35" s="212"/>
      <c r="H35" s="212"/>
    </row>
    <row r="36" spans="1:8" ht="12.6" customHeight="1">
      <c r="A36" s="207">
        <v>20</v>
      </c>
      <c r="B36" s="208">
        <f>IF(A36&gt;C9,0,SUM(C292:C303)*($C$6/$C$7))</f>
        <v>0</v>
      </c>
      <c r="C36" s="227">
        <f>IF(A36&gt;C9,0,(E291+K291)*$C$8)</f>
        <v>0</v>
      </c>
      <c r="D36" s="2304">
        <f t="shared" si="0"/>
        <v>0</v>
      </c>
      <c r="E36" s="2304"/>
      <c r="F36" s="212"/>
      <c r="G36" s="212"/>
      <c r="H36" s="212"/>
    </row>
    <row r="37" spans="1:8" ht="12.6" customHeight="1">
      <c r="A37" s="85">
        <v>21</v>
      </c>
      <c r="B37" s="203">
        <f>IF(A37&gt;C9,0,SUM(C293:C304)*($C$6/$C$7))</f>
        <v>0</v>
      </c>
      <c r="C37" s="228">
        <f>IF(A37&gt;C9,0,(E303+K303)*$C$8)</f>
        <v>0</v>
      </c>
      <c r="D37" s="2305">
        <f t="shared" si="0"/>
        <v>0</v>
      </c>
      <c r="E37" s="2305"/>
      <c r="F37" s="212"/>
      <c r="G37" s="212"/>
      <c r="H37" s="212"/>
    </row>
    <row r="38" spans="1:8" ht="12.6" customHeight="1">
      <c r="A38" s="85">
        <v>22</v>
      </c>
      <c r="B38" s="205">
        <f>IF(A38&gt;C9,0,SUM(C294:C305)*($C$6/$C$7))</f>
        <v>0</v>
      </c>
      <c r="C38" s="206">
        <f>IF(A38&gt;C9,0,(E315+K315)*$C$8)</f>
        <v>0</v>
      </c>
      <c r="D38" s="2303">
        <f t="shared" si="0"/>
        <v>0</v>
      </c>
      <c r="E38" s="2303"/>
      <c r="F38" s="212"/>
      <c r="G38" s="212"/>
      <c r="H38" s="212"/>
    </row>
    <row r="39" spans="1:8" ht="12.6" customHeight="1">
      <c r="A39" s="85">
        <v>23</v>
      </c>
      <c r="B39" s="205">
        <f>IF(A39&gt;C9,0,SUM(C295:C306)*($C$6/$C$7))</f>
        <v>0</v>
      </c>
      <c r="C39" s="206">
        <f>IF(A39&gt;C9,0,(E327+K327)*$C$8)</f>
        <v>0</v>
      </c>
      <c r="D39" s="2303">
        <f t="shared" si="0"/>
        <v>0</v>
      </c>
      <c r="E39" s="2303"/>
      <c r="F39" s="212"/>
      <c r="G39" s="212"/>
      <c r="H39" s="212"/>
    </row>
    <row r="40" spans="1:8" ht="12.6" customHeight="1">
      <c r="A40" s="85">
        <v>24</v>
      </c>
      <c r="B40" s="205">
        <f>IF(A40&gt;C9,0,SUM(C296:C307)*($C$6/$C$7))</f>
        <v>0</v>
      </c>
      <c r="C40" s="206">
        <f>IF(A40&gt;C9,0,(E339+K339)*$C$8)</f>
        <v>0</v>
      </c>
      <c r="D40" s="2303">
        <f t="shared" si="0"/>
        <v>0</v>
      </c>
      <c r="E40" s="2303"/>
      <c r="F40" s="212"/>
      <c r="G40" s="212"/>
      <c r="H40" s="212"/>
    </row>
    <row r="41" spans="1:8" ht="12.6" customHeight="1">
      <c r="A41" s="85">
        <v>25</v>
      </c>
      <c r="B41" s="208">
        <f>IF(A41&gt;C9,0,SUM(C297:C308)*($C$6/$C$7))</f>
        <v>0</v>
      </c>
      <c r="C41" s="227">
        <f>IF(A41&gt;C9,0,(E351+K351)*$C$8)</f>
        <v>0</v>
      </c>
      <c r="D41" s="2304">
        <f t="shared" si="0"/>
        <v>0</v>
      </c>
      <c r="E41" s="2304"/>
      <c r="F41" s="212"/>
      <c r="G41" s="212"/>
      <c r="H41" s="212"/>
    </row>
    <row r="42" spans="1:8" ht="12.6" customHeight="1">
      <c r="A42" s="202">
        <v>26</v>
      </c>
      <c r="B42" s="203">
        <f>IF(A42&gt;C9,0,SUM(C298:C309)*($C$6/$C$7))</f>
        <v>0</v>
      </c>
      <c r="C42" s="228">
        <f>IF(A42&gt;C9,0,(E363+K363)*$C$8)</f>
        <v>0</v>
      </c>
      <c r="D42" s="2305">
        <f t="shared" si="0"/>
        <v>0</v>
      </c>
      <c r="E42" s="2305"/>
      <c r="F42" s="212"/>
      <c r="G42" s="212"/>
      <c r="H42" s="212"/>
    </row>
    <row r="43" spans="1:8" ht="12.6" customHeight="1">
      <c r="A43" s="204">
        <v>27</v>
      </c>
      <c r="B43" s="205">
        <f>IF(A43&gt;C9,0,SUM(C299:C310)*($C$6/$C$7))</f>
        <v>0</v>
      </c>
      <c r="C43" s="206">
        <f>IF(A43&gt;C9,0,(E375+K375)*$C$8)</f>
        <v>0</v>
      </c>
      <c r="D43" s="2303">
        <f t="shared" si="0"/>
        <v>0</v>
      </c>
      <c r="E43" s="2303"/>
      <c r="F43" s="212"/>
      <c r="G43" s="212"/>
      <c r="H43" s="212"/>
    </row>
    <row r="44" spans="1:8" ht="12.6" customHeight="1">
      <c r="A44" s="204">
        <v>28</v>
      </c>
      <c r="B44" s="205">
        <f>IF(A44&gt;C9,0,SUM(C300:C311)*($C$6/$C$7))</f>
        <v>0</v>
      </c>
      <c r="C44" s="206">
        <f>IF(A44&gt;C9,0,(E387+K387)*$C$8)</f>
        <v>0</v>
      </c>
      <c r="D44" s="2303">
        <f t="shared" si="0"/>
        <v>0</v>
      </c>
      <c r="E44" s="2303"/>
      <c r="F44" s="212"/>
      <c r="G44" s="212"/>
      <c r="H44" s="212"/>
    </row>
    <row r="45" spans="1:8" ht="12.6" customHeight="1">
      <c r="A45" s="204">
        <v>29</v>
      </c>
      <c r="B45" s="205">
        <f>IF(A45&gt;C9,0,SUM(C301:C312)*($C$6/$C$7))</f>
        <v>0</v>
      </c>
      <c r="C45" s="206">
        <f>IF(A45&gt;C9,0,(E411+K411)*$C$8)</f>
        <v>0</v>
      </c>
      <c r="D45" s="2303">
        <f t="shared" si="0"/>
        <v>0</v>
      </c>
      <c r="E45" s="2303"/>
      <c r="F45" s="212"/>
      <c r="G45" s="212"/>
      <c r="H45" s="212"/>
    </row>
    <row r="46" spans="1:8" ht="12.6" customHeight="1">
      <c r="A46" s="207">
        <v>30</v>
      </c>
      <c r="B46" s="208">
        <f>IF(A46&gt;C9,0,SUM(C302:C313)*($C$6/$C$7))</f>
        <v>0</v>
      </c>
      <c r="C46" s="227">
        <f>IF(A46&gt;C9,0,(E423+K423)*$C$8)</f>
        <v>0</v>
      </c>
      <c r="D46" s="2304">
        <f t="shared" si="0"/>
        <v>0</v>
      </c>
      <c r="E46" s="2304"/>
      <c r="F46" s="212"/>
      <c r="G46" s="212"/>
      <c r="H46" s="212"/>
    </row>
    <row r="47" spans="1:8" ht="12.6" customHeight="1">
      <c r="A47" s="211">
        <v>31</v>
      </c>
      <c r="B47" s="203">
        <f>IF(A47&gt;C9,0,SUM(C303:C314)*($C$6/$C$7))</f>
        <v>0</v>
      </c>
      <c r="C47" s="228">
        <f>IF(A47&gt;C9,0,(E435+K435)*$C$8)</f>
        <v>0</v>
      </c>
      <c r="D47" s="2305">
        <f t="shared" si="0"/>
        <v>0</v>
      </c>
      <c r="E47" s="2305"/>
      <c r="F47" s="212"/>
      <c r="G47" s="212"/>
      <c r="H47" s="212"/>
    </row>
    <row r="48" spans="1:8" ht="12.6" customHeight="1">
      <c r="A48" s="204">
        <v>32</v>
      </c>
      <c r="B48" s="205">
        <f>IF(A48&gt;C9,0,SUM(C304:C315)*($C$6/$C$7))</f>
        <v>0</v>
      </c>
      <c r="C48" s="206">
        <f>IF(A48&gt;C9,0,(E447+K447)*$C$8)</f>
        <v>0</v>
      </c>
      <c r="D48" s="2303">
        <f t="shared" si="0"/>
        <v>0</v>
      </c>
      <c r="E48" s="2303"/>
      <c r="F48" s="212"/>
      <c r="G48" s="212"/>
      <c r="H48" s="212"/>
    </row>
    <row r="49" spans="1:12" ht="12.6" customHeight="1">
      <c r="A49" s="204">
        <v>33</v>
      </c>
      <c r="B49" s="205">
        <f>IF(A49&gt;C9,0,SUM(C305:C316)*($C$6/$C$7))</f>
        <v>0</v>
      </c>
      <c r="C49" s="206">
        <f>IF(A49&gt;C9,0,(E459+K459)*$C$8)</f>
        <v>0</v>
      </c>
      <c r="D49" s="2303">
        <f t="shared" si="0"/>
        <v>0</v>
      </c>
      <c r="E49" s="2303"/>
      <c r="F49" s="212"/>
      <c r="G49" s="212"/>
      <c r="H49" s="212"/>
    </row>
    <row r="50" spans="1:12" ht="12.6" customHeight="1">
      <c r="A50" s="204">
        <v>34</v>
      </c>
      <c r="B50" s="205">
        <f>IF(A50&gt;C9,0,SUM(C306:C317)*($C$6/$C$7))</f>
        <v>0</v>
      </c>
      <c r="C50" s="206">
        <f>IF(A50&gt;C9,0,(E471+K471)*$C$8)</f>
        <v>0</v>
      </c>
      <c r="D50" s="2303">
        <f t="shared" si="0"/>
        <v>0</v>
      </c>
      <c r="E50" s="2303"/>
      <c r="F50" s="212"/>
      <c r="G50" s="212"/>
      <c r="H50" s="212"/>
    </row>
    <row r="51" spans="1:12" ht="12.6" customHeight="1">
      <c r="A51" s="207">
        <v>35</v>
      </c>
      <c r="B51" s="208">
        <f>IF(A51&gt;C9,0,SUM(C307:C318)*($C$6/$C$7))</f>
        <v>0</v>
      </c>
      <c r="C51" s="227">
        <f>IF(A51&gt;C9,0,(E483+K483)*$C$8)</f>
        <v>0</v>
      </c>
      <c r="D51" s="2304">
        <f t="shared" si="0"/>
        <v>0</v>
      </c>
      <c r="E51" s="2304"/>
      <c r="F51" s="212"/>
      <c r="G51" s="212"/>
      <c r="H51" s="212"/>
    </row>
    <row r="52" spans="1:12" ht="12.6" customHeight="1">
      <c r="A52" s="211">
        <v>36</v>
      </c>
      <c r="B52" s="203">
        <f>IF(A52&gt;C9,0,SUM(C308:C319)*($C$6/$C$7))</f>
        <v>0</v>
      </c>
      <c r="C52" s="228">
        <f>IF(A52&gt;C9,0,(E495+K495)*$C$8)</f>
        <v>0</v>
      </c>
      <c r="D52" s="2305">
        <f t="shared" si="0"/>
        <v>0</v>
      </c>
      <c r="E52" s="2305"/>
      <c r="F52" s="212"/>
      <c r="G52" s="212"/>
      <c r="H52" s="212"/>
    </row>
    <row r="53" spans="1:12" ht="12.6" customHeight="1">
      <c r="A53" s="204">
        <v>37</v>
      </c>
      <c r="B53" s="205">
        <f>IF(A53&gt;C9,0,SUM(C309:C320)*($C$6/$C$7))</f>
        <v>0</v>
      </c>
      <c r="C53" s="206">
        <f>IF(A53&gt;C9,0,(E507+K507)*$C$8)</f>
        <v>0</v>
      </c>
      <c r="D53" s="2303">
        <f t="shared" si="0"/>
        <v>0</v>
      </c>
      <c r="E53" s="2303"/>
      <c r="F53" s="212"/>
      <c r="G53" s="212"/>
      <c r="H53" s="212"/>
    </row>
    <row r="54" spans="1:12" ht="12.6" customHeight="1">
      <c r="A54" s="204">
        <v>38</v>
      </c>
      <c r="B54" s="205">
        <f>IF(A54&gt;C9,0,SUM(C310:C321)*($C$6/$C$7))</f>
        <v>0</v>
      </c>
      <c r="C54" s="206">
        <f>IF(A54&gt;C9,0,(E519+K519)*$C$8)</f>
        <v>0</v>
      </c>
      <c r="D54" s="2303">
        <f t="shared" si="0"/>
        <v>0</v>
      </c>
      <c r="E54" s="2303"/>
      <c r="F54" s="212"/>
      <c r="G54" s="212"/>
      <c r="H54" s="212"/>
    </row>
    <row r="55" spans="1:12" ht="12.6" customHeight="1">
      <c r="A55" s="204">
        <v>39</v>
      </c>
      <c r="B55" s="205">
        <f>IF(A55&gt;C9,0,SUM(C311:C322)*($C$6/$C$7))</f>
        <v>0</v>
      </c>
      <c r="C55" s="206">
        <f>IF(A55&gt;C9,0,(E531+K531)*$C$8)</f>
        <v>0</v>
      </c>
      <c r="D55" s="2303">
        <f t="shared" si="0"/>
        <v>0</v>
      </c>
      <c r="E55" s="2303"/>
      <c r="F55" s="212"/>
      <c r="G55" s="212"/>
      <c r="H55" s="212"/>
    </row>
    <row r="56" spans="1:12" ht="12.6" customHeight="1">
      <c r="A56" s="207">
        <v>40</v>
      </c>
      <c r="B56" s="208">
        <f>IF(A56&gt;C9,0,SUM(C312:C323)*($C$6/$C$7))</f>
        <v>0</v>
      </c>
      <c r="C56" s="227">
        <f>IF(A56&gt;C9,0,(E543+K543)*$C$8)</f>
        <v>0</v>
      </c>
      <c r="D56" s="2304">
        <f t="shared" si="0"/>
        <v>0</v>
      </c>
      <c r="E56" s="2304"/>
      <c r="F56" s="212"/>
      <c r="G56" s="212"/>
      <c r="H56" s="212"/>
    </row>
    <row r="57" spans="1:12" ht="3" customHeight="1">
      <c r="A57" s="212"/>
      <c r="B57" s="212"/>
      <c r="C57" s="212"/>
      <c r="D57" s="212"/>
      <c r="E57" s="212"/>
      <c r="F57" s="212"/>
      <c r="G57" s="212"/>
      <c r="H57" s="212"/>
    </row>
    <row r="58" spans="1:12" ht="13.15" customHeight="1">
      <c r="A58" s="2307" t="str">
        <f>CONCATENATE('Part I-Project Information'!$O$4," ",'Part I-Project Information'!$F$24,", ",'Part I-Project Information'!$F$28,", ",'Part I-Project Information'!$J$29," County")</f>
        <v>2016-508 Gateway Capitol View, Atlanta, Fulton County</v>
      </c>
      <c r="B58" s="2307"/>
      <c r="C58" s="2307"/>
      <c r="D58" s="2307"/>
      <c r="E58" s="2307"/>
      <c r="F58" s="2307"/>
      <c r="G58" s="2307" t="str">
        <f>CONCATENATE('Part I-Project Information'!$O$4," ",'Part I-Project Information'!$F$24,", ",'Part I-Project Information'!$F$28,", ",'Part I-Project Information'!$J$29," County")</f>
        <v>2016-508 Gateway Capitol View, Atlanta, Fulton County</v>
      </c>
      <c r="H58" s="2307"/>
      <c r="I58" s="2307"/>
      <c r="J58" s="2307"/>
      <c r="K58" s="2307"/>
      <c r="L58" s="2307"/>
    </row>
    <row r="59" spans="1:12" ht="15">
      <c r="A59" s="2308" t="s">
        <v>2569</v>
      </c>
      <c r="B59" s="2308"/>
      <c r="C59" s="2308"/>
      <c r="D59" s="2308"/>
      <c r="E59" s="2308"/>
      <c r="F59" s="2308"/>
      <c r="G59" s="2308" t="s">
        <v>2569</v>
      </c>
      <c r="H59" s="2308"/>
      <c r="I59" s="2308"/>
      <c r="J59" s="2308"/>
      <c r="K59" s="2308"/>
      <c r="L59" s="2308"/>
    </row>
    <row r="60" spans="1:12" ht="6" customHeight="1">
      <c r="C60" s="210"/>
      <c r="D60" s="210"/>
      <c r="I60" s="210"/>
      <c r="J60" s="210"/>
    </row>
    <row r="61" spans="1:12">
      <c r="A61" s="213" t="s">
        <v>2570</v>
      </c>
      <c r="B61" s="214" t="s">
        <v>2571</v>
      </c>
      <c r="C61" s="214" t="s">
        <v>1350</v>
      </c>
      <c r="D61" s="214" t="s">
        <v>2572</v>
      </c>
      <c r="E61" s="213" t="s">
        <v>2573</v>
      </c>
      <c r="F61" s="242" t="s">
        <v>2578</v>
      </c>
      <c r="G61" s="213" t="s">
        <v>2570</v>
      </c>
      <c r="H61" s="214" t="s">
        <v>2571</v>
      </c>
      <c r="I61" s="214" t="s">
        <v>1350</v>
      </c>
      <c r="J61" s="214" t="s">
        <v>2572</v>
      </c>
      <c r="K61" s="213" t="s">
        <v>2573</v>
      </c>
      <c r="L61" s="242" t="s">
        <v>2578</v>
      </c>
    </row>
    <row r="62" spans="1:12" ht="3.6" customHeight="1">
      <c r="A62" s="216"/>
      <c r="B62" s="125"/>
      <c r="C62" s="125"/>
      <c r="D62" s="125"/>
      <c r="E62" s="125"/>
      <c r="F62" s="85"/>
      <c r="G62" s="216"/>
      <c r="H62" s="125"/>
      <c r="I62" s="125"/>
      <c r="J62" s="125"/>
      <c r="K62" s="125"/>
      <c r="L62" s="85"/>
    </row>
    <row r="63" spans="1:12">
      <c r="A63" s="217" t="s">
        <v>2574</v>
      </c>
      <c r="B63" s="218"/>
      <c r="C63" s="218"/>
      <c r="D63" s="218"/>
      <c r="E63" s="219">
        <f>IF($C$5&gt;1500000,$D$5,$C$5)</f>
        <v>0</v>
      </c>
      <c r="F63" s="85"/>
      <c r="G63" s="217" t="s">
        <v>2574</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300" t="str">
        <f>CONCATENATE("PART III C  - HUD INSURED LOAN","  -  ",'Part I-Project Information'!$O$4," ",'Part I-Project Information'!$F$24,", ",'Part I-Project Information'!$F$28,", ",'Part I-Project Information'!$J$29," County")</f>
        <v>PART III C  - HUD INSURED LOAN  -  2016-508 Gateway Capitol View, Atlanta, Fulton County</v>
      </c>
      <c r="B1" s="2301"/>
      <c r="C1" s="2301"/>
      <c r="D1" s="2301"/>
      <c r="E1" s="2301"/>
      <c r="F1" s="2302"/>
      <c r="G1" s="176"/>
      <c r="H1" s="176"/>
      <c r="I1" s="176"/>
      <c r="J1" s="176"/>
      <c r="K1" s="176"/>
      <c r="L1" s="176"/>
      <c r="M1" s="176"/>
      <c r="N1" s="176"/>
      <c r="O1" s="176"/>
      <c r="P1" s="176"/>
      <c r="Q1" s="176"/>
    </row>
    <row r="2" spans="1:17">
      <c r="A2" s="14"/>
      <c r="B2" s="200"/>
      <c r="C2" s="200"/>
      <c r="D2" s="200"/>
    </row>
    <row r="3" spans="1:17" ht="15.6" customHeight="1">
      <c r="A3" s="2309" t="s">
        <v>225</v>
      </c>
      <c r="B3" s="2309"/>
      <c r="C3" s="2309"/>
      <c r="D3" s="2309"/>
      <c r="E3" s="2309"/>
      <c r="F3" s="2309"/>
      <c r="G3" s="245"/>
      <c r="H3" s="245"/>
    </row>
    <row r="4" spans="1:17">
      <c r="A4" s="14"/>
      <c r="B4" s="200"/>
      <c r="C4" s="200"/>
      <c r="D4" s="200"/>
    </row>
    <row r="5" spans="1:17" ht="13.15" customHeight="1">
      <c r="A5" s="28" t="s">
        <v>2346</v>
      </c>
      <c r="D5" s="240"/>
      <c r="E5" s="2312" t="s">
        <v>997</v>
      </c>
      <c r="F5" s="2313"/>
      <c r="G5" s="173"/>
    </row>
    <row r="6" spans="1:17">
      <c r="E6" s="2313"/>
      <c r="F6" s="2313"/>
      <c r="G6" s="173"/>
    </row>
    <row r="7" spans="1:17">
      <c r="A7" s="28" t="s">
        <v>2561</v>
      </c>
      <c r="C7" s="28" t="s">
        <v>2562</v>
      </c>
      <c r="D7" s="241"/>
      <c r="E7" s="2313"/>
      <c r="F7" s="2313"/>
      <c r="G7" s="173"/>
    </row>
    <row r="8" spans="1:17">
      <c r="C8" s="28" t="s">
        <v>2563</v>
      </c>
      <c r="D8" s="241"/>
      <c r="E8" s="2313"/>
      <c r="F8" s="2313"/>
      <c r="G8" s="173"/>
    </row>
    <row r="9" spans="1:17">
      <c r="C9" s="28" t="s">
        <v>2564</v>
      </c>
      <c r="D9" s="241"/>
      <c r="E9" s="2313"/>
      <c r="F9" s="2313"/>
      <c r="G9" s="173"/>
    </row>
    <row r="10" spans="1:17">
      <c r="C10" s="28" t="s">
        <v>2577</v>
      </c>
      <c r="D10" s="246">
        <f>D7+D8+D9</f>
        <v>0</v>
      </c>
      <c r="E10" s="2313"/>
      <c r="F10" s="2313"/>
      <c r="G10" s="173"/>
    </row>
    <row r="11" spans="1:17">
      <c r="F11" s="173"/>
      <c r="G11" s="173"/>
    </row>
    <row r="12" spans="1:17">
      <c r="A12" s="28" t="s">
        <v>1792</v>
      </c>
      <c r="D12" s="239"/>
      <c r="E12" s="28" t="s">
        <v>2222</v>
      </c>
      <c r="F12" s="173"/>
      <c r="G12" s="173"/>
    </row>
    <row r="13" spans="1:17">
      <c r="D13" s="210"/>
      <c r="F13" s="173"/>
      <c r="G13" s="173"/>
    </row>
    <row r="14" spans="1:17">
      <c r="A14" s="28" t="s">
        <v>2566</v>
      </c>
      <c r="D14" s="238"/>
      <c r="E14" s="28" t="s">
        <v>2567</v>
      </c>
      <c r="F14" s="247"/>
    </row>
    <row r="15" spans="1:17">
      <c r="D15" s="230"/>
      <c r="F15" s="247"/>
    </row>
    <row r="16" spans="1:17">
      <c r="A16" s="28" t="s">
        <v>2568</v>
      </c>
      <c r="D16" s="238"/>
      <c r="E16" s="28" t="s">
        <v>2567</v>
      </c>
      <c r="F16" s="247"/>
    </row>
    <row r="17" spans="1:10">
      <c r="D17" s="210"/>
      <c r="F17" s="247"/>
    </row>
    <row r="18" spans="1:10">
      <c r="A18" s="28" t="s">
        <v>970</v>
      </c>
      <c r="D18" s="248" t="e">
        <f>PMT(D10/12,D16*12,-D5,0,0)*12</f>
        <v>#NUM!</v>
      </c>
      <c r="E18" s="28" t="s">
        <v>1567</v>
      </c>
      <c r="F18" s="247"/>
    </row>
    <row r="19" spans="1:10">
      <c r="D19" s="210"/>
      <c r="F19" s="247"/>
    </row>
    <row r="20" spans="1:10">
      <c r="A20" s="28" t="s">
        <v>1568</v>
      </c>
      <c r="D20" s="210" t="e">
        <f>D18/12</f>
        <v>#NUM!</v>
      </c>
      <c r="E20" s="28" t="s">
        <v>1567</v>
      </c>
      <c r="F20" s="247"/>
    </row>
    <row r="24" spans="1:10" ht="18" customHeight="1">
      <c r="A24" s="2310" t="s">
        <v>1793</v>
      </c>
      <c r="B24" s="2310"/>
      <c r="C24" s="2310"/>
      <c r="D24" s="2310"/>
      <c r="E24" s="2310"/>
      <c r="F24" s="2310"/>
      <c r="J24" s="249"/>
    </row>
    <row r="25" spans="1:10">
      <c r="C25" s="210"/>
      <c r="J25" s="249"/>
    </row>
    <row r="26" spans="1:10">
      <c r="A26" s="110"/>
      <c r="B26" s="85"/>
      <c r="C26" s="2314" t="s">
        <v>2345</v>
      </c>
      <c r="D26" s="244"/>
      <c r="E26" s="85"/>
      <c r="F26" s="2314" t="s">
        <v>2345</v>
      </c>
      <c r="J26" s="249"/>
    </row>
    <row r="27" spans="1:10">
      <c r="A27" s="250" t="s">
        <v>2578</v>
      </c>
      <c r="B27" s="76" t="s">
        <v>1070</v>
      </c>
      <c r="C27" s="2315"/>
      <c r="D27" s="251" t="s">
        <v>2578</v>
      </c>
      <c r="E27" s="76" t="s">
        <v>1070</v>
      </c>
      <c r="F27" s="231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307" t="str">
        <f>CONCATENATE('Part I-Project Information'!$O$4," ",'Part I-Project Information'!$F$24,", ",'Part I-Project Information'!$F$28,", ",'Part I-Project Information'!$J$29," County")</f>
        <v>2016-508 Gateway Capitol View, Atlanta, Fulton County</v>
      </c>
      <c r="B50" s="2307"/>
      <c r="C50" s="2307"/>
      <c r="D50" s="2307"/>
      <c r="E50" s="2307"/>
      <c r="F50" s="2307"/>
      <c r="G50" s="235"/>
      <c r="H50" s="235"/>
    </row>
    <row r="51" spans="1:10" ht="15">
      <c r="A51" s="2308" t="s">
        <v>2569</v>
      </c>
      <c r="B51" s="2308"/>
      <c r="C51" s="2308"/>
      <c r="D51" s="2308"/>
      <c r="E51" s="2308"/>
      <c r="F51" s="2308"/>
      <c r="G51" s="261"/>
      <c r="H51" s="261"/>
      <c r="I51" s="261"/>
      <c r="J51" s="261"/>
    </row>
    <row r="52" spans="1:10" ht="5.45" customHeight="1">
      <c r="C52" s="210"/>
      <c r="D52" s="210"/>
      <c r="G52" s="215"/>
      <c r="H52" s="209"/>
      <c r="I52" s="215"/>
    </row>
    <row r="53" spans="1:10">
      <c r="A53" s="213" t="s">
        <v>2570</v>
      </c>
      <c r="B53" s="213" t="s">
        <v>2571</v>
      </c>
      <c r="C53" s="213" t="s">
        <v>1350</v>
      </c>
      <c r="D53" s="213" t="s">
        <v>2572</v>
      </c>
      <c r="E53" s="213" t="s">
        <v>2573</v>
      </c>
      <c r="F53" s="242" t="s">
        <v>2578</v>
      </c>
      <c r="G53" s="262"/>
      <c r="H53" s="262"/>
      <c r="I53" s="262"/>
    </row>
    <row r="54" spans="1:10" ht="3.6" customHeight="1">
      <c r="F54" s="85"/>
      <c r="G54" s="215"/>
      <c r="H54" s="209"/>
      <c r="I54" s="215"/>
    </row>
    <row r="55" spans="1:10">
      <c r="A55" s="28" t="s">
        <v>2574</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D151" zoomScale="130" zoomScaleNormal="130" zoomScaleSheetLayoutView="90" workbookViewId="0">
      <selection activeCell="D151"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2355" t="str">
        <f>CONCATENATE("PART FOUR -  USES OF FUNDS","  -  ",'Part I-Project Information'!$O$4," ",'Part I-Project Information'!$F$24,", ",'Part I-Project Information'!F28,", ",'Part I-Project Information'!J29," County")</f>
        <v>PART FOUR -  USES OF FUNDS  -  2016-508 Gateway Capitol View, Atlanta, Fulton County</v>
      </c>
      <c r="B1" s="2356"/>
      <c r="C1" s="2356"/>
      <c r="D1" s="2356"/>
      <c r="E1" s="2356"/>
      <c r="F1" s="2356"/>
      <c r="G1" s="2356"/>
      <c r="H1" s="2356"/>
      <c r="I1" s="2356"/>
      <c r="J1" s="2356"/>
      <c r="K1" s="2356"/>
      <c r="L1" s="2356"/>
      <c r="M1" s="2356"/>
      <c r="N1" s="2356"/>
      <c r="O1" s="2356"/>
      <c r="P1" s="2356"/>
      <c r="Q1" s="2356"/>
      <c r="R1" s="2356"/>
      <c r="S1" s="2356"/>
      <c r="T1" s="2356"/>
      <c r="W1" s="2354" t="str">
        <f>A1</f>
        <v>PART FOUR -  USES OF FUNDS  -  2016-508 Gateway Capitol View, Atlanta, Fulton County</v>
      </c>
      <c r="X1" s="2354"/>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45"/>
      <c r="B4" s="545"/>
      <c r="C4" s="545"/>
      <c r="D4" s="559"/>
      <c r="E4" s="559"/>
      <c r="F4" s="559"/>
      <c r="G4" s="559"/>
      <c r="H4" s="559"/>
      <c r="I4" s="328"/>
      <c r="J4" s="545"/>
      <c r="K4" s="545"/>
      <c r="L4" s="545"/>
      <c r="M4" s="545"/>
      <c r="N4" s="545"/>
      <c r="O4" s="545"/>
      <c r="P4" s="545"/>
      <c r="Q4" s="545"/>
      <c r="R4" s="545"/>
      <c r="S4" s="545"/>
      <c r="T4" s="545"/>
    </row>
    <row r="5" spans="1:24" s="326" customFormat="1" ht="19.5" customHeight="1" thickBot="1">
      <c r="A5" s="470" t="s">
        <v>646</v>
      </c>
      <c r="B5" s="470" t="s">
        <v>940</v>
      </c>
      <c r="G5" s="559"/>
      <c r="H5" s="559"/>
      <c r="I5" s="559"/>
      <c r="J5" s="2324" t="s">
        <v>284</v>
      </c>
      <c r="K5" s="2325"/>
      <c r="L5" s="381"/>
      <c r="M5" s="2343" t="s">
        <v>512</v>
      </c>
      <c r="N5" s="2344"/>
      <c r="P5" s="2324" t="s">
        <v>285</v>
      </c>
      <c r="Q5" s="2325"/>
      <c r="S5" s="2324" t="s">
        <v>286</v>
      </c>
      <c r="T5" s="2325"/>
      <c r="W5" s="471" t="str">
        <f>B5</f>
        <v>DEVELOPMENT BUDGET</v>
      </c>
    </row>
    <row r="6" spans="1:24" s="326" customFormat="1" ht="19.5" customHeight="1" thickBot="1">
      <c r="G6" s="2337" t="s">
        <v>103</v>
      </c>
      <c r="H6" s="2338"/>
      <c r="J6" s="2326"/>
      <c r="K6" s="2327"/>
      <c r="L6" s="381"/>
      <c r="M6" s="2345"/>
      <c r="N6" s="2346"/>
      <c r="P6" s="2326"/>
      <c r="Q6" s="2327"/>
      <c r="S6" s="2326"/>
      <c r="T6" s="2327"/>
      <c r="W6" s="2319" t="s">
        <v>2791</v>
      </c>
      <c r="X6" s="2319"/>
    </row>
    <row r="7" spans="1:24" s="326" customFormat="1" ht="12" customHeight="1">
      <c r="B7" s="328" t="s">
        <v>104</v>
      </c>
      <c r="O7" s="545" t="str">
        <f>B7</f>
        <v>PRE-DEVELOPMENT COSTS</v>
      </c>
      <c r="W7" s="326" t="str">
        <f>B7</f>
        <v>PRE-DEVELOPMENT COSTS</v>
      </c>
    </row>
    <row r="8" spans="1:24" s="326" customFormat="1" ht="12.6" customHeight="1">
      <c r="B8" s="326" t="s">
        <v>2086</v>
      </c>
      <c r="G8" s="3126">
        <v>22000</v>
      </c>
      <c r="H8" s="3127"/>
      <c r="J8" s="3126">
        <v>22000</v>
      </c>
      <c r="K8" s="3127"/>
      <c r="L8" s="2019"/>
      <c r="M8" s="3126"/>
      <c r="N8" s="3127"/>
      <c r="P8" s="3126"/>
      <c r="Q8" s="3127"/>
      <c r="S8" s="3126"/>
      <c r="T8" s="3127"/>
      <c r="V8" s="3128"/>
      <c r="W8" s="3129"/>
      <c r="X8" s="3130"/>
    </row>
    <row r="9" spans="1:24" s="326" customFormat="1" ht="12.6" customHeight="1">
      <c r="B9" s="326" t="s">
        <v>477</v>
      </c>
      <c r="G9" s="3126">
        <v>9000</v>
      </c>
      <c r="H9" s="3127"/>
      <c r="J9" s="3126">
        <v>9000</v>
      </c>
      <c r="K9" s="3127"/>
      <c r="L9" s="2019"/>
      <c r="M9" s="3126"/>
      <c r="N9" s="3127"/>
      <c r="P9" s="3126"/>
      <c r="Q9" s="3127"/>
      <c r="S9" s="3126"/>
      <c r="T9" s="3127"/>
      <c r="V9" s="3128"/>
      <c r="W9" s="3131"/>
      <c r="X9" s="3132"/>
    </row>
    <row r="10" spans="1:24" s="326" customFormat="1" ht="12.6" customHeight="1">
      <c r="B10" s="326" t="s">
        <v>509</v>
      </c>
      <c r="G10" s="3126">
        <v>43000</v>
      </c>
      <c r="H10" s="3127"/>
      <c r="J10" s="3126">
        <v>43000</v>
      </c>
      <c r="K10" s="3127"/>
      <c r="L10" s="2019"/>
      <c r="M10" s="3126"/>
      <c r="N10" s="3127"/>
      <c r="P10" s="3126"/>
      <c r="Q10" s="3127"/>
      <c r="S10" s="3126"/>
      <c r="T10" s="3127"/>
      <c r="V10" s="3128"/>
      <c r="W10" s="3131"/>
      <c r="X10" s="3132"/>
    </row>
    <row r="11" spans="1:24" s="326" customFormat="1" ht="12.6" customHeight="1">
      <c r="B11" s="326" t="s">
        <v>510</v>
      </c>
      <c r="G11" s="3126">
        <v>4500</v>
      </c>
      <c r="H11" s="3127"/>
      <c r="J11" s="3126">
        <v>4500</v>
      </c>
      <c r="K11" s="3127"/>
      <c r="L11" s="2019"/>
      <c r="M11" s="3126"/>
      <c r="N11" s="3127"/>
      <c r="P11" s="3126"/>
      <c r="Q11" s="3127"/>
      <c r="S11" s="3126"/>
      <c r="T11" s="3127"/>
      <c r="V11" s="3128"/>
      <c r="W11" s="3131"/>
      <c r="X11" s="3132"/>
    </row>
    <row r="12" spans="1:24" s="326" customFormat="1" ht="12.6" customHeight="1">
      <c r="B12" s="326" t="s">
        <v>2598</v>
      </c>
      <c r="G12" s="3126">
        <v>7000</v>
      </c>
      <c r="H12" s="3127"/>
      <c r="J12" s="3126">
        <v>7000</v>
      </c>
      <c r="K12" s="3127"/>
      <c r="L12" s="2019"/>
      <c r="M12" s="3126"/>
      <c r="N12" s="3127"/>
      <c r="P12" s="3126"/>
      <c r="Q12" s="3127"/>
      <c r="S12" s="3126"/>
      <c r="T12" s="3127"/>
      <c r="V12" s="3128"/>
      <c r="W12" s="3131"/>
      <c r="X12" s="3132"/>
    </row>
    <row r="13" spans="1:24" s="326" customFormat="1" ht="12.6" customHeight="1">
      <c r="B13" s="326" t="s">
        <v>197</v>
      </c>
      <c r="G13" s="3126"/>
      <c r="H13" s="3127"/>
      <c r="J13" s="3126"/>
      <c r="K13" s="3127"/>
      <c r="L13" s="2019"/>
      <c r="M13" s="3126"/>
      <c r="N13" s="3127"/>
      <c r="P13" s="3126"/>
      <c r="Q13" s="3127"/>
      <c r="S13" s="3126"/>
      <c r="T13" s="3127"/>
      <c r="V13" s="3128"/>
      <c r="W13" s="3131"/>
      <c r="X13" s="3132"/>
    </row>
    <row r="14" spans="1:24" s="326" customFormat="1" ht="12.6" customHeight="1">
      <c r="A14" s="409" t="str">
        <f>IF(AND(G14&gt;0,OR(C14="",C14="&lt;Enter detailed description here; use Comments section if needed&gt;")),"X","")</f>
        <v/>
      </c>
      <c r="B14" s="326" t="s">
        <v>778</v>
      </c>
      <c r="C14" s="2888" t="s">
        <v>4697</v>
      </c>
      <c r="D14" s="2888"/>
      <c r="E14" s="2888"/>
      <c r="F14" s="2889"/>
      <c r="G14" s="3126">
        <f>9600+16300+2900</f>
        <v>28800</v>
      </c>
      <c r="H14" s="3127"/>
      <c r="J14" s="3126">
        <v>28800</v>
      </c>
      <c r="K14" s="3127"/>
      <c r="L14" s="2019"/>
      <c r="M14" s="3126"/>
      <c r="N14" s="3127"/>
      <c r="P14" s="3126"/>
      <c r="Q14" s="3127"/>
      <c r="S14" s="3126"/>
      <c r="T14" s="3127"/>
      <c r="U14" s="408" t="str">
        <f>IF(AND(G14&gt;0,OR(C14="",C14="&lt;Enter detailed description here; use Comments section if needed&gt;")),"NO DESCRIPTION PROVIDED - please enter detailed description in Other box at left; use Comments section below if needed.","")</f>
        <v/>
      </c>
      <c r="V14" s="3133"/>
      <c r="W14" s="3131"/>
      <c r="X14" s="3132"/>
    </row>
    <row r="15" spans="1:24" s="326" customFormat="1" ht="12.6" customHeight="1">
      <c r="A15" s="409" t="str">
        <f>IF(AND(G15&gt;0,OR(C15="",C15="&lt;Enter detailed description here; use Comments section if needed&gt;")),"X","")</f>
        <v/>
      </c>
      <c r="B15" s="326" t="s">
        <v>778</v>
      </c>
      <c r="C15" s="2888" t="s">
        <v>4698</v>
      </c>
      <c r="D15" s="2888"/>
      <c r="E15" s="2888"/>
      <c r="F15" s="2889"/>
      <c r="G15" s="3126">
        <v>16500</v>
      </c>
      <c r="H15" s="3127"/>
      <c r="J15" s="3126">
        <v>16500</v>
      </c>
      <c r="K15" s="3127"/>
      <c r="L15" s="2019"/>
      <c r="M15" s="3126"/>
      <c r="N15" s="3127"/>
      <c r="P15" s="3126"/>
      <c r="Q15" s="3127"/>
      <c r="S15" s="3126"/>
      <c r="T15" s="3127"/>
      <c r="U15" s="408" t="str">
        <f>IF(AND(G15&gt;0,OR(C15="",C15="&lt;Enter detailed description here; use Comments section if needed&gt;")),"NO DESCRIPTION PROVIDED - please enter detailed description in Other box at left; use Comments section below if needed.","")</f>
        <v/>
      </c>
      <c r="V15" s="3133"/>
      <c r="W15" s="3131"/>
      <c r="X15" s="3132"/>
    </row>
    <row r="16" spans="1:24" s="326" customFormat="1" ht="12.6" customHeight="1" thickBot="1">
      <c r="A16" s="409" t="str">
        <f>IF(AND(G16&gt;0,OR(C16="",C16="&lt;Enter detailed description here; use Comments section if needed&gt;")),"X","")</f>
        <v/>
      </c>
      <c r="B16" s="326" t="s">
        <v>778</v>
      </c>
      <c r="C16" s="2888"/>
      <c r="D16" s="2888"/>
      <c r="E16" s="2888"/>
      <c r="F16" s="2889"/>
      <c r="G16" s="3126"/>
      <c r="H16" s="3127"/>
      <c r="J16" s="3134"/>
      <c r="K16" s="3135"/>
      <c r="L16" s="2019"/>
      <c r="M16" s="3126"/>
      <c r="N16" s="3127"/>
      <c r="P16" s="3126"/>
      <c r="Q16" s="3127"/>
      <c r="S16" s="3134"/>
      <c r="T16" s="3135"/>
      <c r="U16" s="408" t="str">
        <f>IF(AND(G16&gt;0,OR(C16="",C16="&lt;Enter detailed description here; use Comments section if needed&gt;")),"NO DESCRIPTION PROVIDED - please enter detailed description in Other box at left; use Comments section below if needed.","")</f>
        <v/>
      </c>
      <c r="V16" s="3133"/>
      <c r="W16" s="3131"/>
      <c r="X16" s="3132"/>
    </row>
    <row r="17" spans="2:24" s="326" customFormat="1" ht="12.6" customHeight="1" thickTop="1">
      <c r="F17" s="382" t="s">
        <v>198</v>
      </c>
      <c r="G17" s="2316">
        <f>SUM(G8:H16)</f>
        <v>130800</v>
      </c>
      <c r="H17" s="2320"/>
      <c r="J17" s="2316">
        <f>SUM(J8:K16)</f>
        <v>130800</v>
      </c>
      <c r="K17" s="2317"/>
      <c r="L17" s="2019"/>
      <c r="M17" s="2316">
        <f>SUM(M8:N16)</f>
        <v>0</v>
      </c>
      <c r="N17" s="2320"/>
      <c r="P17" s="2316">
        <f>SUM(P8:Q16)</f>
        <v>0</v>
      </c>
      <c r="Q17" s="2320"/>
      <c r="S17" s="2316">
        <f>SUM(S8:T16)</f>
        <v>0</v>
      </c>
      <c r="T17" s="2320"/>
      <c r="V17" s="3136">
        <f>SUM(V8:V16)</f>
        <v>0</v>
      </c>
      <c r="W17" s="3137"/>
      <c r="X17" s="3138"/>
    </row>
    <row r="18" spans="2:24" s="326" customFormat="1" ht="12" customHeight="1">
      <c r="B18" s="328" t="s">
        <v>2286</v>
      </c>
      <c r="J18" s="381"/>
      <c r="K18" s="381"/>
      <c r="M18" s="381"/>
      <c r="N18" s="381"/>
      <c r="O18" s="383" t="str">
        <f>B18</f>
        <v>ACQUISITION</v>
      </c>
      <c r="P18" s="381"/>
      <c r="Q18" s="381"/>
      <c r="S18" s="381"/>
      <c r="T18" s="381"/>
      <c r="W18" s="326" t="str">
        <f>B18</f>
        <v>ACQUISITION</v>
      </c>
    </row>
    <row r="19" spans="2:24" s="326" customFormat="1" ht="12.6" customHeight="1">
      <c r="B19" s="326" t="s">
        <v>2287</v>
      </c>
      <c r="G19" s="3126">
        <v>1300000</v>
      </c>
      <c r="H19" s="3127"/>
      <c r="J19" s="384"/>
      <c r="K19" s="381"/>
      <c r="L19" s="384"/>
      <c r="M19" s="384"/>
      <c r="N19" s="381"/>
      <c r="P19" s="384"/>
      <c r="Q19" s="381"/>
      <c r="S19" s="3126">
        <v>1300000</v>
      </c>
      <c r="T19" s="3127"/>
      <c r="V19" s="3128"/>
      <c r="W19" s="3129"/>
      <c r="X19" s="3130"/>
    </row>
    <row r="20" spans="2:24" s="326" customFormat="1" ht="12.6" customHeight="1">
      <c r="B20" s="326" t="s">
        <v>1164</v>
      </c>
      <c r="G20" s="3126"/>
      <c r="H20" s="3127"/>
      <c r="J20" s="384"/>
      <c r="K20" s="381"/>
      <c r="L20" s="384"/>
      <c r="M20" s="384"/>
      <c r="N20" s="381"/>
      <c r="P20" s="384"/>
      <c r="Q20" s="381"/>
      <c r="S20" s="3126"/>
      <c r="T20" s="3127"/>
      <c r="V20" s="3128"/>
      <c r="W20" s="3131"/>
      <c r="X20" s="3132"/>
    </row>
    <row r="21" spans="2:24" s="326" customFormat="1" ht="12.6" customHeight="1">
      <c r="B21" s="326" t="s">
        <v>478</v>
      </c>
      <c r="G21" s="3126"/>
      <c r="H21" s="3127"/>
      <c r="J21" s="384"/>
      <c r="K21" s="381"/>
      <c r="L21" s="384"/>
      <c r="M21" s="3126"/>
      <c r="N21" s="3127"/>
      <c r="P21" s="384"/>
      <c r="Q21" s="381"/>
      <c r="S21" s="3126"/>
      <c r="T21" s="3127"/>
      <c r="V21" s="3128"/>
      <c r="W21" s="3131"/>
      <c r="X21" s="3132"/>
    </row>
    <row r="22" spans="2:24" s="326" customFormat="1" ht="12.6" customHeight="1" thickBot="1">
      <c r="B22" s="326" t="s">
        <v>447</v>
      </c>
      <c r="G22" s="3139"/>
      <c r="H22" s="3140"/>
      <c r="J22" s="384"/>
      <c r="K22" s="381"/>
      <c r="L22" s="384"/>
      <c r="M22" s="3139"/>
      <c r="N22" s="3140"/>
      <c r="P22" s="384"/>
      <c r="Q22" s="381"/>
      <c r="S22" s="3126"/>
      <c r="T22" s="3127"/>
      <c r="V22" s="3128"/>
      <c r="W22" s="3131"/>
      <c r="X22" s="3132"/>
    </row>
    <row r="23" spans="2:24" s="326" customFormat="1" ht="12.6" customHeight="1" thickTop="1">
      <c r="F23" s="382" t="s">
        <v>198</v>
      </c>
      <c r="G23" s="2316">
        <f>SUM(G19:H22)</f>
        <v>1300000</v>
      </c>
      <c r="H23" s="2320"/>
      <c r="J23" s="384"/>
      <c r="K23" s="381"/>
      <c r="L23" s="384"/>
      <c r="M23" s="2316">
        <f>SUM(M21:N22)</f>
        <v>0</v>
      </c>
      <c r="N23" s="2320"/>
      <c r="P23" s="384"/>
      <c r="Q23" s="381"/>
      <c r="S23" s="2316">
        <f>SUM(S19:T22)</f>
        <v>1300000</v>
      </c>
      <c r="T23" s="2320"/>
      <c r="V23" s="3136">
        <f>SUM(V19:V22)</f>
        <v>0</v>
      </c>
      <c r="W23" s="3137"/>
      <c r="X23" s="3138"/>
    </row>
    <row r="24" spans="2:24" s="326" customFormat="1" ht="12" customHeight="1">
      <c r="B24" s="328" t="s">
        <v>1165</v>
      </c>
      <c r="J24" s="384"/>
      <c r="K24" s="381"/>
      <c r="M24" s="384"/>
      <c r="N24" s="381"/>
      <c r="O24" s="383" t="str">
        <f>B24</f>
        <v>LAND IMPROVEMENTS</v>
      </c>
      <c r="P24" s="384"/>
      <c r="Q24" s="381"/>
      <c r="S24" s="384"/>
      <c r="T24" s="381"/>
      <c r="W24" s="326" t="str">
        <f>B24</f>
        <v>LAND IMPROVEMENTS</v>
      </c>
    </row>
    <row r="25" spans="2:24" s="326" customFormat="1" ht="12.6" customHeight="1">
      <c r="B25" s="326" t="s">
        <v>1166</v>
      </c>
      <c r="G25" s="3126">
        <v>400000</v>
      </c>
      <c r="H25" s="3127"/>
      <c r="J25" s="3134">
        <v>400000</v>
      </c>
      <c r="K25" s="3135"/>
      <c r="L25" s="2019"/>
      <c r="M25" s="3134"/>
      <c r="N25" s="3135"/>
      <c r="P25" s="3134"/>
      <c r="Q25" s="3135"/>
      <c r="S25" s="3126"/>
      <c r="T25" s="3127"/>
      <c r="V25" s="3128"/>
      <c r="W25" s="3129"/>
      <c r="X25" s="3130"/>
    </row>
    <row r="26" spans="2:24" s="326" customFormat="1" ht="12.6" customHeight="1" thickBot="1">
      <c r="B26" s="326" t="s">
        <v>1167</v>
      </c>
      <c r="G26" s="3126"/>
      <c r="H26" s="3127"/>
      <c r="J26" s="3134"/>
      <c r="K26" s="3135"/>
      <c r="L26" s="385"/>
      <c r="M26" s="2318"/>
      <c r="N26" s="2318"/>
      <c r="P26" s="2318"/>
      <c r="Q26" s="2318"/>
      <c r="S26" s="3126"/>
      <c r="T26" s="3127"/>
      <c r="V26" s="3128"/>
      <c r="W26" s="3131"/>
      <c r="X26" s="3132"/>
    </row>
    <row r="27" spans="2:24" s="326" customFormat="1" ht="12.6" customHeight="1" thickTop="1">
      <c r="F27" s="382" t="s">
        <v>198</v>
      </c>
      <c r="G27" s="2316">
        <f>SUM(G25:H26)</f>
        <v>400000</v>
      </c>
      <c r="H27" s="2320"/>
      <c r="J27" s="2316">
        <f>SUM(J25:K26)</f>
        <v>400000</v>
      </c>
      <c r="K27" s="2320"/>
      <c r="L27" s="384"/>
      <c r="M27" s="2316">
        <f>M25</f>
        <v>0</v>
      </c>
      <c r="N27" s="2320"/>
      <c r="P27" s="2316">
        <f>P25</f>
        <v>0</v>
      </c>
      <c r="Q27" s="2320"/>
      <c r="S27" s="2316">
        <f>SUM(S25:T26)</f>
        <v>0</v>
      </c>
      <c r="T27" s="2320"/>
      <c r="V27" s="3136">
        <f>SUM(V25:V26)</f>
        <v>0</v>
      </c>
      <c r="W27" s="3137"/>
      <c r="X27" s="3138"/>
    </row>
    <row r="28" spans="2:24" s="326" customFormat="1" ht="12" customHeight="1">
      <c r="B28" s="328" t="s">
        <v>1168</v>
      </c>
      <c r="J28" s="384"/>
      <c r="K28" s="381"/>
      <c r="M28" s="384"/>
      <c r="N28" s="381"/>
      <c r="O28" s="383" t="str">
        <f>B28</f>
        <v>STRUCTURES</v>
      </c>
      <c r="P28" s="384"/>
      <c r="Q28" s="381"/>
      <c r="S28" s="384"/>
      <c r="T28" s="381"/>
      <c r="W28" s="326" t="str">
        <f>B28</f>
        <v>STRUCTURES</v>
      </c>
    </row>
    <row r="29" spans="2:24" s="326" customFormat="1" ht="12.6" customHeight="1">
      <c r="B29" s="326" t="s">
        <v>1169</v>
      </c>
      <c r="G29" s="3126">
        <v>12849478</v>
      </c>
      <c r="H29" s="3127"/>
      <c r="J29" s="3126">
        <v>12849478</v>
      </c>
      <c r="K29" s="3127"/>
      <c r="L29" s="2019"/>
      <c r="M29" s="3126"/>
      <c r="N29" s="3127"/>
      <c r="P29" s="3126"/>
      <c r="Q29" s="3127"/>
      <c r="S29" s="3126"/>
      <c r="T29" s="3127"/>
      <c r="V29" s="3128"/>
      <c r="W29" s="3129"/>
      <c r="X29" s="3130"/>
    </row>
    <row r="30" spans="2:24" s="326" customFormat="1" ht="12.6" customHeight="1">
      <c r="B30" s="326" t="s">
        <v>1170</v>
      </c>
      <c r="G30" s="3126"/>
      <c r="H30" s="3127"/>
      <c r="J30" s="3126"/>
      <c r="K30" s="3127"/>
      <c r="L30" s="2019"/>
      <c r="M30" s="3126"/>
      <c r="N30" s="3127"/>
      <c r="P30" s="3126"/>
      <c r="Q30" s="3127"/>
      <c r="S30" s="3126"/>
      <c r="T30" s="3127"/>
      <c r="V30" s="3128"/>
      <c r="W30" s="3131"/>
      <c r="X30" s="3132"/>
    </row>
    <row r="31" spans="2:24" s="326" customFormat="1" ht="12.6" customHeight="1">
      <c r="B31" s="326" t="s">
        <v>3008</v>
      </c>
      <c r="G31" s="3126"/>
      <c r="H31" s="3127"/>
      <c r="J31" s="3126"/>
      <c r="K31" s="3127"/>
      <c r="L31" s="2019"/>
      <c r="M31" s="3126"/>
      <c r="N31" s="3127"/>
      <c r="P31" s="3126"/>
      <c r="Q31" s="3127"/>
      <c r="S31" s="3126"/>
      <c r="T31" s="3127"/>
      <c r="V31" s="3128"/>
      <c r="W31" s="3131"/>
      <c r="X31" s="3132"/>
    </row>
    <row r="32" spans="2:24" ht="12.6" customHeight="1" thickBot="1">
      <c r="B32" s="326" t="s">
        <v>3007</v>
      </c>
      <c r="G32" s="3126"/>
      <c r="H32" s="3127"/>
      <c r="I32" s="326"/>
      <c r="J32" s="3126"/>
      <c r="K32" s="3127"/>
      <c r="L32" s="2019"/>
      <c r="M32" s="3126"/>
      <c r="N32" s="3127"/>
      <c r="O32" s="326"/>
      <c r="P32" s="3126"/>
      <c r="Q32" s="3127"/>
      <c r="R32" s="326"/>
      <c r="S32" s="3126"/>
      <c r="T32" s="3127"/>
      <c r="V32" s="3128"/>
      <c r="W32" s="3131"/>
      <c r="X32" s="3132"/>
    </row>
    <row r="33" spans="1:24" s="326" customFormat="1" ht="12.6" customHeight="1" thickTop="1">
      <c r="C33" s="2392"/>
      <c r="D33" s="2392"/>
      <c r="E33" s="2020"/>
      <c r="F33" s="382" t="s">
        <v>198</v>
      </c>
      <c r="G33" s="2316">
        <f>SUM(G29:H32)</f>
        <v>12849478</v>
      </c>
      <c r="H33" s="2320"/>
      <c r="J33" s="2316">
        <f>SUM(J29:K32)</f>
        <v>12849478</v>
      </c>
      <c r="K33" s="2320"/>
      <c r="L33" s="2019"/>
      <c r="M33" s="2316">
        <f>SUM(M29:N32)</f>
        <v>0</v>
      </c>
      <c r="N33" s="2320"/>
      <c r="P33" s="2316">
        <f>SUM(P29:Q32)</f>
        <v>0</v>
      </c>
      <c r="Q33" s="2320"/>
      <c r="S33" s="2316">
        <f>SUM(S29:T32)</f>
        <v>0</v>
      </c>
      <c r="T33" s="2320"/>
      <c r="V33" s="3136">
        <f>SUM(V29:V32)</f>
        <v>0</v>
      </c>
      <c r="W33" s="3137"/>
      <c r="X33" s="3138"/>
    </row>
    <row r="34" spans="1:24" s="326" customFormat="1" ht="12" customHeight="1">
      <c r="B34" s="328" t="s">
        <v>2435</v>
      </c>
      <c r="E34" s="560">
        <f>SUM(E35:E37)</f>
        <v>0.14000000000000001</v>
      </c>
      <c r="F34" s="2012"/>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2436</v>
      </c>
      <c r="E35" s="386">
        <f>'DCA Underwriting Assumptions'!$R$80</f>
        <v>0.06</v>
      </c>
      <c r="F35" s="441">
        <f>E35*(G27+G33)</f>
        <v>794968.67999999993</v>
      </c>
      <c r="G35" s="3126">
        <v>794968.5</v>
      </c>
      <c r="H35" s="3127"/>
      <c r="I35" s="345"/>
      <c r="J35" s="3126">
        <v>794968.5</v>
      </c>
      <c r="K35" s="3127"/>
      <c r="L35" s="2019"/>
      <c r="M35" s="3126"/>
      <c r="N35" s="3127"/>
      <c r="P35" s="3126"/>
      <c r="Q35" s="3127"/>
      <c r="S35" s="3126"/>
      <c r="T35" s="3127"/>
      <c r="V35" s="3128"/>
      <c r="W35" s="3129"/>
      <c r="X35" s="3130"/>
    </row>
    <row r="36" spans="1:24" s="326" customFormat="1" ht="12.6" customHeight="1">
      <c r="B36" s="326" t="s">
        <v>2875</v>
      </c>
      <c r="E36" s="440">
        <f>'DCA Underwriting Assumptions'!$R$81</f>
        <v>0.02</v>
      </c>
      <c r="F36" s="441">
        <f>E36*(G27+G33)</f>
        <v>264989.56</v>
      </c>
      <c r="G36" s="3126">
        <v>264989.5</v>
      </c>
      <c r="H36" s="3127"/>
      <c r="I36" s="345"/>
      <c r="J36" s="3126">
        <v>264989.5</v>
      </c>
      <c r="K36" s="3127"/>
      <c r="L36" s="2019"/>
      <c r="M36" s="3126"/>
      <c r="N36" s="3127"/>
      <c r="P36" s="3126"/>
      <c r="Q36" s="3127"/>
      <c r="S36" s="3126"/>
      <c r="T36" s="3127"/>
      <c r="V36" s="3128"/>
      <c r="W36" s="3131"/>
      <c r="X36" s="3132"/>
    </row>
    <row r="37" spans="1:24" s="326" customFormat="1" ht="12.6" customHeight="1" thickBot="1">
      <c r="B37" s="326" t="s">
        <v>2876</v>
      </c>
      <c r="E37" s="440">
        <f>'DCA Underwriting Assumptions'!$R$82</f>
        <v>0.06</v>
      </c>
      <c r="F37" s="441">
        <f>E37*(G27+G33)</f>
        <v>794968.67999999993</v>
      </c>
      <c r="G37" s="3126">
        <v>794968.5</v>
      </c>
      <c r="H37" s="3127"/>
      <c r="I37" s="345"/>
      <c r="J37" s="3126">
        <v>794968.5</v>
      </c>
      <c r="K37" s="3127"/>
      <c r="L37" s="2019"/>
      <c r="M37" s="3126"/>
      <c r="N37" s="3127"/>
      <c r="P37" s="3126"/>
      <c r="Q37" s="3127"/>
      <c r="S37" s="3126"/>
      <c r="T37" s="3127"/>
      <c r="V37" s="3128"/>
      <c r="W37" s="3131"/>
      <c r="X37" s="3132"/>
    </row>
    <row r="38" spans="1:24" s="326" customFormat="1" ht="12.6" customHeight="1" thickTop="1">
      <c r="B38" s="326" t="s">
        <v>2127</v>
      </c>
      <c r="D38" s="389"/>
      <c r="E38" s="2012"/>
      <c r="F38" s="442" t="s">
        <v>198</v>
      </c>
      <c r="G38" s="2316">
        <f>SUM(G35:H37)</f>
        <v>1854926.5</v>
      </c>
      <c r="H38" s="2320"/>
      <c r="J38" s="2316">
        <f>SUM(J35:K37)</f>
        <v>1854926.5</v>
      </c>
      <c r="K38" s="2320"/>
      <c r="L38" s="384"/>
      <c r="M38" s="2316">
        <f>SUM(M35:N37)</f>
        <v>0</v>
      </c>
      <c r="N38" s="2320"/>
      <c r="P38" s="2316">
        <f>SUM(P35:Q37)</f>
        <v>0</v>
      </c>
      <c r="Q38" s="2320"/>
      <c r="S38" s="2316">
        <f>SUM(S35:T37)</f>
        <v>0</v>
      </c>
      <c r="T38" s="2320"/>
      <c r="V38" s="3136">
        <f>SUM(V35:V37)</f>
        <v>0</v>
      </c>
      <c r="W38" s="3137"/>
      <c r="X38" s="3138"/>
    </row>
    <row r="39" spans="1:24" s="326" customFormat="1" ht="3" customHeight="1">
      <c r="A39" s="545"/>
      <c r="B39" s="545"/>
      <c r="C39" s="545"/>
      <c r="D39" s="545"/>
      <c r="E39" s="545"/>
      <c r="F39" s="545"/>
      <c r="G39" s="545"/>
      <c r="H39" s="545"/>
      <c r="I39" s="545"/>
      <c r="J39" s="545"/>
      <c r="K39" s="545"/>
      <c r="L39" s="545"/>
      <c r="M39" s="545"/>
      <c r="N39" s="545"/>
      <c r="O39" s="545"/>
      <c r="P39" s="545"/>
      <c r="Q39" s="545"/>
      <c r="R39" s="545"/>
      <c r="S39" s="545"/>
      <c r="T39" s="545"/>
    </row>
    <row r="40" spans="1:24" s="326" customFormat="1" ht="12" customHeight="1">
      <c r="B40" s="328" t="s">
        <v>2880</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778</v>
      </c>
      <c r="C41" s="2888" t="s">
        <v>2511</v>
      </c>
      <c r="D41" s="3141"/>
      <c r="E41" s="3141"/>
      <c r="F41" s="3142"/>
      <c r="G41" s="3126"/>
      <c r="H41" s="3127"/>
      <c r="I41" s="326"/>
      <c r="J41" s="3126"/>
      <c r="K41" s="3127"/>
      <c r="L41" s="2019"/>
      <c r="M41" s="3126"/>
      <c r="N41" s="3127"/>
      <c r="O41" s="326"/>
      <c r="P41" s="3126"/>
      <c r="Q41" s="3127"/>
      <c r="R41" s="326"/>
      <c r="S41" s="3126"/>
      <c r="T41" s="3127"/>
      <c r="V41" s="3128"/>
      <c r="W41" s="3129"/>
      <c r="X41" s="3130"/>
    </row>
    <row r="42" spans="1:24" s="326" customFormat="1" ht="6" customHeight="1">
      <c r="A42" s="545"/>
      <c r="B42" s="545"/>
      <c r="C42" s="545"/>
      <c r="D42" s="1292"/>
      <c r="E42" s="1292"/>
      <c r="F42" s="1292"/>
      <c r="G42" s="545"/>
      <c r="H42" s="545"/>
      <c r="I42" s="545"/>
      <c r="J42" s="545"/>
      <c r="K42" s="545"/>
      <c r="L42" s="545"/>
      <c r="M42" s="545"/>
      <c r="N42" s="545"/>
      <c r="O42" s="545"/>
      <c r="P42" s="545"/>
      <c r="Q42" s="545"/>
      <c r="R42" s="545"/>
      <c r="S42" s="545"/>
      <c r="T42" s="545"/>
      <c r="W42" s="3131"/>
      <c r="X42" s="3132"/>
    </row>
    <row r="43" spans="1:24" s="326" customFormat="1" ht="12.6" customHeight="1">
      <c r="B43" s="644" t="s">
        <v>2885</v>
      </c>
      <c r="C43" s="645"/>
      <c r="E43" s="2347" t="s">
        <v>2884</v>
      </c>
      <c r="F43" s="2022">
        <f>B44/'Part VI-Revenues &amp; Expenses'!$O$60</f>
        <v>93237.064814814818</v>
      </c>
      <c r="G43" s="642" t="s">
        <v>2999</v>
      </c>
      <c r="H43" s="546"/>
      <c r="I43" s="546"/>
      <c r="J43" s="2350">
        <f>B44/'Part VI-Revenues &amp; Expenses'!$O$62</f>
        <v>93237.064814814818</v>
      </c>
      <c r="K43" s="2350"/>
      <c r="L43" s="546"/>
      <c r="M43" s="2352" t="s">
        <v>1461</v>
      </c>
      <c r="N43" s="2352"/>
      <c r="O43" s="546"/>
      <c r="P43" s="2350">
        <f>B44/'Part I-Project Information'!$P$60</f>
        <v>112.41825631330987</v>
      </c>
      <c r="Q43" s="2350"/>
      <c r="R43" s="546"/>
      <c r="S43" s="2321" t="s">
        <v>3006</v>
      </c>
      <c r="T43" s="2322"/>
      <c r="W43" s="3131"/>
      <c r="X43" s="3132"/>
    </row>
    <row r="44" spans="1:24" s="326" customFormat="1" ht="12.6" customHeight="1">
      <c r="B44" s="2339">
        <f>G27+G33+G38+G41</f>
        <v>15104404.5</v>
      </c>
      <c r="C44" s="2340"/>
      <c r="E44" s="2348"/>
      <c r="F44" s="2023">
        <f>B44/'Part VI-Revenues &amp; Expenses'!$O$117</f>
        <v>112.41825631330987</v>
      </c>
      <c r="G44" s="643" t="s">
        <v>3000</v>
      </c>
      <c r="H44" s="2015"/>
      <c r="I44" s="2015"/>
      <c r="J44" s="2351">
        <f>B44/'Part VI-Revenues &amp; Expenses'!$O$119</f>
        <v>112.41825631330987</v>
      </c>
      <c r="K44" s="2351"/>
      <c r="L44" s="2015"/>
      <c r="M44" s="2353" t="s">
        <v>3005</v>
      </c>
      <c r="N44" s="2353"/>
      <c r="O44" s="2015"/>
      <c r="P44" s="2015"/>
      <c r="Q44" s="2015"/>
      <c r="R44" s="2015"/>
      <c r="S44" s="2015"/>
      <c r="T44" s="374"/>
      <c r="W44" s="3137"/>
      <c r="X44" s="3138"/>
    </row>
    <row r="45" spans="1:24" s="326" customFormat="1" ht="3" customHeight="1">
      <c r="A45" s="545"/>
      <c r="B45" s="545"/>
      <c r="C45" s="545"/>
      <c r="D45" s="545"/>
      <c r="E45" s="545"/>
      <c r="F45" s="545"/>
      <c r="G45" s="545"/>
      <c r="H45" s="545"/>
      <c r="I45" s="545"/>
      <c r="J45" s="545"/>
      <c r="K45" s="545"/>
      <c r="L45" s="545"/>
      <c r="M45" s="545"/>
      <c r="N45" s="545"/>
      <c r="O45" s="545"/>
      <c r="P45" s="545"/>
      <c r="Q45" s="545"/>
      <c r="R45" s="545"/>
      <c r="S45" s="545"/>
      <c r="T45" s="545"/>
    </row>
    <row r="46" spans="1:24" s="326" customFormat="1" ht="12" customHeight="1">
      <c r="B46" s="328" t="s">
        <v>1171</v>
      </c>
      <c r="J46" s="384"/>
      <c r="K46" s="381"/>
      <c r="M46" s="384"/>
      <c r="N46" s="381"/>
      <c r="O46" s="383" t="str">
        <f>B46</f>
        <v>CONSTRUCTION CONTINGENCY</v>
      </c>
      <c r="P46" s="384"/>
      <c r="Q46" s="381"/>
      <c r="S46" s="384"/>
      <c r="T46" s="381"/>
      <c r="W46" s="326" t="str">
        <f>B46</f>
        <v>CONSTRUCTION CONTINGENCY</v>
      </c>
    </row>
    <row r="47" spans="1:24" ht="12.6" customHeight="1">
      <c r="B47" s="326" t="s">
        <v>2046</v>
      </c>
      <c r="D47" s="234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2349"/>
      <c r="F47" s="386">
        <f>G47/B44</f>
        <v>4.9999985103682837E-2</v>
      </c>
      <c r="G47" s="3126">
        <v>755220</v>
      </c>
      <c r="H47" s="3127"/>
      <c r="I47" s="326"/>
      <c r="J47" s="3126">
        <v>755220</v>
      </c>
      <c r="K47" s="3127"/>
      <c r="L47" s="2019"/>
      <c r="M47" s="3126"/>
      <c r="N47" s="3127"/>
      <c r="O47" s="326"/>
      <c r="P47" s="3126"/>
      <c r="Q47" s="3127"/>
      <c r="R47" s="326"/>
      <c r="S47" s="3126"/>
      <c r="T47" s="3127"/>
      <c r="V47" s="3128"/>
      <c r="W47" s="3143"/>
      <c r="X47" s="3144"/>
    </row>
    <row r="48" spans="1:24" s="326" customFormat="1" ht="3" customHeight="1">
      <c r="A48" s="545"/>
      <c r="B48" s="545"/>
      <c r="C48" s="545"/>
      <c r="D48" s="545"/>
      <c r="E48" s="545"/>
      <c r="F48" s="545"/>
      <c r="G48" s="545"/>
      <c r="H48" s="545"/>
      <c r="I48" s="545"/>
      <c r="J48" s="545"/>
      <c r="K48" s="545"/>
      <c r="L48" s="545"/>
      <c r="M48" s="545"/>
      <c r="N48" s="545"/>
      <c r="O48" s="545"/>
      <c r="P48" s="545"/>
      <c r="Q48" s="545"/>
      <c r="R48" s="545"/>
      <c r="S48" s="545"/>
      <c r="T48" s="545"/>
    </row>
    <row r="49" spans="1:24" s="326" customFormat="1" ht="3" customHeight="1" thickBot="1">
      <c r="A49" s="545"/>
      <c r="B49" s="545"/>
      <c r="C49" s="545"/>
      <c r="D49" s="545"/>
      <c r="E49" s="545"/>
      <c r="F49" s="545"/>
      <c r="G49" s="545"/>
      <c r="H49" s="545"/>
      <c r="I49" s="545"/>
      <c r="J49" s="545"/>
      <c r="K49" s="545"/>
      <c r="L49" s="545"/>
      <c r="M49" s="545"/>
      <c r="N49" s="545"/>
      <c r="O49" s="545"/>
      <c r="P49" s="545"/>
      <c r="Q49" s="545"/>
      <c r="R49" s="545"/>
      <c r="S49" s="545"/>
      <c r="T49" s="545"/>
    </row>
    <row r="50" spans="1:24" s="326" customFormat="1" ht="18.75" customHeight="1" thickBot="1">
      <c r="A50" s="470" t="s">
        <v>646</v>
      </c>
      <c r="B50" s="470" t="s">
        <v>3093</v>
      </c>
      <c r="H50" s="2012"/>
      <c r="I50" s="2012"/>
      <c r="J50" s="2324" t="s">
        <v>284</v>
      </c>
      <c r="K50" s="2325"/>
      <c r="L50" s="381"/>
      <c r="M50" s="2343" t="s">
        <v>512</v>
      </c>
      <c r="N50" s="2344"/>
      <c r="P50" s="2324" t="s">
        <v>285</v>
      </c>
      <c r="Q50" s="2325"/>
      <c r="S50" s="2324" t="s">
        <v>286</v>
      </c>
      <c r="T50" s="2325"/>
      <c r="W50" s="471" t="str">
        <f>B50</f>
        <v>DEVELOPMENT BUDGET (cont'd)</v>
      </c>
    </row>
    <row r="51" spans="1:24" s="326" customFormat="1" ht="18.75" customHeight="1" thickBot="1">
      <c r="G51" s="2337" t="s">
        <v>103</v>
      </c>
      <c r="H51" s="2338"/>
      <c r="J51" s="2326"/>
      <c r="K51" s="2327"/>
      <c r="L51" s="381"/>
      <c r="M51" s="2345"/>
      <c r="N51" s="2346"/>
      <c r="P51" s="2326"/>
      <c r="Q51" s="2327"/>
      <c r="S51" s="2326"/>
      <c r="T51" s="2327"/>
      <c r="W51" s="2319" t="s">
        <v>2791</v>
      </c>
      <c r="X51" s="2319"/>
    </row>
    <row r="52" spans="1:24" s="326" customFormat="1" ht="12" customHeight="1">
      <c r="B52" s="328" t="s">
        <v>759</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293</v>
      </c>
      <c r="G53" s="3126"/>
      <c r="H53" s="3127"/>
      <c r="J53" s="3126"/>
      <c r="K53" s="3127"/>
      <c r="L53" s="2019"/>
      <c r="M53" s="3126"/>
      <c r="N53" s="3127"/>
      <c r="P53" s="3126"/>
      <c r="Q53" s="3127"/>
      <c r="S53" s="3126"/>
      <c r="T53" s="3127"/>
      <c r="V53" s="3145"/>
      <c r="W53" s="3146"/>
      <c r="X53" s="3147"/>
    </row>
    <row r="54" spans="1:24" s="326" customFormat="1" ht="12" customHeight="1">
      <c r="B54" s="326" t="s">
        <v>2438</v>
      </c>
      <c r="G54" s="3126">
        <v>131750</v>
      </c>
      <c r="H54" s="3127"/>
      <c r="J54" s="3126">
        <v>131750</v>
      </c>
      <c r="K54" s="3127"/>
      <c r="L54" s="2019"/>
      <c r="M54" s="3126"/>
      <c r="N54" s="3127"/>
      <c r="P54" s="3126"/>
      <c r="Q54" s="3127"/>
      <c r="S54" s="3126"/>
      <c r="T54" s="3127"/>
      <c r="V54" s="3145"/>
      <c r="W54" s="3148"/>
      <c r="X54" s="3149"/>
    </row>
    <row r="55" spans="1:24" s="326" customFormat="1" ht="12" customHeight="1">
      <c r="B55" s="326" t="s">
        <v>2439</v>
      </c>
      <c r="G55" s="3126">
        <v>497223</v>
      </c>
      <c r="H55" s="3127"/>
      <c r="J55" s="3126">
        <v>497223</v>
      </c>
      <c r="K55" s="3127"/>
      <c r="L55" s="2019"/>
      <c r="M55" s="3126"/>
      <c r="N55" s="3127"/>
      <c r="P55" s="3126"/>
      <c r="Q55" s="3127"/>
      <c r="S55" s="3126"/>
      <c r="T55" s="3127"/>
      <c r="V55" s="3145"/>
      <c r="W55" s="3148"/>
      <c r="X55" s="3149"/>
    </row>
    <row r="56" spans="1:24" s="326" customFormat="1" ht="12" customHeight="1">
      <c r="B56" s="326" t="s">
        <v>2440</v>
      </c>
      <c r="G56" s="3126"/>
      <c r="H56" s="3127"/>
      <c r="J56" s="3126"/>
      <c r="K56" s="3127"/>
      <c r="L56" s="2019"/>
      <c r="M56" s="3126"/>
      <c r="N56" s="3127"/>
      <c r="P56" s="3126"/>
      <c r="Q56" s="3127"/>
      <c r="S56" s="3126"/>
      <c r="T56" s="3127"/>
      <c r="V56" s="3145"/>
      <c r="W56" s="3148"/>
      <c r="X56" s="3149"/>
    </row>
    <row r="57" spans="1:24" s="326" customFormat="1" ht="12" customHeight="1">
      <c r="B57" s="326" t="s">
        <v>2801</v>
      </c>
      <c r="G57" s="3126"/>
      <c r="H57" s="3127"/>
      <c r="J57" s="3126"/>
      <c r="K57" s="3127"/>
      <c r="L57" s="2019"/>
      <c r="M57" s="3126"/>
      <c r="N57" s="3127"/>
      <c r="P57" s="3126"/>
      <c r="Q57" s="3127"/>
      <c r="S57" s="3126"/>
      <c r="T57" s="3127"/>
      <c r="V57" s="3145"/>
      <c r="W57" s="3148"/>
      <c r="X57" s="3149"/>
    </row>
    <row r="58" spans="1:24" s="326" customFormat="1" ht="12" customHeight="1">
      <c r="B58" s="326" t="s">
        <v>760</v>
      </c>
      <c r="G58" s="3126">
        <v>25000</v>
      </c>
      <c r="H58" s="3127"/>
      <c r="J58" s="3126">
        <v>25000</v>
      </c>
      <c r="K58" s="3127"/>
      <c r="L58" s="2019"/>
      <c r="M58" s="3126"/>
      <c r="N58" s="3127"/>
      <c r="P58" s="3126"/>
      <c r="Q58" s="3127"/>
      <c r="S58" s="3126"/>
      <c r="T58" s="3127"/>
      <c r="V58" s="3145"/>
      <c r="W58" s="3148"/>
      <c r="X58" s="3149"/>
    </row>
    <row r="59" spans="1:24" s="326" customFormat="1" ht="12" customHeight="1">
      <c r="B59" s="326" t="s">
        <v>2441</v>
      </c>
      <c r="G59" s="3126">
        <v>75000</v>
      </c>
      <c r="H59" s="3127"/>
      <c r="J59" s="3126">
        <v>75000</v>
      </c>
      <c r="K59" s="3127"/>
      <c r="L59" s="2019"/>
      <c r="M59" s="3126"/>
      <c r="N59" s="3127"/>
      <c r="P59" s="3126"/>
      <c r="Q59" s="3127"/>
      <c r="S59" s="3126"/>
      <c r="T59" s="3127"/>
      <c r="V59" s="3145"/>
      <c r="W59" s="3148"/>
      <c r="X59" s="3149"/>
    </row>
    <row r="60" spans="1:24" s="326" customFormat="1" ht="12" customHeight="1">
      <c r="B60" s="326" t="s">
        <v>1330</v>
      </c>
      <c r="G60" s="3126"/>
      <c r="H60" s="3127"/>
      <c r="J60" s="3126"/>
      <c r="K60" s="3127"/>
      <c r="L60" s="2019"/>
      <c r="M60" s="3126"/>
      <c r="N60" s="3127"/>
      <c r="P60" s="3126"/>
      <c r="Q60" s="3127"/>
      <c r="S60" s="3126"/>
      <c r="T60" s="3127"/>
      <c r="V60" s="3145"/>
      <c r="W60" s="3148"/>
      <c r="X60" s="3149"/>
    </row>
    <row r="61" spans="1:24" s="326" customFormat="1" ht="12" customHeight="1">
      <c r="B61" s="388" t="s">
        <v>1202</v>
      </c>
      <c r="D61" s="386"/>
      <c r="E61" s="386"/>
      <c r="F61" s="387"/>
      <c r="G61" s="3126">
        <v>151044</v>
      </c>
      <c r="H61" s="3127"/>
      <c r="I61" s="345"/>
      <c r="J61" s="3126">
        <v>151044</v>
      </c>
      <c r="K61" s="3127"/>
      <c r="L61" s="2019"/>
      <c r="M61" s="3126"/>
      <c r="N61" s="3127"/>
      <c r="P61" s="3126"/>
      <c r="Q61" s="3127"/>
      <c r="S61" s="3126"/>
      <c r="T61" s="3127"/>
      <c r="V61" s="3145"/>
      <c r="W61" s="3148"/>
      <c r="X61" s="3149"/>
    </row>
    <row r="62" spans="1:24" s="326" customFormat="1" ht="12" customHeight="1">
      <c r="A62" s="409" t="str">
        <f>IF(AND(G62&gt;0,OR(C62="",C62="&lt;Enter detailed description here; use Comments section if needed&gt;")),"X","")</f>
        <v/>
      </c>
      <c r="B62" s="326" t="s">
        <v>778</v>
      </c>
      <c r="C62" s="2888" t="s">
        <v>2511</v>
      </c>
      <c r="D62" s="2888"/>
      <c r="E62" s="2888"/>
      <c r="F62" s="2889"/>
      <c r="G62" s="3126"/>
      <c r="H62" s="3127"/>
      <c r="J62" s="3126"/>
      <c r="K62" s="3127"/>
      <c r="L62" s="2019"/>
      <c r="M62" s="3126"/>
      <c r="N62" s="3127"/>
      <c r="P62" s="3126"/>
      <c r="Q62" s="3127"/>
      <c r="S62" s="3126"/>
      <c r="T62" s="3127"/>
      <c r="U62" s="408" t="str">
        <f>IF(AND(G62&gt;0,OR(C62="",C62="&lt;Enter detailed description here; use Comments section if needed&gt;")),"NO DESCRIPTION PROVIDED - please enter detailed description in Other box at left; use Comments section below if needed.","")</f>
        <v/>
      </c>
      <c r="V62" s="3145"/>
      <c r="W62" s="3148"/>
      <c r="X62" s="3149"/>
    </row>
    <row r="63" spans="1:24" s="326" customFormat="1" ht="12" customHeight="1" thickBot="1">
      <c r="A63" s="409" t="str">
        <f>IF(AND(G63&gt;0,OR(C63="",C63="&lt;Enter detailed description here; use Comments section if needed&gt;")),"X","")</f>
        <v/>
      </c>
      <c r="B63" s="326" t="s">
        <v>778</v>
      </c>
      <c r="C63" s="2888" t="s">
        <v>2511</v>
      </c>
      <c r="D63" s="2888"/>
      <c r="E63" s="2888"/>
      <c r="F63" s="2889"/>
      <c r="G63" s="3126"/>
      <c r="H63" s="3127"/>
      <c r="J63" s="3126"/>
      <c r="K63" s="3127"/>
      <c r="L63" s="2019"/>
      <c r="M63" s="3126"/>
      <c r="N63" s="3127"/>
      <c r="P63" s="3126"/>
      <c r="Q63" s="3127"/>
      <c r="S63" s="3126"/>
      <c r="T63" s="3127"/>
      <c r="U63" s="408" t="str">
        <f>IF(AND(G63&gt;0,OR(C63="",C63="&lt;Enter detailed description here; use Comments section if needed&gt;")),"NO DESCRIPTION PROVIDED - please enter detailed description in Other box at left; use Comments section below if needed.","")</f>
        <v/>
      </c>
      <c r="V63" s="3145"/>
      <c r="W63" s="3148"/>
      <c r="X63" s="3149"/>
    </row>
    <row r="64" spans="1:24" s="326" customFormat="1" ht="12" customHeight="1" thickTop="1">
      <c r="F64" s="382" t="s">
        <v>198</v>
      </c>
      <c r="G64" s="2316">
        <f>SUM(G53:H63)</f>
        <v>880017</v>
      </c>
      <c r="H64" s="2320"/>
      <c r="J64" s="2316">
        <f>SUM(J53:K63)</f>
        <v>880017</v>
      </c>
      <c r="K64" s="2320"/>
      <c r="L64" s="384"/>
      <c r="M64" s="2316">
        <f>SUM(M53:N63)</f>
        <v>0</v>
      </c>
      <c r="N64" s="2320"/>
      <c r="P64" s="2316">
        <f>SUM(P53:Q63)</f>
        <v>0</v>
      </c>
      <c r="Q64" s="2320"/>
      <c r="S64" s="2316">
        <f>SUM(S53:T63)</f>
        <v>0</v>
      </c>
      <c r="T64" s="2320"/>
      <c r="V64" s="3150">
        <f>SUM(V53:V63)</f>
        <v>0</v>
      </c>
      <c r="W64" s="3151"/>
      <c r="X64" s="3152"/>
    </row>
    <row r="65" spans="1:24" s="326" customFormat="1" ht="12" customHeight="1">
      <c r="B65" s="328" t="s">
        <v>498</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499</v>
      </c>
      <c r="G66" s="3126">
        <v>350000</v>
      </c>
      <c r="H66" s="3127"/>
      <c r="J66" s="3126">
        <v>350000</v>
      </c>
      <c r="K66" s="3127"/>
      <c r="L66" s="2019"/>
      <c r="M66" s="3126"/>
      <c r="N66" s="3127"/>
      <c r="P66" s="3126"/>
      <c r="Q66" s="3127"/>
      <c r="S66" s="3126"/>
      <c r="T66" s="3127"/>
      <c r="V66" s="3128"/>
      <c r="W66" s="3129"/>
      <c r="X66" s="3130"/>
    </row>
    <row r="67" spans="1:24" s="326" customFormat="1" ht="12" customHeight="1">
      <c r="B67" s="326" t="s">
        <v>500</v>
      </c>
      <c r="G67" s="3126">
        <v>60000</v>
      </c>
      <c r="H67" s="3127"/>
      <c r="J67" s="3126">
        <v>60000</v>
      </c>
      <c r="K67" s="3127"/>
      <c r="L67" s="2019"/>
      <c r="M67" s="3126"/>
      <c r="N67" s="3127"/>
      <c r="P67" s="3126"/>
      <c r="Q67" s="3127"/>
      <c r="S67" s="3126"/>
      <c r="T67" s="3127"/>
      <c r="V67" s="3128"/>
      <c r="W67" s="3131"/>
      <c r="X67" s="3132"/>
    </row>
    <row r="68" spans="1:24" s="326" customFormat="1" ht="12" customHeight="1">
      <c r="B68" s="326" t="s">
        <v>1173</v>
      </c>
      <c r="F68" s="326" t="s">
        <v>2963</v>
      </c>
      <c r="G68" s="3126"/>
      <c r="H68" s="3127"/>
      <c r="J68" s="3126"/>
      <c r="K68" s="3127"/>
      <c r="L68" s="2019"/>
      <c r="M68" s="3126"/>
      <c r="N68" s="3127"/>
      <c r="P68" s="3126"/>
      <c r="Q68" s="3127"/>
      <c r="S68" s="3126"/>
      <c r="T68" s="3127"/>
      <c r="V68" s="3128"/>
      <c r="W68" s="3131"/>
      <c r="X68" s="3132"/>
    </row>
    <row r="69" spans="1:24" s="326" customFormat="1" ht="12" customHeight="1">
      <c r="B69" s="326" t="s">
        <v>1174</v>
      </c>
      <c r="G69" s="3126"/>
      <c r="H69" s="3127"/>
      <c r="J69" s="3126"/>
      <c r="K69" s="3127"/>
      <c r="L69" s="2019"/>
      <c r="M69" s="3126"/>
      <c r="N69" s="3127"/>
      <c r="P69" s="3126"/>
      <c r="Q69" s="3127"/>
      <c r="S69" s="3126"/>
      <c r="T69" s="3127"/>
      <c r="V69" s="3128"/>
      <c r="W69" s="3131"/>
      <c r="X69" s="3132"/>
    </row>
    <row r="70" spans="1:24" s="326" customFormat="1" ht="12" customHeight="1">
      <c r="B70" s="326" t="s">
        <v>1175</v>
      </c>
      <c r="G70" s="3126"/>
      <c r="H70" s="3127"/>
      <c r="J70" s="3126"/>
      <c r="K70" s="3127"/>
      <c r="L70" s="2019"/>
      <c r="M70" s="3126"/>
      <c r="N70" s="3127"/>
      <c r="P70" s="3126"/>
      <c r="Q70" s="3127"/>
      <c r="S70" s="3126"/>
      <c r="T70" s="3127"/>
      <c r="V70" s="3128"/>
      <c r="W70" s="3131"/>
      <c r="X70" s="3132"/>
    </row>
    <row r="71" spans="1:24" s="326" customFormat="1" ht="12" customHeight="1">
      <c r="B71" s="326" t="s">
        <v>1176</v>
      </c>
      <c r="G71" s="3126"/>
      <c r="H71" s="3127"/>
      <c r="J71" s="3126"/>
      <c r="K71" s="3127"/>
      <c r="L71" s="2019"/>
      <c r="M71" s="3126"/>
      <c r="N71" s="3127"/>
      <c r="P71" s="3126"/>
      <c r="Q71" s="3127"/>
      <c r="S71" s="3126"/>
      <c r="T71" s="3127"/>
      <c r="V71" s="3128"/>
      <c r="W71" s="3131"/>
      <c r="X71" s="3132"/>
    </row>
    <row r="72" spans="1:24" s="326" customFormat="1" ht="12" customHeight="1">
      <c r="B72" s="326" t="s">
        <v>501</v>
      </c>
      <c r="G72" s="3126">
        <v>125000</v>
      </c>
      <c r="H72" s="3127"/>
      <c r="J72" s="3126">
        <v>125000</v>
      </c>
      <c r="K72" s="3127"/>
      <c r="L72" s="2019"/>
      <c r="M72" s="3126"/>
      <c r="N72" s="3127"/>
      <c r="P72" s="3126"/>
      <c r="Q72" s="3127"/>
      <c r="S72" s="3126"/>
      <c r="T72" s="3127"/>
      <c r="V72" s="3128"/>
      <c r="W72" s="3131"/>
      <c r="X72" s="3132"/>
    </row>
    <row r="73" spans="1:24" s="326" customFormat="1" ht="12" customHeight="1">
      <c r="B73" s="326" t="s">
        <v>502</v>
      </c>
      <c r="G73" s="3126">
        <v>120000</v>
      </c>
      <c r="H73" s="3127"/>
      <c r="J73" s="3126">
        <v>60000</v>
      </c>
      <c r="K73" s="3127"/>
      <c r="L73" s="2019"/>
      <c r="M73" s="3126"/>
      <c r="N73" s="3127"/>
      <c r="P73" s="3126"/>
      <c r="Q73" s="3127"/>
      <c r="S73" s="3126">
        <v>60000</v>
      </c>
      <c r="T73" s="3127"/>
      <c r="V73" s="3128"/>
      <c r="W73" s="3131"/>
      <c r="X73" s="3132"/>
    </row>
    <row r="74" spans="1:24" s="326" customFormat="1" ht="12" customHeight="1">
      <c r="B74" s="326" t="s">
        <v>2137</v>
      </c>
      <c r="G74" s="3126">
        <v>40000</v>
      </c>
      <c r="H74" s="3127"/>
      <c r="J74" s="3126">
        <v>40000</v>
      </c>
      <c r="K74" s="3127"/>
      <c r="L74" s="2019"/>
      <c r="M74" s="3126"/>
      <c r="N74" s="3127"/>
      <c r="P74" s="3126"/>
      <c r="Q74" s="3127"/>
      <c r="S74" s="3126"/>
      <c r="T74" s="3127"/>
      <c r="V74" s="3128"/>
      <c r="W74" s="3131"/>
      <c r="X74" s="3132"/>
    </row>
    <row r="75" spans="1:24" s="326" customFormat="1" ht="12" customHeight="1">
      <c r="B75" s="326" t="s">
        <v>1331</v>
      </c>
      <c r="G75" s="3126">
        <v>10000</v>
      </c>
      <c r="H75" s="3127"/>
      <c r="J75" s="3126">
        <v>10000</v>
      </c>
      <c r="K75" s="3127"/>
      <c r="L75" s="2019"/>
      <c r="M75" s="3126"/>
      <c r="N75" s="3127"/>
      <c r="P75" s="3126"/>
      <c r="Q75" s="3127"/>
      <c r="S75" s="3126"/>
      <c r="T75" s="3127"/>
      <c r="V75" s="3128"/>
      <c r="W75" s="3131"/>
      <c r="X75" s="3132"/>
    </row>
    <row r="76" spans="1:24" s="326" customFormat="1" ht="12" customHeight="1" thickBot="1">
      <c r="A76" s="409" t="str">
        <f>IF(AND(G76&gt;0,OR(C76="",C76="&lt;Enter detailed description here; use Comments section if needed&gt;")),"X","")</f>
        <v/>
      </c>
      <c r="B76" s="326" t="s">
        <v>778</v>
      </c>
      <c r="C76" s="2888" t="s">
        <v>2511</v>
      </c>
      <c r="D76" s="2888"/>
      <c r="E76" s="2888"/>
      <c r="F76" s="2889"/>
      <c r="G76" s="3126"/>
      <c r="H76" s="3127"/>
      <c r="J76" s="3126"/>
      <c r="K76" s="3127"/>
      <c r="L76" s="2019"/>
      <c r="M76" s="3126"/>
      <c r="N76" s="3127"/>
      <c r="P76" s="3126"/>
      <c r="Q76" s="3127"/>
      <c r="S76" s="3126"/>
      <c r="T76" s="3127"/>
      <c r="U76" s="408" t="str">
        <f>IF(AND(G76&gt;0,OR(C76="",C76="&lt;Enter detailed description here; use Comments section if needed&gt;")),"NO DESCRIPTION PROVIDED - please enter detailed description in Other box at left; use Comments section below if needed.","")</f>
        <v/>
      </c>
      <c r="V76" s="3128"/>
      <c r="W76" s="3131"/>
      <c r="X76" s="3132"/>
    </row>
    <row r="77" spans="1:24" s="326" customFormat="1" ht="12" customHeight="1" thickTop="1">
      <c r="F77" s="382" t="s">
        <v>198</v>
      </c>
      <c r="G77" s="2316">
        <f>SUM(G66:H76)</f>
        <v>705000</v>
      </c>
      <c r="H77" s="2320"/>
      <c r="J77" s="2316">
        <f>SUM(J66:K76)</f>
        <v>645000</v>
      </c>
      <c r="K77" s="2320"/>
      <c r="L77" s="384"/>
      <c r="M77" s="2316">
        <f>SUM(M66:N76)</f>
        <v>0</v>
      </c>
      <c r="N77" s="2320"/>
      <c r="P77" s="2316">
        <f>SUM(P66:Q76)</f>
        <v>0</v>
      </c>
      <c r="Q77" s="2320"/>
      <c r="S77" s="2316">
        <f>SUM(S66:T76)</f>
        <v>60000</v>
      </c>
      <c r="T77" s="2320"/>
      <c r="V77" s="3136">
        <f>SUM(V66:V76)</f>
        <v>0</v>
      </c>
      <c r="W77" s="3137"/>
      <c r="X77" s="3138"/>
    </row>
    <row r="78" spans="1:24" ht="12" customHeight="1">
      <c r="A78" s="326"/>
      <c r="B78" s="328" t="s">
        <v>1323</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1324</v>
      </c>
      <c r="G79" s="3126">
        <v>90000</v>
      </c>
      <c r="H79" s="3127"/>
      <c r="J79" s="3126">
        <v>90000</v>
      </c>
      <c r="K79" s="3127"/>
      <c r="L79" s="2019"/>
      <c r="M79" s="3126"/>
      <c r="N79" s="3127"/>
      <c r="P79" s="3126"/>
      <c r="Q79" s="3127"/>
      <c r="S79" s="3126"/>
      <c r="T79" s="3127"/>
      <c r="V79" s="3128"/>
      <c r="W79" s="3153"/>
      <c r="X79" s="3154"/>
    </row>
    <row r="80" spans="1:24" s="326" customFormat="1" ht="12" customHeight="1">
      <c r="B80" s="326" t="s">
        <v>1325</v>
      </c>
      <c r="G80" s="3126">
        <v>236500</v>
      </c>
      <c r="H80" s="3127"/>
      <c r="J80" s="3126">
        <v>236500</v>
      </c>
      <c r="K80" s="3127"/>
      <c r="L80" s="2019"/>
      <c r="M80" s="3126"/>
      <c r="N80" s="3127"/>
      <c r="P80" s="3126"/>
      <c r="Q80" s="3127"/>
      <c r="S80" s="3126"/>
      <c r="T80" s="3127"/>
      <c r="V80" s="3128"/>
      <c r="W80" s="3155"/>
      <c r="X80" s="3156"/>
    </row>
    <row r="81" spans="1:24" s="326" customFormat="1" ht="12" customHeight="1">
      <c r="B81" s="326" t="s">
        <v>1326</v>
      </c>
      <c r="D81" s="391" t="s">
        <v>1462</v>
      </c>
      <c r="E81" s="3157"/>
      <c r="G81" s="3126">
        <v>20000</v>
      </c>
      <c r="H81" s="3127"/>
      <c r="I81" s="345"/>
      <c r="J81" s="3126">
        <v>20000</v>
      </c>
      <c r="K81" s="3127"/>
      <c r="L81" s="2019"/>
      <c r="M81" s="3126"/>
      <c r="N81" s="3127"/>
      <c r="P81" s="3126"/>
      <c r="Q81" s="3127"/>
      <c r="S81" s="3126"/>
      <c r="T81" s="3127"/>
      <c r="V81" s="3128"/>
      <c r="W81" s="3155"/>
      <c r="X81" s="3156"/>
    </row>
    <row r="82" spans="1:24" s="326" customFormat="1" ht="12" customHeight="1" thickBot="1">
      <c r="B82" s="326" t="s">
        <v>1327</v>
      </c>
      <c r="D82" s="391" t="s">
        <v>1462</v>
      </c>
      <c r="E82" s="3157"/>
      <c r="G82" s="3126">
        <v>20000</v>
      </c>
      <c r="H82" s="3127"/>
      <c r="I82" s="345"/>
      <c r="J82" s="3126">
        <v>20000</v>
      </c>
      <c r="K82" s="3127"/>
      <c r="L82" s="2019"/>
      <c r="M82" s="3126"/>
      <c r="N82" s="3127"/>
      <c r="P82" s="3126"/>
      <c r="Q82" s="3127"/>
      <c r="S82" s="3126"/>
      <c r="T82" s="3127"/>
      <c r="V82" s="3128"/>
      <c r="W82" s="3155"/>
      <c r="X82" s="3156"/>
    </row>
    <row r="83" spans="1:24" s="326" customFormat="1" ht="12" customHeight="1" thickTop="1">
      <c r="F83" s="382" t="s">
        <v>198</v>
      </c>
      <c r="G83" s="2316">
        <f>SUM(G79:H82)</f>
        <v>366500</v>
      </c>
      <c r="H83" s="2320"/>
      <c r="J83" s="2316">
        <f>SUM(J79:K82)</f>
        <v>366500</v>
      </c>
      <c r="K83" s="2320"/>
      <c r="L83" s="384"/>
      <c r="M83" s="2316">
        <f>SUM(M79:N82)</f>
        <v>0</v>
      </c>
      <c r="N83" s="2320"/>
      <c r="P83" s="2316">
        <f>SUM(P79:Q82)</f>
        <v>0</v>
      </c>
      <c r="Q83" s="2320"/>
      <c r="S83" s="2316">
        <f>SUM(S79:T82)</f>
        <v>0</v>
      </c>
      <c r="T83" s="2320"/>
      <c r="V83" s="3136">
        <f>SUM(V79:V82)</f>
        <v>0</v>
      </c>
      <c r="W83" s="3158"/>
      <c r="X83" s="3159"/>
    </row>
    <row r="84" spans="1:24" s="326" customFormat="1" ht="12" customHeight="1">
      <c r="B84" s="328" t="s">
        <v>761</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1328</v>
      </c>
      <c r="G85" s="3126">
        <v>80000</v>
      </c>
      <c r="H85" s="3127"/>
      <c r="J85" s="2323"/>
      <c r="K85" s="2323"/>
      <c r="L85" s="2019"/>
      <c r="M85" s="2323"/>
      <c r="N85" s="2323"/>
      <c r="P85" s="2323"/>
      <c r="Q85" s="2323"/>
      <c r="S85" s="3126">
        <v>80000</v>
      </c>
      <c r="T85" s="3127"/>
      <c r="V85" s="3128"/>
      <c r="W85" s="3153"/>
      <c r="X85" s="3154"/>
    </row>
    <row r="86" spans="1:24" s="326" customFormat="1" ht="12" customHeight="1">
      <c r="B86" s="326" t="s">
        <v>1329</v>
      </c>
      <c r="G86" s="3126">
        <v>85000</v>
      </c>
      <c r="H86" s="3127"/>
      <c r="J86" s="2323"/>
      <c r="K86" s="2323"/>
      <c r="L86" s="2019"/>
      <c r="M86" s="2323"/>
      <c r="N86" s="2323"/>
      <c r="P86" s="2323"/>
      <c r="Q86" s="2323"/>
      <c r="S86" s="3126">
        <v>85000</v>
      </c>
      <c r="T86" s="3127"/>
      <c r="V86" s="3128"/>
      <c r="W86" s="3155"/>
      <c r="X86" s="3156"/>
    </row>
    <row r="87" spans="1:24" s="326" customFormat="1" ht="12" customHeight="1">
      <c r="B87" s="326" t="s">
        <v>1330</v>
      </c>
      <c r="G87" s="3126">
        <v>75000</v>
      </c>
      <c r="H87" s="3127"/>
      <c r="J87" s="2323"/>
      <c r="K87" s="2323"/>
      <c r="L87" s="2019"/>
      <c r="M87" s="2323"/>
      <c r="N87" s="2323"/>
      <c r="P87" s="2323"/>
      <c r="Q87" s="2323"/>
      <c r="S87" s="3126">
        <v>75000</v>
      </c>
      <c r="T87" s="3127"/>
      <c r="V87" s="3128"/>
      <c r="W87" s="3155"/>
      <c r="X87" s="3156"/>
    </row>
    <row r="88" spans="1:24" s="326" customFormat="1" ht="12" customHeight="1">
      <c r="B88" s="326" t="s">
        <v>1332</v>
      </c>
      <c r="G88" s="3126"/>
      <c r="H88" s="3127"/>
      <c r="J88" s="2323"/>
      <c r="K88" s="2323"/>
      <c r="L88" s="2019"/>
      <c r="M88" s="2323"/>
      <c r="N88" s="2323"/>
      <c r="P88" s="2323"/>
      <c r="Q88" s="2323"/>
      <c r="S88" s="3126"/>
      <c r="T88" s="3127"/>
      <c r="V88" s="3128"/>
      <c r="W88" s="3155"/>
      <c r="X88" s="3156"/>
    </row>
    <row r="89" spans="1:24" s="326" customFormat="1" ht="12" customHeight="1">
      <c r="B89" s="326" t="s">
        <v>2389</v>
      </c>
      <c r="G89" s="3126">
        <v>362620</v>
      </c>
      <c r="H89" s="3127"/>
      <c r="J89" s="2323"/>
      <c r="K89" s="2323"/>
      <c r="L89" s="2019"/>
      <c r="M89" s="2323"/>
      <c r="N89" s="2323"/>
      <c r="P89" s="2323"/>
      <c r="Q89" s="2323"/>
      <c r="S89" s="3126">
        <v>362620</v>
      </c>
      <c r="T89" s="3127"/>
      <c r="V89" s="3128"/>
      <c r="W89" s="3155"/>
      <c r="X89" s="3156"/>
    </row>
    <row r="90" spans="1:24" s="326" customFormat="1" ht="12" customHeight="1" thickBot="1">
      <c r="A90" s="409" t="str">
        <f>IF(AND(G90&gt;0,OR(C90="",C90="&lt;Enter detailed description here; use Comments section if needed&gt;")),"X","")</f>
        <v/>
      </c>
      <c r="B90" s="326" t="s">
        <v>778</v>
      </c>
      <c r="C90" s="2888"/>
      <c r="D90" s="2888"/>
      <c r="E90" s="2888"/>
      <c r="F90" s="2889"/>
      <c r="G90" s="3126"/>
      <c r="H90" s="3127"/>
      <c r="J90" s="2323"/>
      <c r="K90" s="2323"/>
      <c r="L90" s="2019"/>
      <c r="M90" s="2323"/>
      <c r="N90" s="2323"/>
      <c r="P90" s="2323"/>
      <c r="Q90" s="2323"/>
      <c r="S90" s="3126"/>
      <c r="T90" s="3127"/>
      <c r="U90" s="408" t="str">
        <f>IF(AND(G90&gt;0,OR(C90="",C90="&lt;Enter detailed description here; use Comments section if needed&gt;")),"NO DESCRIPTION PROVIDED - please enter detailed description in Other box at left; use Comments section below if needed.","")</f>
        <v/>
      </c>
      <c r="V90" s="3128"/>
      <c r="W90" s="3155"/>
      <c r="X90" s="3156"/>
    </row>
    <row r="91" spans="1:24" s="326" customFormat="1" ht="12" customHeight="1" thickTop="1">
      <c r="F91" s="382" t="s">
        <v>198</v>
      </c>
      <c r="G91" s="2316">
        <f>SUM(G85:H90)</f>
        <v>602620</v>
      </c>
      <c r="H91" s="2320"/>
      <c r="J91" s="2323"/>
      <c r="K91" s="2323"/>
      <c r="L91" s="384"/>
      <c r="M91" s="2323"/>
      <c r="N91" s="2323"/>
      <c r="P91" s="2323"/>
      <c r="Q91" s="2323"/>
      <c r="S91" s="2316">
        <f>SUM(S85:T90)</f>
        <v>602620</v>
      </c>
      <c r="T91" s="2320"/>
      <c r="V91" s="3136">
        <f>SUM(V85:V90)</f>
        <v>0</v>
      </c>
      <c r="W91" s="3158"/>
      <c r="X91" s="3159"/>
    </row>
    <row r="92" spans="1:24" s="326"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row>
    <row r="93" spans="1:24" s="326" customFormat="1" ht="18" customHeight="1" thickBot="1">
      <c r="A93" s="470" t="s">
        <v>646</v>
      </c>
      <c r="B93" s="470" t="s">
        <v>3092</v>
      </c>
      <c r="H93" s="2012"/>
      <c r="I93" s="2012"/>
      <c r="J93" s="2324" t="s">
        <v>284</v>
      </c>
      <c r="K93" s="2325"/>
      <c r="L93" s="381"/>
      <c r="M93" s="2343" t="s">
        <v>512</v>
      </c>
      <c r="N93" s="2344"/>
      <c r="P93" s="2324" t="s">
        <v>285</v>
      </c>
      <c r="Q93" s="2325"/>
      <c r="S93" s="2324" t="s">
        <v>286</v>
      </c>
      <c r="T93" s="2325"/>
      <c r="W93" s="471" t="str">
        <f>B93</f>
        <v>DEVELOPMENT BUDGET  (cont'd)</v>
      </c>
    </row>
    <row r="94" spans="1:24" s="326" customFormat="1" ht="18" customHeight="1" thickBot="1">
      <c r="G94" s="2337" t="s">
        <v>103</v>
      </c>
      <c r="H94" s="2338"/>
      <c r="J94" s="2326"/>
      <c r="K94" s="2327"/>
      <c r="L94" s="381"/>
      <c r="M94" s="2345"/>
      <c r="N94" s="2346"/>
      <c r="P94" s="2326"/>
      <c r="Q94" s="2327"/>
      <c r="S94" s="2326"/>
      <c r="T94" s="2327"/>
      <c r="W94" s="2319" t="s">
        <v>2791</v>
      </c>
      <c r="X94" s="2319"/>
    </row>
    <row r="95" spans="1:24" s="326" customFormat="1" ht="13.15" customHeight="1">
      <c r="B95" s="328" t="s">
        <v>762</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3126">
        <v>1000</v>
      </c>
      <c r="H96" s="3127"/>
      <c r="J96" s="384"/>
      <c r="K96" s="384"/>
      <c r="L96" s="2019"/>
      <c r="M96" s="384"/>
      <c r="N96" s="384"/>
      <c r="P96" s="384"/>
      <c r="Q96" s="384"/>
      <c r="S96" s="3126">
        <v>1000</v>
      </c>
      <c r="T96" s="3127"/>
      <c r="V96" s="3128"/>
      <c r="W96" s="3153"/>
      <c r="X96" s="3154"/>
    </row>
    <row r="97" spans="1:24" s="326" customFormat="1" ht="12.6" customHeight="1">
      <c r="B97" s="326" t="str">
        <f>CONCATENATE("Tax Credit Application Fee ($",'DCA Underwriting Assumptions'!$Q$68, " ForProf/JntVent, $",'DCA Underwriting Assumptions'!$Q$69, " NonProf)")</f>
        <v>Tax Credit Application Fee ($6500 ForProf/JntVent, $5500 NonProf)</v>
      </c>
      <c r="G97" s="3126">
        <v>6500</v>
      </c>
      <c r="H97" s="3127"/>
      <c r="J97" s="384"/>
      <c r="K97" s="384"/>
      <c r="L97" s="392"/>
      <c r="M97" s="384"/>
      <c r="N97" s="384"/>
      <c r="P97" s="384"/>
      <c r="Q97" s="384"/>
      <c r="S97" s="3126">
        <v>6500</v>
      </c>
      <c r="T97" s="3127"/>
      <c r="V97" s="3128"/>
      <c r="W97" s="3155"/>
      <c r="X97" s="3156"/>
    </row>
    <row r="98" spans="1:24" s="326" customFormat="1" ht="12.6" customHeight="1">
      <c r="B98" s="326" t="s">
        <v>2805</v>
      </c>
      <c r="G98" s="3126"/>
      <c r="H98" s="3127"/>
      <c r="J98" s="384"/>
      <c r="K98" s="384"/>
      <c r="L98" s="392"/>
      <c r="M98" s="384"/>
      <c r="N98" s="384"/>
      <c r="O98" s="2012"/>
      <c r="P98" s="384"/>
      <c r="Q98" s="384"/>
      <c r="S98" s="3126"/>
      <c r="T98" s="3127"/>
      <c r="V98" s="3128"/>
      <c r="W98" s="3155"/>
      <c r="X98" s="3156"/>
    </row>
    <row r="99" spans="1:24" s="326" customFormat="1" ht="12.6" customHeight="1">
      <c r="B99" s="326" t="s">
        <v>544</v>
      </c>
      <c r="E99" s="2341">
        <f>'DCA Underwriting Assumptions'!$Q$83*J174</f>
        <v>68282.64</v>
      </c>
      <c r="F99" s="2342"/>
      <c r="G99" s="3126">
        <v>68283</v>
      </c>
      <c r="H99" s="3127"/>
      <c r="J99" s="384"/>
      <c r="K99" s="384"/>
      <c r="L99" s="2019"/>
      <c r="M99" s="384"/>
      <c r="N99" s="384"/>
      <c r="O99" s="2012"/>
      <c r="P99" s="384"/>
      <c r="Q99" s="384"/>
      <c r="S99" s="3126">
        <v>68283</v>
      </c>
      <c r="T99" s="3127"/>
      <c r="V99" s="3128"/>
      <c r="W99" s="3155"/>
      <c r="X99" s="3156"/>
    </row>
    <row r="100" spans="1:24" s="326" customFormat="1" ht="12.6" customHeight="1">
      <c r="B100" s="326" t="s">
        <v>790</v>
      </c>
      <c r="E100" s="234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129600</v>
      </c>
      <c r="F100" s="2342"/>
      <c r="G100" s="3126">
        <v>129600</v>
      </c>
      <c r="H100" s="3127"/>
      <c r="J100" s="299"/>
      <c r="K100" s="299"/>
      <c r="L100" s="299"/>
      <c r="M100" s="299"/>
      <c r="N100" s="299"/>
      <c r="O100" s="299"/>
      <c r="P100" s="299"/>
      <c r="Q100" s="299"/>
      <c r="S100" s="3126">
        <v>129600</v>
      </c>
      <c r="T100" s="3127"/>
      <c r="V100" s="3128"/>
      <c r="W100" s="3155"/>
      <c r="X100" s="3156"/>
    </row>
    <row r="101" spans="1:24" s="326" customFormat="1" ht="12.6" customHeight="1">
      <c r="B101" s="326" t="str">
        <f>CONCATENATE("DCA HOME Front End Analysis Fee (when ID of Interest; $",'DCA Underwriting Assumptions'!$Q$85,")")</f>
        <v>DCA HOME Front End Analysis Fee (when ID of Interest; $2700)</v>
      </c>
      <c r="G101" s="3126"/>
      <c r="H101" s="3127"/>
      <c r="J101" s="299"/>
      <c r="K101" s="299"/>
      <c r="L101" s="299"/>
      <c r="M101" s="299"/>
      <c r="N101" s="299"/>
      <c r="O101" s="299"/>
      <c r="P101" s="299"/>
      <c r="Q101" s="299"/>
      <c r="S101" s="3126"/>
      <c r="T101" s="3127"/>
      <c r="V101" s="3128"/>
      <c r="W101" s="3155"/>
      <c r="X101" s="3156"/>
    </row>
    <row r="102" spans="1:24" s="326" customFormat="1" ht="12.6" customHeight="1">
      <c r="B102" s="326" t="str">
        <f>CONCATENATE("DCA Final Inspection Fee (Tax Credit only - no HOME; $",'DCA Underwriting Assumptions'!$Q$106,")")</f>
        <v>DCA Final Inspection Fee (Tax Credit only - no HOME; $3000)</v>
      </c>
      <c r="G102" s="3126">
        <v>3000</v>
      </c>
      <c r="H102" s="3127"/>
      <c r="J102" s="299"/>
      <c r="K102" s="299"/>
      <c r="L102" s="299"/>
      <c r="M102" s="299"/>
      <c r="N102" s="299"/>
      <c r="O102" s="299"/>
      <c r="P102" s="299"/>
      <c r="Q102" s="299"/>
      <c r="S102" s="3126">
        <v>3000</v>
      </c>
      <c r="T102" s="3127"/>
      <c r="V102" s="3128"/>
      <c r="W102" s="3155"/>
      <c r="X102" s="3156"/>
    </row>
    <row r="103" spans="1:24" s="326" customFormat="1" ht="12.6" customHeight="1">
      <c r="A103" s="409" t="str">
        <f>IF(AND(G103&gt;0,OR(C103="",C103="&lt;Enter detailed description here; use Comments section if needed&gt;")),"X","")</f>
        <v/>
      </c>
      <c r="B103" s="326" t="s">
        <v>778</v>
      </c>
      <c r="C103" s="2888"/>
      <c r="D103" s="2888"/>
      <c r="E103" s="2888"/>
      <c r="F103" s="2889"/>
      <c r="G103" s="3126"/>
      <c r="H103" s="3127"/>
      <c r="J103" s="299"/>
      <c r="K103" s="299"/>
      <c r="L103" s="299"/>
      <c r="M103" s="299"/>
      <c r="N103" s="299"/>
      <c r="O103" s="299"/>
      <c r="P103" s="299"/>
      <c r="Q103" s="299"/>
      <c r="S103" s="3126"/>
      <c r="T103" s="3127"/>
      <c r="U103" s="408" t="str">
        <f>IF(AND(G103&gt;0,OR(C103="",C103="&lt;Enter detailed description here; use Comments section if needed&gt;")),"NO DESCRIPTION PROVIDED - please enter detailed description in Other box at left; use Comments section below if needed.","")</f>
        <v/>
      </c>
      <c r="V103" s="3128"/>
      <c r="W103" s="3155"/>
      <c r="X103" s="3156"/>
    </row>
    <row r="104" spans="1:24" s="326" customFormat="1" ht="12.6" customHeight="1" thickBot="1">
      <c r="A104" s="409" t="str">
        <f>IF(AND(G104&gt;0,OR(C104="",C104="&lt;Enter detailed description here; use Comments section if needed&gt;")),"X","")</f>
        <v/>
      </c>
      <c r="B104" s="326" t="s">
        <v>778</v>
      </c>
      <c r="C104" s="2888"/>
      <c r="D104" s="2888"/>
      <c r="E104" s="2888"/>
      <c r="F104" s="2889"/>
      <c r="G104" s="3126"/>
      <c r="H104" s="3127"/>
      <c r="J104" s="299"/>
      <c r="K104" s="299"/>
      <c r="L104" s="299"/>
      <c r="M104" s="299"/>
      <c r="N104" s="299"/>
      <c r="O104" s="299"/>
      <c r="P104" s="299"/>
      <c r="Q104" s="299"/>
      <c r="S104" s="3126"/>
      <c r="T104" s="3127"/>
      <c r="U104" s="408" t="str">
        <f>IF(AND(G104&gt;0,OR(C104="",C104="&lt;Enter detailed description here; use Comments section if needed&gt;")),"NO DESCRIPTION PROVIDED - please enter detailed description in Other box at left; use Comments section below if needed.","")</f>
        <v/>
      </c>
      <c r="V104" s="3128"/>
      <c r="W104" s="3155"/>
      <c r="X104" s="3156"/>
    </row>
    <row r="105" spans="1:24" s="326" customFormat="1" ht="12.6" customHeight="1" thickTop="1">
      <c r="F105" s="382" t="s">
        <v>198</v>
      </c>
      <c r="G105" s="2316">
        <f>SUM(G96:H104)</f>
        <v>208383</v>
      </c>
      <c r="H105" s="2320"/>
      <c r="J105" s="384"/>
      <c r="K105" s="384"/>
      <c r="L105" s="2019"/>
      <c r="M105" s="384"/>
      <c r="N105" s="384"/>
      <c r="P105" s="384"/>
      <c r="Q105" s="384"/>
      <c r="S105" s="2316">
        <f>SUM(S96:T104)</f>
        <v>208383</v>
      </c>
      <c r="T105" s="2320"/>
      <c r="V105" s="3136">
        <f>SUM(V96:V104)</f>
        <v>0</v>
      </c>
      <c r="W105" s="3158"/>
      <c r="X105" s="3159"/>
    </row>
    <row r="106" spans="1:24" s="326" customFormat="1" ht="13.15" customHeight="1">
      <c r="B106" s="328" t="s">
        <v>2390</v>
      </c>
      <c r="J106" s="384"/>
      <c r="K106" s="384"/>
      <c r="M106" s="384"/>
      <c r="N106" s="384"/>
      <c r="O106" s="383" t="str">
        <f>B106</f>
        <v>EQUITY COSTS</v>
      </c>
      <c r="P106" s="384"/>
      <c r="Q106" s="384"/>
      <c r="S106" s="384"/>
      <c r="T106" s="384"/>
      <c r="W106" s="326" t="str">
        <f>B106</f>
        <v>EQUITY COSTS</v>
      </c>
    </row>
    <row r="107" spans="1:24" s="326" customFormat="1" ht="12.6" customHeight="1">
      <c r="B107" s="326" t="s">
        <v>292</v>
      </c>
      <c r="G107" s="3126">
        <v>50000</v>
      </c>
      <c r="H107" s="3127"/>
      <c r="J107" s="2323"/>
      <c r="K107" s="2323"/>
      <c r="L107" s="2019"/>
      <c r="M107" s="2323"/>
      <c r="N107" s="2323"/>
      <c r="O107" s="2012"/>
      <c r="P107" s="2323"/>
      <c r="Q107" s="2323"/>
      <c r="S107" s="3126">
        <v>50000</v>
      </c>
      <c r="T107" s="3127"/>
      <c r="V107" s="3128"/>
      <c r="W107" s="3153"/>
      <c r="X107" s="3154"/>
    </row>
    <row r="108" spans="1:24" s="326" customFormat="1" ht="12.6" customHeight="1">
      <c r="B108" s="326" t="s">
        <v>294</v>
      </c>
      <c r="G108" s="3126"/>
      <c r="H108" s="3127"/>
      <c r="J108" s="2323"/>
      <c r="K108" s="2323"/>
      <c r="L108" s="2019"/>
      <c r="M108" s="2323"/>
      <c r="N108" s="2323"/>
      <c r="O108" s="2012"/>
      <c r="P108" s="2323"/>
      <c r="Q108" s="2323"/>
      <c r="S108" s="3126"/>
      <c r="T108" s="3127"/>
      <c r="V108" s="3128"/>
      <c r="W108" s="3155"/>
      <c r="X108" s="3156"/>
    </row>
    <row r="109" spans="1:24" s="326" customFormat="1" ht="12.6" customHeight="1">
      <c r="B109" s="326" t="s">
        <v>2482</v>
      </c>
      <c r="G109" s="3126"/>
      <c r="H109" s="3127"/>
      <c r="J109" s="2323"/>
      <c r="K109" s="2323"/>
      <c r="L109" s="2019"/>
      <c r="M109" s="2323"/>
      <c r="N109" s="2323"/>
      <c r="O109" s="2012"/>
      <c r="P109" s="2323"/>
      <c r="Q109" s="2323"/>
      <c r="S109" s="3126"/>
      <c r="T109" s="3127"/>
      <c r="V109" s="3128"/>
      <c r="W109" s="3155"/>
      <c r="X109" s="3156"/>
    </row>
    <row r="110" spans="1:24" s="326" customFormat="1" ht="12.6" customHeight="1" thickBot="1">
      <c r="A110" s="409" t="str">
        <f>IF(AND(G110&gt;0,OR(C110="",C110="&lt;Enter detailed description here; use Comments section if needed&gt;")),"X","")</f>
        <v/>
      </c>
      <c r="B110" s="326" t="s">
        <v>778</v>
      </c>
      <c r="C110" s="2888" t="s">
        <v>2511</v>
      </c>
      <c r="D110" s="2888"/>
      <c r="E110" s="2888"/>
      <c r="F110" s="2889"/>
      <c r="G110" s="3126"/>
      <c r="H110" s="3127"/>
      <c r="J110" s="2323"/>
      <c r="K110" s="2323"/>
      <c r="L110" s="2019"/>
      <c r="M110" s="2323"/>
      <c r="N110" s="2323"/>
      <c r="O110" s="2012"/>
      <c r="P110" s="2323"/>
      <c r="Q110" s="2323"/>
      <c r="S110" s="3126"/>
      <c r="T110" s="3127"/>
      <c r="U110" s="408" t="str">
        <f>IF(AND(G110&gt;0,OR(C110="",C110="&lt;Enter detailed description here; use Comments section if needed&gt;")),"NO DESCRIPTION PROVIDED - please enter detailed description in Other box at left; use Comments section below if needed.","")</f>
        <v/>
      </c>
      <c r="V110" s="3128"/>
      <c r="W110" s="3155"/>
      <c r="X110" s="3156"/>
    </row>
    <row r="111" spans="1:24" s="326" customFormat="1" ht="12.6" customHeight="1" thickTop="1">
      <c r="F111" s="382" t="s">
        <v>198</v>
      </c>
      <c r="G111" s="2316">
        <f>SUM(G107:H110)</f>
        <v>50000</v>
      </c>
      <c r="H111" s="2320"/>
      <c r="J111" s="2323"/>
      <c r="K111" s="2323"/>
      <c r="L111" s="2019"/>
      <c r="M111" s="2323"/>
      <c r="N111" s="2323"/>
      <c r="O111" s="2012"/>
      <c r="P111" s="2323"/>
      <c r="Q111" s="2323"/>
      <c r="S111" s="2316">
        <f>SUM(S107:T110)</f>
        <v>50000</v>
      </c>
      <c r="T111" s="2320"/>
      <c r="V111" s="3136">
        <f>SUM(V107:V110)</f>
        <v>0</v>
      </c>
      <c r="W111" s="3158"/>
      <c r="X111" s="3159"/>
    </row>
    <row r="112" spans="1:24" s="326" customFormat="1" ht="13.15" customHeight="1">
      <c r="B112" s="328" t="s">
        <v>295</v>
      </c>
      <c r="J112" s="384"/>
      <c r="K112" s="381"/>
      <c r="M112" s="384"/>
      <c r="N112" s="381"/>
      <c r="O112" s="383" t="str">
        <f>B112</f>
        <v>DEVELOPER'S FEE</v>
      </c>
      <c r="P112" s="384"/>
      <c r="Q112" s="381"/>
      <c r="S112" s="384"/>
      <c r="T112" s="381"/>
      <c r="W112" s="326" t="str">
        <f>B112</f>
        <v>DEVELOPER'S FEE</v>
      </c>
    </row>
    <row r="113" spans="1:24" s="326" customFormat="1" ht="12.6" customHeight="1">
      <c r="B113" s="326" t="s">
        <v>1940</v>
      </c>
      <c r="F113" s="444">
        <f>IF($G$117=0,0,G113/$G$117)</f>
        <v>1</v>
      </c>
      <c r="G113" s="3126">
        <v>2500000</v>
      </c>
      <c r="H113" s="3127"/>
      <c r="J113" s="3126">
        <v>2500000</v>
      </c>
      <c r="K113" s="3127"/>
      <c r="L113" s="383"/>
      <c r="M113" s="3126"/>
      <c r="N113" s="3127"/>
      <c r="P113" s="3126"/>
      <c r="Q113" s="3127"/>
      <c r="S113" s="3126">
        <v>0</v>
      </c>
      <c r="T113" s="3127"/>
      <c r="V113" s="3128"/>
      <c r="W113" s="3153"/>
      <c r="X113" s="3154"/>
    </row>
    <row r="114" spans="1:24" s="326" customFormat="1" ht="12.6" customHeight="1">
      <c r="B114" s="326" t="s">
        <v>1941</v>
      </c>
      <c r="F114" s="444">
        <f>IF($G$117=0,0,G114/$G$117)</f>
        <v>0</v>
      </c>
      <c r="G114" s="3126"/>
      <c r="H114" s="3127"/>
      <c r="J114" s="3126"/>
      <c r="K114" s="3127"/>
      <c r="L114" s="2019"/>
      <c r="M114" s="3126"/>
      <c r="N114" s="3127"/>
      <c r="P114" s="3126"/>
      <c r="Q114" s="3127"/>
      <c r="S114" s="3126"/>
      <c r="T114" s="3127"/>
      <c r="V114" s="3128"/>
      <c r="W114" s="3155"/>
      <c r="X114" s="3156"/>
    </row>
    <row r="115" spans="1:24" s="326" customFormat="1" ht="12.6" customHeight="1">
      <c r="B115" s="326" t="s">
        <v>4297</v>
      </c>
      <c r="F115" s="444">
        <f>IF($G$117=0,0,G115/$G$117)</f>
        <v>0</v>
      </c>
      <c r="G115" s="3126"/>
      <c r="H115" s="3127"/>
      <c r="J115" s="3126"/>
      <c r="K115" s="3127"/>
      <c r="L115" s="2019"/>
      <c r="M115" s="3126"/>
      <c r="N115" s="3127"/>
      <c r="P115" s="3126"/>
      <c r="Q115" s="3127"/>
      <c r="S115" s="3126"/>
      <c r="T115" s="3127"/>
      <c r="V115" s="3128"/>
      <c r="W115" s="3155"/>
      <c r="X115" s="3156"/>
    </row>
    <row r="116" spans="1:24" s="326" customFormat="1" ht="12.6" customHeight="1" thickBot="1">
      <c r="B116" s="326" t="s">
        <v>1933</v>
      </c>
      <c r="F116" s="444">
        <f>IF($G$117=0,0,G116/$G$117)</f>
        <v>0</v>
      </c>
      <c r="G116" s="3126"/>
      <c r="H116" s="3127"/>
      <c r="J116" s="3126"/>
      <c r="K116" s="3127"/>
      <c r="L116" s="2019"/>
      <c r="M116" s="3126"/>
      <c r="N116" s="3127"/>
      <c r="P116" s="3126"/>
      <c r="Q116" s="3127"/>
      <c r="S116" s="3126"/>
      <c r="T116" s="3127"/>
      <c r="V116" s="3128"/>
      <c r="W116" s="3155"/>
      <c r="X116" s="3156"/>
    </row>
    <row r="117" spans="1:24" s="326" customFormat="1" ht="12.6" customHeight="1" thickTop="1">
      <c r="C117" s="408" t="str">
        <f>IF(G117&lt;='DCA Underwriting Assumptions'!$Q$92,"","Developer Fee exceeds DCA Program Maximum !!!")</f>
        <v>Developer Fee exceeds DCA Program Maximum !!!</v>
      </c>
      <c r="F117" s="382" t="s">
        <v>198</v>
      </c>
      <c r="G117" s="2316">
        <f>SUM(G113:H116)</f>
        <v>2500000</v>
      </c>
      <c r="H117" s="2320"/>
      <c r="J117" s="2316">
        <f>SUM(J113:K116)</f>
        <v>2500000</v>
      </c>
      <c r="K117" s="2320"/>
      <c r="L117" s="2019"/>
      <c r="M117" s="2316">
        <f>SUM(M113:N116)</f>
        <v>0</v>
      </c>
      <c r="N117" s="2320"/>
      <c r="P117" s="2316">
        <f>SUM(P113:Q116)</f>
        <v>0</v>
      </c>
      <c r="Q117" s="2320"/>
      <c r="S117" s="2316">
        <f>SUM(S113:T116)</f>
        <v>0</v>
      </c>
      <c r="T117" s="2320"/>
      <c r="V117" s="3136">
        <f>SUM(V113:V116)</f>
        <v>0</v>
      </c>
      <c r="W117" s="3158"/>
      <c r="X117" s="3159"/>
    </row>
    <row r="118" spans="1:24" s="326" customFormat="1" ht="13.15" customHeight="1">
      <c r="B118" s="328" t="s">
        <v>1365</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263</v>
      </c>
      <c r="G119" s="3126">
        <v>75000</v>
      </c>
      <c r="H119" s="3127"/>
      <c r="J119" s="393"/>
      <c r="K119" s="393"/>
      <c r="L119" s="393"/>
      <c r="M119" s="393"/>
      <c r="N119" s="393"/>
      <c r="P119" s="393"/>
      <c r="Q119" s="393"/>
      <c r="S119" s="3126">
        <v>75000</v>
      </c>
      <c r="T119" s="3127"/>
      <c r="V119" s="3128"/>
      <c r="W119" s="3153"/>
      <c r="X119" s="3154"/>
    </row>
    <row r="120" spans="1:24" s="326" customFormat="1" ht="12.6" customHeight="1">
      <c r="B120" s="326" t="s">
        <v>1602</v>
      </c>
      <c r="F120" s="604">
        <f>+'Part VI-Revenues &amp; Expenses'!$P$176*('DCA Underwriting Assumptions'!$Q$105/12)</f>
        <v>192809</v>
      </c>
      <c r="G120" s="3126">
        <v>192809</v>
      </c>
      <c r="H120" s="3127"/>
      <c r="J120" s="2323"/>
      <c r="K120" s="2323"/>
      <c r="L120" s="2019"/>
      <c r="M120" s="2323"/>
      <c r="N120" s="2323"/>
      <c r="O120" s="2012"/>
      <c r="P120" s="2323"/>
      <c r="Q120" s="2323"/>
      <c r="R120" s="2012"/>
      <c r="S120" s="3126">
        <v>192809</v>
      </c>
      <c r="T120" s="3127"/>
      <c r="V120" s="3128"/>
      <c r="W120" s="3155"/>
      <c r="X120" s="3156"/>
    </row>
    <row r="121" spans="1:24" s="326" customFormat="1" ht="12.6" customHeight="1">
      <c r="B121" s="326" t="s">
        <v>711</v>
      </c>
      <c r="F121" s="605">
        <f>'Part VI-Revenues &amp; Expenses'!$P$176*('DCA Underwriting Assumptions'!$Q$104/12)+('Part VII-Pro Forma'!$B$23+'Part VII-Pro Forma'!$B$24+'Part VII-Pro Forma'!$B$25+'Part VII-Pro Forma'!$B$26)*'DCA Underwriting Assumptions'!$Q$103/(-12)</f>
        <v>617423.09771648666</v>
      </c>
      <c r="G121" s="3126">
        <v>617423</v>
      </c>
      <c r="H121" s="3127"/>
      <c r="J121" s="392"/>
      <c r="K121" s="392"/>
      <c r="L121" s="392"/>
      <c r="M121" s="392"/>
      <c r="N121" s="392"/>
      <c r="O121" s="2012"/>
      <c r="P121" s="392"/>
      <c r="Q121" s="392"/>
      <c r="R121" s="2012"/>
      <c r="S121" s="3126">
        <v>617423</v>
      </c>
      <c r="T121" s="3127"/>
      <c r="V121" s="3128"/>
      <c r="W121" s="3155"/>
      <c r="X121" s="3156"/>
    </row>
    <row r="122" spans="1:24" s="326" customFormat="1" ht="12.6" customHeight="1">
      <c r="B122" s="326" t="s">
        <v>1298</v>
      </c>
      <c r="G122" s="3126"/>
      <c r="H122" s="3127"/>
      <c r="J122" s="393"/>
      <c r="K122" s="393"/>
      <c r="L122" s="393"/>
      <c r="M122" s="393"/>
      <c r="N122" s="393"/>
      <c r="P122" s="393"/>
      <c r="Q122" s="393"/>
      <c r="S122" s="3126"/>
      <c r="T122" s="3127"/>
      <c r="V122" s="3128"/>
      <c r="W122" s="3155"/>
      <c r="X122" s="3156"/>
    </row>
    <row r="123" spans="1:24" s="326" customFormat="1" ht="12.6" customHeight="1">
      <c r="B123" s="326" t="s">
        <v>1299</v>
      </c>
      <c r="E123" s="1207" t="s">
        <v>4092</v>
      </c>
      <c r="F123" s="524">
        <f>IF('Part VI-Revenues &amp; Expenses'!$O$62=0,0,G123/'Part VI-Revenues &amp; Expenses'!$O$62)</f>
        <v>1234.5679012345679</v>
      </c>
      <c r="G123" s="3126">
        <v>200000</v>
      </c>
      <c r="H123" s="3127"/>
      <c r="J123" s="3126">
        <v>200000</v>
      </c>
      <c r="K123" s="3127"/>
      <c r="L123" s="2019"/>
      <c r="M123" s="3126"/>
      <c r="N123" s="3127"/>
      <c r="P123" s="3126"/>
      <c r="Q123" s="3127"/>
      <c r="S123" s="3126"/>
      <c r="T123" s="3127"/>
      <c r="V123" s="3128"/>
      <c r="W123" s="3155"/>
      <c r="X123" s="3156"/>
    </row>
    <row r="124" spans="1:24" s="326" customFormat="1" ht="12.6" customHeight="1" thickBot="1">
      <c r="A124" s="409" t="str">
        <f>IF(AND(G124&gt;0,OR(C124="",C124="&lt;Enter detailed description here; use Comments section if needed&gt;")),"X","")</f>
        <v/>
      </c>
      <c r="B124" s="326" t="s">
        <v>778</v>
      </c>
      <c r="C124" s="2888" t="s">
        <v>4753</v>
      </c>
      <c r="D124" s="2888"/>
      <c r="E124" s="2888"/>
      <c r="F124" s="2889"/>
      <c r="G124" s="3126">
        <v>60000</v>
      </c>
      <c r="H124" s="3127"/>
      <c r="J124" s="3126"/>
      <c r="K124" s="3127"/>
      <c r="L124" s="2019"/>
      <c r="M124" s="3126"/>
      <c r="N124" s="3127"/>
      <c r="P124" s="3126"/>
      <c r="Q124" s="3127"/>
      <c r="S124" s="3126">
        <v>60000</v>
      </c>
      <c r="T124" s="3127"/>
      <c r="U124" s="408" t="str">
        <f>IF(AND(G124&gt;0,OR(C124="",C124="&lt;Enter detailed description here; use Comments section if needed&gt;")),"NO DESCRIPTION PROVIDED - please enter detailed description in Other box at left; use Comments section below if needed.","")</f>
        <v/>
      </c>
      <c r="V124" s="3128"/>
      <c r="W124" s="3155"/>
      <c r="X124" s="3156"/>
    </row>
    <row r="125" spans="1:24" s="326" customFormat="1" ht="12.6" customHeight="1" thickTop="1">
      <c r="B125" s="394"/>
      <c r="F125" s="382" t="s">
        <v>198</v>
      </c>
      <c r="G125" s="2316">
        <f>SUM(G119:H124)</f>
        <v>1145232</v>
      </c>
      <c r="H125" s="2320"/>
      <c r="J125" s="2316">
        <f>SUM(J123:K124)</f>
        <v>200000</v>
      </c>
      <c r="K125" s="2320"/>
      <c r="L125" s="2019"/>
      <c r="M125" s="2316">
        <f>SUM(M123:N124)</f>
        <v>0</v>
      </c>
      <c r="N125" s="2320"/>
      <c r="P125" s="2316">
        <f>SUM(P123:Q124)</f>
        <v>0</v>
      </c>
      <c r="Q125" s="2320"/>
      <c r="S125" s="2316">
        <f>SUM(S119:T124)</f>
        <v>945232</v>
      </c>
      <c r="T125" s="2320"/>
      <c r="V125" s="3136">
        <f>SUM(V119:V124)</f>
        <v>0</v>
      </c>
      <c r="W125" s="3158"/>
      <c r="X125" s="3159"/>
    </row>
    <row r="126" spans="1:24" s="326" customFormat="1" ht="13.15" customHeight="1">
      <c r="B126" s="328" t="s">
        <v>640</v>
      </c>
      <c r="C126" s="2002"/>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641</v>
      </c>
      <c r="C127" s="2002"/>
      <c r="G127" s="3126"/>
      <c r="H127" s="3127"/>
      <c r="J127" s="3126"/>
      <c r="K127" s="3127"/>
      <c r="L127" s="383"/>
      <c r="M127" s="3126"/>
      <c r="N127" s="3127"/>
      <c r="P127" s="3126"/>
      <c r="Q127" s="3127"/>
      <c r="S127" s="3126"/>
      <c r="T127" s="3127"/>
      <c r="V127" s="3128"/>
      <c r="W127" s="3153"/>
      <c r="X127" s="3154"/>
    </row>
    <row r="128" spans="1:24" s="326" customFormat="1" ht="12.6" customHeight="1" thickBot="1">
      <c r="A128" s="409" t="str">
        <f>IF(AND(G128&gt;0,OR(C128="",C128="&lt;Enter detailed description here; use Comments section if needed&gt;")),"X","")</f>
        <v/>
      </c>
      <c r="B128" s="326" t="s">
        <v>778</v>
      </c>
      <c r="C128" s="2888" t="s">
        <v>2511</v>
      </c>
      <c r="D128" s="2888"/>
      <c r="E128" s="2888"/>
      <c r="F128" s="2889"/>
      <c r="G128" s="3126"/>
      <c r="H128" s="3127"/>
      <c r="J128" s="3126"/>
      <c r="K128" s="3127"/>
      <c r="L128" s="2019"/>
      <c r="M128" s="3126"/>
      <c r="N128" s="3127"/>
      <c r="P128" s="3126"/>
      <c r="Q128" s="3127"/>
      <c r="S128" s="3126"/>
      <c r="T128" s="3127"/>
      <c r="U128" s="408" t="str">
        <f>IF(AND(G128&gt;0,OR(C128="",C128="&lt;Enter detailed description here; use Comments section if needed&gt;")),"NO DESCRIPTION PROVIDED - please enter detailed description in Other box at left; use Comments section below if needed.","")</f>
        <v/>
      </c>
      <c r="V128" s="3128"/>
      <c r="W128" s="3155"/>
      <c r="X128" s="3156"/>
    </row>
    <row r="129" spans="1:24" s="326" customFormat="1" ht="12.6" customHeight="1" thickTop="1">
      <c r="C129" s="2002"/>
      <c r="F129" s="382" t="s">
        <v>198</v>
      </c>
      <c r="G129" s="2316">
        <f>SUM(G127:H128)</f>
        <v>0</v>
      </c>
      <c r="H129" s="2320"/>
      <c r="J129" s="2316">
        <f>SUM(J127:K128)</f>
        <v>0</v>
      </c>
      <c r="K129" s="2320"/>
      <c r="L129" s="2019"/>
      <c r="M129" s="2316">
        <f>SUM(M127:N128)</f>
        <v>0</v>
      </c>
      <c r="N129" s="2320"/>
      <c r="P129" s="2316">
        <f>SUM(P127:Q128)</f>
        <v>0</v>
      </c>
      <c r="Q129" s="2320"/>
      <c r="S129" s="2316">
        <f>SUM(S127:T128)</f>
        <v>0</v>
      </c>
      <c r="T129" s="2320"/>
      <c r="V129" s="3136">
        <f>SUM(V127:V128)</f>
        <v>0</v>
      </c>
      <c r="W129" s="3155"/>
      <c r="X129" s="3156"/>
    </row>
    <row r="130" spans="1:24" s="326" customFormat="1" ht="3" customHeight="1" thickBot="1">
      <c r="C130" s="2002"/>
      <c r="H130" s="390"/>
      <c r="I130" s="390"/>
      <c r="L130" s="2012"/>
      <c r="W130" s="3155"/>
      <c r="X130" s="3156"/>
    </row>
    <row r="131" spans="1:24" s="326" customFormat="1" ht="13.9" customHeight="1" thickBot="1">
      <c r="B131" s="332" t="s">
        <v>2992</v>
      </c>
      <c r="G131" s="2328">
        <f>G17+G23+G27+G33+G38+G41+G47+G64+G77+G83+G91+G105+G111+G117+G125+G129</f>
        <v>23748176.5</v>
      </c>
      <c r="H131" s="2329"/>
      <c r="J131" s="2328">
        <f>J17+J23+J27+J33+J38+J41+J47+J64+J77+J83+J91+J105+J111+J117+J125+J129</f>
        <v>20581941.5</v>
      </c>
      <c r="K131" s="2329"/>
      <c r="M131" s="2328">
        <f>M17+M23+M27+M33+M38+M41+M47+M64+M77+M83+M91+M105+M111+M117+M125+M129</f>
        <v>0</v>
      </c>
      <c r="N131" s="2329"/>
      <c r="P131" s="2328">
        <f>P17+P23+P27+P33+P38+P41+P47+P64+P77+P83+P91+P105+P111+P117+P125+P129</f>
        <v>0</v>
      </c>
      <c r="Q131" s="2329"/>
      <c r="S131" s="2328">
        <f>S17+S23+S27+S33+S38+S41+S47+S64+S77+S83+S91+S105+S111+S117+S125+S129</f>
        <v>3166235</v>
      </c>
      <c r="T131" s="2329"/>
      <c r="V131" s="3160">
        <f>V17+V23+V27+V33+V38+V41+V47+V64+V77+V83+V91+V105+V111+V117+V125+V129</f>
        <v>0</v>
      </c>
      <c r="W131" s="3161"/>
      <c r="X131" s="3159"/>
    </row>
    <row r="132" spans="1:24" s="326" customFormat="1" ht="3" customHeight="1">
      <c r="C132" s="2002"/>
      <c r="H132" s="390"/>
      <c r="I132" s="390"/>
      <c r="L132" s="2012"/>
    </row>
    <row r="133" spans="1:24" s="326" customFormat="1" ht="13.9" customHeight="1">
      <c r="B133" s="615" t="s">
        <v>2969</v>
      </c>
      <c r="C133" s="613"/>
      <c r="D133" s="2358">
        <f>IF('Part VI-Revenues &amp; Expenses'!$O$62=0,0,G131/'Part VI-Revenues &amp; Expenses'!$O$62)</f>
        <v>146593.68209876542</v>
      </c>
      <c r="E133" s="2358"/>
      <c r="F133" s="614" t="s">
        <v>2968</v>
      </c>
      <c r="G133" s="2335">
        <f>IF('Part I-Project Information'!$P$60=0,0,G131/'Part I-Project Information'!$P$60)</f>
        <v>176.75166159319434</v>
      </c>
      <c r="H133" s="2336"/>
      <c r="I133" s="395"/>
    </row>
    <row r="134" spans="1:24" s="326" customFormat="1" ht="3" customHeight="1">
      <c r="I134" s="395"/>
      <c r="L134" s="395"/>
    </row>
    <row r="135" spans="1:24" s="326" customFormat="1" ht="3.6" customHeight="1" thickBot="1">
      <c r="D135" s="2002"/>
      <c r="E135" s="2002"/>
      <c r="I135" s="390"/>
      <c r="J135" s="390"/>
      <c r="K135" s="396"/>
      <c r="L135" s="331"/>
      <c r="P135" s="2012"/>
    </row>
    <row r="136" spans="1:24" s="326" customFormat="1" ht="25.9" customHeight="1">
      <c r="A136" s="470" t="s">
        <v>777</v>
      </c>
      <c r="B136" s="472" t="s">
        <v>1488</v>
      </c>
      <c r="C136" s="1292"/>
      <c r="D136" s="2019"/>
      <c r="E136" s="2019"/>
      <c r="F136" s="2019"/>
      <c r="G136" s="2012"/>
      <c r="H136" s="2012"/>
      <c r="I136" s="397"/>
      <c r="J136" s="2324" t="s">
        <v>284</v>
      </c>
      <c r="K136" s="2325"/>
      <c r="M136" s="2324" t="s">
        <v>102</v>
      </c>
      <c r="N136" s="2325"/>
      <c r="P136" s="2324" t="s">
        <v>285</v>
      </c>
      <c r="Q136" s="2325"/>
      <c r="W136" s="471" t="str">
        <f>B136</f>
        <v>TAX CREDIT CALCULATION - BASIS METHOD</v>
      </c>
    </row>
    <row r="137" spans="1:24" s="326" customFormat="1" ht="15" customHeight="1" thickBot="1">
      <c r="B137" s="332" t="s">
        <v>2132</v>
      </c>
      <c r="D137" s="2019"/>
      <c r="E137" s="2019"/>
      <c r="I137" s="397"/>
      <c r="J137" s="2326"/>
      <c r="K137" s="2327"/>
      <c r="L137" s="1292"/>
      <c r="M137" s="2326"/>
      <c r="N137" s="2327"/>
      <c r="P137" s="2326"/>
      <c r="Q137" s="2327"/>
      <c r="W137" s="326" t="str">
        <f>B137</f>
        <v>Subtractions From Eligible Basis</v>
      </c>
      <c r="X137" s="368"/>
    </row>
    <row r="138" spans="1:24" s="326" customFormat="1" ht="6" customHeight="1">
      <c r="D138" s="2002"/>
      <c r="E138" s="2002"/>
      <c r="I138" s="390"/>
      <c r="J138" s="390"/>
      <c r="K138" s="396"/>
      <c r="L138" s="331"/>
      <c r="P138" s="2012"/>
    </row>
    <row r="139" spans="1:24" s="326" customFormat="1" ht="13.9" customHeight="1">
      <c r="B139" s="2002" t="s">
        <v>146</v>
      </c>
      <c r="D139" s="2012"/>
      <c r="E139" s="2012"/>
      <c r="F139" s="2012"/>
      <c r="G139" s="2012"/>
      <c r="H139" s="2012"/>
      <c r="I139" s="397"/>
      <c r="J139" s="3162"/>
      <c r="K139" s="3163"/>
      <c r="P139" s="3162"/>
      <c r="Q139" s="3163"/>
      <c r="V139" s="3128"/>
      <c r="W139" s="3153"/>
      <c r="X139" s="3154"/>
    </row>
    <row r="140" spans="1:24" s="326" customFormat="1" ht="13.9" customHeight="1">
      <c r="B140" s="2012" t="s">
        <v>2240</v>
      </c>
      <c r="D140" s="2012"/>
      <c r="E140" s="2012"/>
      <c r="F140" s="2012"/>
      <c r="G140" s="2012"/>
      <c r="H140" s="2012"/>
      <c r="I140" s="397"/>
      <c r="J140" s="3162"/>
      <c r="K140" s="3163"/>
      <c r="P140" s="3162"/>
      <c r="Q140" s="3163"/>
      <c r="V140" s="3128"/>
      <c r="W140" s="3155"/>
      <c r="X140" s="3156"/>
    </row>
    <row r="141" spans="1:24" s="326" customFormat="1" ht="13.9" customHeight="1">
      <c r="B141" s="2012" t="s">
        <v>1943</v>
      </c>
      <c r="D141" s="2012"/>
      <c r="E141" s="2012"/>
      <c r="I141" s="397"/>
      <c r="J141" s="3162"/>
      <c r="K141" s="3163"/>
      <c r="P141" s="3162"/>
      <c r="Q141" s="3163"/>
      <c r="V141" s="3128"/>
      <c r="W141" s="3155"/>
      <c r="X141" s="3156"/>
    </row>
    <row r="142" spans="1:24" s="326" customFormat="1" ht="13.9" customHeight="1">
      <c r="B142" s="2012" t="s">
        <v>1944</v>
      </c>
      <c r="D142" s="2012"/>
      <c r="E142" s="2012"/>
      <c r="I142" s="397"/>
      <c r="J142" s="3162"/>
      <c r="K142" s="3163"/>
      <c r="P142" s="3162"/>
      <c r="Q142" s="3163"/>
      <c r="V142" s="3128"/>
      <c r="W142" s="3155"/>
      <c r="X142" s="3156"/>
    </row>
    <row r="143" spans="1:24" s="326" customFormat="1" ht="13.9" customHeight="1">
      <c r="B143" s="2012" t="s">
        <v>266</v>
      </c>
      <c r="D143" s="2012"/>
      <c r="E143" s="2012"/>
      <c r="I143" s="397"/>
      <c r="J143" s="3162"/>
      <c r="K143" s="3163"/>
      <c r="P143" s="3162"/>
      <c r="Q143" s="3163"/>
      <c r="V143" s="3128"/>
      <c r="W143" s="3155"/>
      <c r="X143" s="3156"/>
    </row>
    <row r="144" spans="1:24" s="326" customFormat="1" ht="13.9" customHeight="1" thickBot="1">
      <c r="B144" s="2012" t="s">
        <v>1669</v>
      </c>
      <c r="C144" s="2888" t="s">
        <v>2511</v>
      </c>
      <c r="D144" s="2888"/>
      <c r="E144" s="2888"/>
      <c r="F144" s="2888"/>
      <c r="G144" s="2888"/>
      <c r="H144" s="2888"/>
      <c r="I144" s="2889"/>
      <c r="J144" s="3162"/>
      <c r="K144" s="3163"/>
      <c r="P144" s="3162"/>
      <c r="Q144" s="3163"/>
      <c r="V144" s="3128"/>
      <c r="W144" s="3155"/>
      <c r="X144" s="3156"/>
    </row>
    <row r="145" spans="1:24" s="326" customFormat="1" ht="13.9" customHeight="1" thickBot="1">
      <c r="B145" s="337" t="s">
        <v>1945</v>
      </c>
      <c r="C145" s="340"/>
      <c r="J145" s="2279">
        <f>SUM(J139:K144)</f>
        <v>0</v>
      </c>
      <c r="K145" s="2280"/>
      <c r="P145" s="2279">
        <f>SUM(P139:Q144)</f>
        <v>0</v>
      </c>
      <c r="Q145" s="2280"/>
      <c r="V145" s="3136">
        <f>SUM(V139:V144)</f>
        <v>0</v>
      </c>
      <c r="W145" s="3158"/>
      <c r="X145" s="3159"/>
    </row>
    <row r="146" spans="1:24" s="326" customFormat="1" ht="3" customHeight="1"/>
    <row r="147" spans="1:24" s="326" customFormat="1" ht="15" customHeight="1" thickBot="1">
      <c r="B147" s="328" t="s">
        <v>2432</v>
      </c>
      <c r="W147" s="326" t="str">
        <f>B147</f>
        <v>Eligible Basis Calculation</v>
      </c>
    </row>
    <row r="148" spans="1:24" s="326" customFormat="1" ht="13.9" customHeight="1">
      <c r="B148" s="326" t="s">
        <v>1866</v>
      </c>
      <c r="J148" s="2382">
        <f>J131</f>
        <v>20581941.5</v>
      </c>
      <c r="K148" s="2383"/>
      <c r="M148" s="2384">
        <f>M131</f>
        <v>0</v>
      </c>
      <c r="N148" s="2385"/>
      <c r="P148" s="2382">
        <f>P131</f>
        <v>0</v>
      </c>
      <c r="Q148" s="2383"/>
      <c r="V148" s="3128"/>
      <c r="W148" s="3153"/>
      <c r="X148" s="3154"/>
    </row>
    <row r="149" spans="1:24" s="326" customFormat="1" ht="13.9" customHeight="1">
      <c r="B149" s="326" t="s">
        <v>2310</v>
      </c>
      <c r="J149" s="2330">
        <f>J145</f>
        <v>0</v>
      </c>
      <c r="K149" s="2331"/>
      <c r="M149" s="2334"/>
      <c r="N149" s="2334"/>
      <c r="P149" s="2330">
        <f>P145</f>
        <v>0</v>
      </c>
      <c r="Q149" s="2331"/>
      <c r="V149" s="3128"/>
      <c r="W149" s="3155"/>
      <c r="X149" s="3156"/>
    </row>
    <row r="150" spans="1:24" s="326" customFormat="1" ht="13.9" customHeight="1">
      <c r="B150" s="326" t="s">
        <v>2311</v>
      </c>
      <c r="J150" s="2330">
        <f>J148-J149</f>
        <v>20581941.5</v>
      </c>
      <c r="K150" s="2331"/>
      <c r="M150" s="2330">
        <f>M148</f>
        <v>0</v>
      </c>
      <c r="N150" s="2331"/>
      <c r="P150" s="2330">
        <f>P148-P149</f>
        <v>0</v>
      </c>
      <c r="Q150" s="2331"/>
      <c r="V150" s="3128"/>
      <c r="W150" s="3155"/>
      <c r="X150" s="3156"/>
    </row>
    <row r="151" spans="1:24" s="326" customFormat="1" ht="13.9" customHeight="1">
      <c r="B151" s="326" t="s">
        <v>1551</v>
      </c>
      <c r="G151" s="2003" t="s">
        <v>1788</v>
      </c>
      <c r="H151" s="2880" t="s">
        <v>4699</v>
      </c>
      <c r="I151" s="2881"/>
      <c r="J151" s="3164">
        <v>1.3</v>
      </c>
      <c r="K151" s="3165"/>
      <c r="M151" s="2381"/>
      <c r="N151" s="2381"/>
      <c r="P151" s="3164"/>
      <c r="Q151" s="3165"/>
      <c r="V151" s="3128"/>
      <c r="W151" s="3155"/>
      <c r="X151" s="3156"/>
    </row>
    <row r="152" spans="1:24" s="326" customFormat="1" ht="13.9" customHeight="1">
      <c r="B152" s="326" t="s">
        <v>2142</v>
      </c>
      <c r="J152" s="2330">
        <f>J150*J151</f>
        <v>26756523.949999999</v>
      </c>
      <c r="K152" s="2331"/>
      <c r="M152" s="2330">
        <f>+M150</f>
        <v>0</v>
      </c>
      <c r="N152" s="2331"/>
      <c r="P152" s="2330">
        <f>P150*P151</f>
        <v>0</v>
      </c>
      <c r="Q152" s="2331"/>
      <c r="V152" s="3128"/>
      <c r="W152" s="3155"/>
      <c r="X152" s="3156"/>
    </row>
    <row r="153" spans="1:24" s="326" customFormat="1" ht="13.9" customHeight="1">
      <c r="B153" s="326" t="s">
        <v>2641</v>
      </c>
      <c r="J153" s="2332">
        <f>MIN('Part VI-Revenues &amp; Expenses'!$O$58/'Part VI-Revenues &amp; Expenses'!$O$60,'Part VI-Revenues &amp; Expenses'!$O$115/'Part VI-Revenues &amp; Expenses'!$O$117)</f>
        <v>1</v>
      </c>
      <c r="K153" s="2333"/>
      <c r="M153" s="2332">
        <f>MIN('Part VI-Revenues &amp; Expenses'!$O$58/'Part VI-Revenues &amp; Expenses'!$O$60,'Part VI-Revenues &amp; Expenses'!$O$115/'Part VI-Revenues &amp; Expenses'!$O$117)</f>
        <v>1</v>
      </c>
      <c r="N153" s="2333"/>
      <c r="P153" s="2332">
        <f>MIN('Part VI-Revenues &amp; Expenses'!$O$58/'Part VI-Revenues &amp; Expenses'!$O$60,'Part VI-Revenues &amp; Expenses'!$O$115/'Part VI-Revenues &amp; Expenses'!$O$117)</f>
        <v>1</v>
      </c>
      <c r="Q153" s="2333"/>
      <c r="V153" s="3128"/>
      <c r="W153" s="3155"/>
      <c r="X153" s="3156"/>
    </row>
    <row r="154" spans="1:24" s="326" customFormat="1" ht="13.9" customHeight="1">
      <c r="B154" s="326" t="s">
        <v>2133</v>
      </c>
      <c r="J154" s="2330">
        <f>J152*J153</f>
        <v>26756523.949999999</v>
      </c>
      <c r="K154" s="2331"/>
      <c r="M154" s="2330">
        <f>M152*M153</f>
        <v>0</v>
      </c>
      <c r="N154" s="2331"/>
      <c r="P154" s="2330">
        <f>P152*P153</f>
        <v>0</v>
      </c>
      <c r="Q154" s="2331"/>
      <c r="V154" s="3128"/>
      <c r="W154" s="3155"/>
      <c r="X154" s="3156"/>
    </row>
    <row r="155" spans="1:24" s="326" customFormat="1" ht="13.9" customHeight="1">
      <c r="B155" s="326" t="s">
        <v>2134</v>
      </c>
      <c r="J155" s="3164">
        <v>3.1899999999999998E-2</v>
      </c>
      <c r="K155" s="3165"/>
      <c r="M155" s="3164"/>
      <c r="N155" s="3165"/>
      <c r="P155" s="3164"/>
      <c r="Q155" s="3165"/>
      <c r="V155" s="3128"/>
      <c r="W155" s="3155"/>
      <c r="X155" s="3156"/>
    </row>
    <row r="156" spans="1:24" s="326" customFormat="1" ht="13.9" customHeight="1" thickBot="1">
      <c r="B156" s="326" t="s">
        <v>2642</v>
      </c>
      <c r="J156" s="2379">
        <f>J154*J155</f>
        <v>853533.11400499986</v>
      </c>
      <c r="K156" s="2380"/>
      <c r="M156" s="2379">
        <f>M154*M155</f>
        <v>0</v>
      </c>
      <c r="N156" s="2380"/>
      <c r="P156" s="2379">
        <f>P154*P155</f>
        <v>0</v>
      </c>
      <c r="Q156" s="2380"/>
      <c r="V156" s="3166"/>
      <c r="W156" s="3155"/>
      <c r="X156" s="3156"/>
    </row>
    <row r="157" spans="1:24" s="326" customFormat="1" ht="13.9" customHeight="1" thickBot="1">
      <c r="B157" s="328" t="s">
        <v>1486</v>
      </c>
      <c r="J157" s="2279">
        <f>J156+M156+P156</f>
        <v>853533.11400499986</v>
      </c>
      <c r="K157" s="2357"/>
      <c r="L157" s="2357"/>
      <c r="M157" s="2357"/>
      <c r="N157" s="2357"/>
      <c r="O157" s="2357"/>
      <c r="P157" s="2357"/>
      <c r="Q157" s="2280"/>
      <c r="V157" s="3128"/>
      <c r="W157" s="3158"/>
      <c r="X157" s="3159"/>
    </row>
    <row r="158" spans="1:24" s="326" customFormat="1" ht="6" customHeight="1">
      <c r="B158" s="398"/>
      <c r="L158" s="399"/>
      <c r="M158" s="399"/>
      <c r="N158" s="399"/>
      <c r="O158" s="399"/>
    </row>
    <row r="159" spans="1:24" s="326" customFormat="1" ht="13.9" customHeight="1">
      <c r="A159" s="471" t="s">
        <v>779</v>
      </c>
      <c r="B159" s="471" t="s">
        <v>1489</v>
      </c>
      <c r="H159" s="390"/>
      <c r="I159" s="390"/>
      <c r="L159" s="2012"/>
      <c r="M159" s="541"/>
      <c r="N159" s="2012"/>
      <c r="O159" s="2012"/>
      <c r="P159" s="2012"/>
      <c r="Q159" s="2012"/>
      <c r="R159" s="2012"/>
      <c r="S159" s="2012"/>
      <c r="T159" s="2012"/>
    </row>
    <row r="160" spans="1:24" s="326" customFormat="1" ht="15" customHeight="1" thickBot="1">
      <c r="B160" s="328" t="s">
        <v>180</v>
      </c>
      <c r="H160" s="297"/>
      <c r="M160" s="541"/>
      <c r="N160" s="2012"/>
      <c r="O160" s="2012"/>
      <c r="P160" s="2012"/>
      <c r="Q160" s="2012"/>
      <c r="R160" s="2012"/>
      <c r="S160" s="2012"/>
      <c r="T160" s="2012"/>
      <c r="W160" s="471" t="str">
        <f>B159</f>
        <v>TAX CREDIT CALCULATION - GAP METHOD</v>
      </c>
    </row>
    <row r="161" spans="1:24" s="326" customFormat="1" ht="15" customHeight="1">
      <c r="B161" s="319" t="s">
        <v>2993</v>
      </c>
      <c r="G161" s="2368" t="str">
        <f>IF(J162&gt;J161,"TDC exceeds QAP PUCL!","")</f>
        <v/>
      </c>
      <c r="H161" s="2368"/>
      <c r="I161" s="2369"/>
      <c r="J161" s="2370">
        <f>'Part VIII-Threshold Criteria'!$P$65</f>
        <v>26262265</v>
      </c>
      <c r="K161" s="2371"/>
      <c r="L161" s="2372"/>
      <c r="M161" s="2362" t="s">
        <v>2886</v>
      </c>
      <c r="N161" s="2363"/>
      <c r="O161" s="2363"/>
      <c r="P161" s="2363"/>
      <c r="Q161" s="2363"/>
      <c r="R161" s="2364"/>
      <c r="S161" s="2362" t="s">
        <v>4466</v>
      </c>
      <c r="T161" s="2364"/>
      <c r="V161" s="3128"/>
      <c r="W161" s="3153"/>
      <c r="X161" s="3154"/>
    </row>
    <row r="162" spans="1:24" s="326" customFormat="1" ht="13.9" customHeight="1">
      <c r="B162" s="326" t="s">
        <v>2888</v>
      </c>
      <c r="J162" s="3167">
        <f>MIN(G131,J161,(G131-O164))</f>
        <v>23748176.5</v>
      </c>
      <c r="K162" s="3168"/>
      <c r="L162" s="3169"/>
      <c r="M162" s="2365"/>
      <c r="N162" s="2366"/>
      <c r="O162" s="2366"/>
      <c r="P162" s="2366"/>
      <c r="Q162" s="2366"/>
      <c r="R162" s="2367"/>
      <c r="S162" s="2365"/>
      <c r="T162" s="2367"/>
      <c r="V162" s="3128"/>
      <c r="W162" s="3155"/>
      <c r="X162" s="3156"/>
    </row>
    <row r="163" spans="1:24" s="326" customFormat="1" ht="13.9" customHeight="1">
      <c r="B163" s="326" t="s">
        <v>276</v>
      </c>
      <c r="J163" s="2330">
        <f>'Part III-Sources of Funds'!$I$54-'Part III-Sources of Funds'!$I$41-'Part III-Sources of Funds'!$I$42-'Part III-Sources of Funds'!$I$45-'Part III-Sources of Funds'!$I$46</f>
        <v>9676515</v>
      </c>
      <c r="K163" s="2334"/>
      <c r="L163" s="2373"/>
      <c r="M163" s="2365"/>
      <c r="N163" s="2366"/>
      <c r="O163" s="2366"/>
      <c r="P163" s="2366"/>
      <c r="Q163" s="2366"/>
      <c r="R163" s="2367"/>
      <c r="S163" s="2365"/>
      <c r="T163" s="2367"/>
      <c r="V163" s="3128"/>
      <c r="W163" s="3155"/>
      <c r="X163" s="3156"/>
    </row>
    <row r="164" spans="1:24" s="326" customFormat="1" ht="13.9" customHeight="1" thickBot="1">
      <c r="B164" s="326" t="s">
        <v>2322</v>
      </c>
      <c r="J164" s="2330">
        <f>+J162-J163</f>
        <v>14071661.5</v>
      </c>
      <c r="K164" s="2334"/>
      <c r="L164" s="2373"/>
      <c r="M164" s="2390" t="s">
        <v>2887</v>
      </c>
      <c r="N164" s="2391"/>
      <c r="O164" s="2374">
        <f>'Part III-Sources of Funds'!$I$41</f>
        <v>0</v>
      </c>
      <c r="P164" s="2374"/>
      <c r="Q164" s="2374"/>
      <c r="R164" s="2375"/>
      <c r="S164" s="456" t="s">
        <v>1731</v>
      </c>
      <c r="T164" s="3170"/>
      <c r="V164" s="3128"/>
      <c r="W164" s="3155"/>
      <c r="X164" s="3156"/>
    </row>
    <row r="165" spans="1:24" s="326" customFormat="1" ht="13.9" customHeight="1">
      <c r="B165" s="326" t="s">
        <v>1342</v>
      </c>
      <c r="J165" s="2386" t="str">
        <f>"/ 10"</f>
        <v>/ 10</v>
      </c>
      <c r="K165" s="2386"/>
      <c r="L165" s="2386"/>
      <c r="M165" s="2012"/>
      <c r="N165" s="538"/>
      <c r="O165" s="538"/>
      <c r="P165" s="538"/>
      <c r="Q165" s="538"/>
      <c r="R165" s="538"/>
      <c r="W165" s="3155"/>
      <c r="X165" s="3156"/>
    </row>
    <row r="166" spans="1:24" s="326" customFormat="1" ht="13.9" customHeight="1">
      <c r="B166" s="326" t="s">
        <v>1343</v>
      </c>
      <c r="J166" s="2330">
        <f>J164/10</f>
        <v>1407166.15</v>
      </c>
      <c r="K166" s="2334"/>
      <c r="L166" s="2331"/>
      <c r="M166" s="345"/>
      <c r="N166" s="2207" t="s">
        <v>1344</v>
      </c>
      <c r="O166" s="2207"/>
      <c r="Q166" s="2207" t="s">
        <v>1875</v>
      </c>
      <c r="R166" s="2207"/>
      <c r="V166" s="3128"/>
      <c r="W166" s="3155"/>
      <c r="X166" s="3156"/>
    </row>
    <row r="167" spans="1:24" s="326" customFormat="1" ht="13.9" customHeight="1" thickBot="1">
      <c r="B167" s="326" t="s">
        <v>1550</v>
      </c>
      <c r="J167" s="2376">
        <f>N167+Q167</f>
        <v>1.6</v>
      </c>
      <c r="K167" s="2377"/>
      <c r="L167" s="2378"/>
      <c r="M167" s="2003" t="s">
        <v>1345</v>
      </c>
      <c r="N167" s="3171">
        <v>1.05</v>
      </c>
      <c r="O167" s="3172"/>
      <c r="P167" s="2003" t="s">
        <v>642</v>
      </c>
      <c r="Q167" s="3171">
        <v>0.55000000000000004</v>
      </c>
      <c r="R167" s="3172"/>
      <c r="V167" s="3128"/>
      <c r="W167" s="3155"/>
      <c r="X167" s="3156"/>
    </row>
    <row r="168" spans="1:24" s="326" customFormat="1" ht="13.9" customHeight="1" thickBot="1">
      <c r="B168" s="328" t="s">
        <v>1487</v>
      </c>
      <c r="J168" s="2279">
        <f>IF(J167=0,"",J166/J167)</f>
        <v>879478.84374999988</v>
      </c>
      <c r="K168" s="2357"/>
      <c r="L168" s="2280"/>
      <c r="M168" s="345"/>
      <c r="N168" s="2012"/>
      <c r="O168" s="2012"/>
      <c r="V168" s="3128"/>
      <c r="W168" s="3155"/>
      <c r="X168" s="3156"/>
    </row>
    <row r="169" spans="1:24" s="326" customFormat="1" ht="6" customHeight="1">
      <c r="J169" s="400"/>
      <c r="K169" s="400"/>
      <c r="L169" s="400"/>
      <c r="M169" s="345"/>
      <c r="N169" s="2009"/>
      <c r="O169" s="2009"/>
      <c r="W169" s="3155"/>
      <c r="X169" s="3156"/>
    </row>
    <row r="170" spans="1:24" s="326" customFormat="1" ht="16.149999999999999" customHeight="1">
      <c r="B170" s="328" t="s">
        <v>3183</v>
      </c>
      <c r="J170" s="238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853533.11400499986</v>
      </c>
      <c r="K170" s="2388"/>
      <c r="L170" s="2389"/>
      <c r="M170" s="345"/>
      <c r="N170" s="2009"/>
      <c r="O170" s="2009"/>
      <c r="V170" s="3128"/>
      <c r="W170" s="3155"/>
      <c r="X170" s="3156"/>
    </row>
    <row r="171" spans="1:24" s="326" customFormat="1" ht="3" customHeight="1">
      <c r="J171" s="400"/>
      <c r="K171" s="400"/>
      <c r="L171" s="400"/>
      <c r="M171" s="345"/>
      <c r="N171" s="2009"/>
      <c r="O171" s="2009"/>
      <c r="W171" s="3155"/>
      <c r="X171" s="3156"/>
    </row>
    <row r="172" spans="1:24" s="326" customFormat="1" ht="16.149999999999999" customHeight="1">
      <c r="B172" s="328" t="s">
        <v>363</v>
      </c>
      <c r="J172" s="3173">
        <v>853533</v>
      </c>
      <c r="K172" s="3174"/>
      <c r="L172" s="3175"/>
      <c r="M172" s="401" t="str">
        <f>IF(J170=0,"",IF(J172&gt;J170,"ALLOCATION CANNOT EXCEED MAXIMUM - REVISE REQUEST!",""))</f>
        <v/>
      </c>
      <c r="N172" s="2009"/>
      <c r="O172" s="2009"/>
      <c r="V172" s="3128"/>
      <c r="W172" s="3155"/>
      <c r="X172" s="3156"/>
    </row>
    <row r="173" spans="1:24" s="326" customFormat="1" ht="3" customHeight="1">
      <c r="J173" s="400"/>
      <c r="K173" s="400"/>
      <c r="L173" s="400"/>
      <c r="M173" s="345"/>
      <c r="N173" s="2009"/>
      <c r="O173" s="2009"/>
      <c r="W173" s="3155"/>
      <c r="X173" s="3156"/>
    </row>
    <row r="174" spans="1:24" s="326" customFormat="1" ht="16.149999999999999" customHeight="1">
      <c r="A174" s="471" t="s">
        <v>1868</v>
      </c>
      <c r="B174" s="471" t="s">
        <v>2720</v>
      </c>
      <c r="D174" s="345"/>
      <c r="E174" s="345"/>
      <c r="F174" s="331"/>
      <c r="J174" s="2359">
        <f>IF(J172="",0,+MIN(J170,J172))</f>
        <v>853533</v>
      </c>
      <c r="K174" s="2360"/>
      <c r="L174" s="2361"/>
      <c r="N174" s="3176"/>
      <c r="O174" s="3176"/>
      <c r="P174" s="3176"/>
      <c r="Q174" s="3176"/>
      <c r="R174" s="3176"/>
      <c r="S174" s="3176"/>
      <c r="T174" s="3176"/>
      <c r="V174" s="3128"/>
      <c r="W174" s="3158"/>
      <c r="X174" s="3159"/>
    </row>
    <row r="175" spans="1:24" ht="3" customHeight="1"/>
    <row r="176" spans="1:24" ht="6" customHeight="1"/>
    <row r="177" spans="1:24" ht="12" customHeight="1">
      <c r="A177" s="328" t="s">
        <v>1870</v>
      </c>
      <c r="B177" s="354" t="s">
        <v>599</v>
      </c>
      <c r="K177" s="328" t="s">
        <v>555</v>
      </c>
      <c r="L177" s="328" t="s">
        <v>81</v>
      </c>
    </row>
    <row r="178" spans="1:24" ht="201" customHeight="1">
      <c r="A178" s="3177" t="s">
        <v>153</v>
      </c>
      <c r="B178" s="3178"/>
      <c r="C178" s="3178"/>
      <c r="D178" s="3178"/>
      <c r="E178" s="3178"/>
      <c r="F178" s="3178"/>
      <c r="G178" s="3178"/>
      <c r="H178" s="3178"/>
      <c r="I178" s="3178"/>
      <c r="J178" s="3179"/>
      <c r="K178" s="3180"/>
      <c r="L178" s="3181"/>
      <c r="M178" s="3181"/>
      <c r="N178" s="3181"/>
      <c r="O178" s="3181"/>
      <c r="P178" s="3181"/>
      <c r="Q178" s="3181"/>
      <c r="R178" s="3181"/>
      <c r="S178" s="3181"/>
      <c r="T178" s="3182"/>
      <c r="W178" s="2291" t="s">
        <v>2811</v>
      </c>
      <c r="X178" s="2291"/>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45"/>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nPuCOYtIvSpD/ooOrPlu+hDeeQQjkcHpLLHgLucywCxOvFH3A5Gl3TXx4C/h2Xqpqq2j/QzRS87OyBwfzikdPg==" saltValue="Ss42NQEckDZxiRoRz7DtSw==" spinCount="100000" sheet="1" objects="1" scenarios="1" formatCells="0" formatColumns="0" formatRows="0"/>
  <mergeCells count="565">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S68:T68"/>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393" t="str">
        <f>CONCATENATE("PART FIVE - UTILITY ALLOWANCES","  -  ",'Part I-Project Information'!$O$4," ",'Part I-Project Information'!$F$24,", ",'Part I-Project Information'!F28,", ",'Part I-Project Information'!J29," County")</f>
        <v>PART FIVE - UTILITY ALLOWANCES  -  2016-508 Gateway Capitol View, Atlanta, Fulton County</v>
      </c>
      <c r="B1" s="2394"/>
      <c r="C1" s="2394"/>
      <c r="D1" s="2394"/>
      <c r="E1" s="2394"/>
      <c r="F1" s="2394"/>
      <c r="G1" s="2394"/>
      <c r="H1" s="2394"/>
      <c r="I1" s="2394"/>
      <c r="J1" s="2394"/>
      <c r="K1" s="2394"/>
      <c r="L1" s="2394"/>
      <c r="M1" s="2394"/>
      <c r="N1" s="10"/>
      <c r="O1" s="10"/>
      <c r="P1" s="10"/>
      <c r="Q1" s="10"/>
      <c r="R1" s="17"/>
      <c r="S1" s="17"/>
      <c r="T1" s="17"/>
    </row>
    <row r="2" spans="1:20" s="8" customFormat="1"/>
    <row r="3" spans="1:20" s="8" customFormat="1">
      <c r="F3" s="4" t="s">
        <v>540</v>
      </c>
      <c r="I3" s="2037" t="str">
        <f>VLOOKUP('Part I-Project Information'!$J$29,'DCA Underwriting Assumptions'!$G$141:$H$300,2)</f>
        <v>Middle</v>
      </c>
    </row>
    <row r="4" spans="1:20" s="8" customFormat="1"/>
    <row r="5" spans="1:20" s="8" customFormat="1">
      <c r="A5" s="14" t="s">
        <v>646</v>
      </c>
      <c r="B5" s="14" t="s">
        <v>2317</v>
      </c>
      <c r="F5" s="8" t="s">
        <v>2618</v>
      </c>
      <c r="I5" s="3183" t="s">
        <v>4747</v>
      </c>
      <c r="J5" s="3184"/>
      <c r="K5" s="3184"/>
      <c r="L5" s="3184"/>
      <c r="M5" s="3185"/>
    </row>
    <row r="6" spans="1:20" s="8" customFormat="1" ht="13.15" customHeight="1">
      <c r="A6" s="14"/>
      <c r="F6" s="8" t="s">
        <v>666</v>
      </c>
      <c r="H6" s="28"/>
      <c r="I6" s="3186">
        <v>42415</v>
      </c>
      <c r="J6" s="3187"/>
      <c r="K6" s="65" t="s">
        <v>565</v>
      </c>
      <c r="L6" s="3188" t="s">
        <v>4700</v>
      </c>
      <c r="M6" s="3185"/>
    </row>
    <row r="7" spans="1:20" s="8" customFormat="1" ht="6" customHeight="1">
      <c r="A7" s="14"/>
    </row>
    <row r="8" spans="1:20" s="14" customFormat="1">
      <c r="B8" s="266"/>
      <c r="C8" s="266"/>
      <c r="D8" s="266"/>
      <c r="E8" s="266"/>
      <c r="F8" s="2396" t="s">
        <v>639</v>
      </c>
      <c r="G8" s="2396"/>
      <c r="I8" s="2395" t="s">
        <v>207</v>
      </c>
      <c r="J8" s="2395"/>
      <c r="K8" s="2395"/>
      <c r="L8" s="2395"/>
      <c r="M8" s="2395"/>
    </row>
    <row r="9" spans="1:20" s="14" customFormat="1">
      <c r="B9" s="266" t="s">
        <v>837</v>
      </c>
      <c r="D9" s="266" t="s">
        <v>1667</v>
      </c>
      <c r="F9" s="2024" t="s">
        <v>672</v>
      </c>
      <c r="G9" s="2024" t="s">
        <v>1930</v>
      </c>
      <c r="I9" s="267" t="s">
        <v>593</v>
      </c>
      <c r="J9" s="268">
        <v>1</v>
      </c>
      <c r="K9" s="268">
        <v>2</v>
      </c>
      <c r="L9" s="268">
        <v>3</v>
      </c>
      <c r="M9" s="268">
        <v>4</v>
      </c>
    </row>
    <row r="10" spans="1:20" s="8" customFormat="1">
      <c r="B10" s="269" t="s">
        <v>1932</v>
      </c>
      <c r="C10" s="270"/>
      <c r="D10" s="3189" t="s">
        <v>1663</v>
      </c>
      <c r="E10" s="3190"/>
      <c r="F10" s="3191" t="s">
        <v>459</v>
      </c>
      <c r="G10" s="3191"/>
      <c r="H10" s="271"/>
      <c r="I10" s="3192"/>
      <c r="J10" s="3192">
        <v>9</v>
      </c>
      <c r="K10" s="3192">
        <v>11</v>
      </c>
      <c r="L10" s="3192"/>
      <c r="M10" s="3192"/>
      <c r="O10" s="2397" t="s">
        <v>4534</v>
      </c>
      <c r="P10" s="2397"/>
    </row>
    <row r="11" spans="1:20" s="8" customFormat="1">
      <c r="B11" s="272" t="s">
        <v>487</v>
      </c>
      <c r="C11" s="273"/>
      <c r="D11" s="272" t="s">
        <v>1663</v>
      </c>
      <c r="E11" s="273"/>
      <c r="F11" s="3193" t="s">
        <v>459</v>
      </c>
      <c r="G11" s="3193"/>
      <c r="H11" s="274"/>
      <c r="I11" s="3194"/>
      <c r="J11" s="3194">
        <v>7</v>
      </c>
      <c r="K11" s="3194">
        <v>11</v>
      </c>
      <c r="L11" s="3195"/>
      <c r="M11" s="3195"/>
      <c r="O11" s="2397"/>
      <c r="P11" s="2397"/>
    </row>
    <row r="12" spans="1:20" s="8" customFormat="1">
      <c r="B12" s="272" t="s">
        <v>1664</v>
      </c>
      <c r="C12" s="273"/>
      <c r="D12" s="3196" t="s">
        <v>1663</v>
      </c>
      <c r="E12" s="3197"/>
      <c r="F12" s="3193" t="s">
        <v>459</v>
      </c>
      <c r="G12" s="3193"/>
      <c r="H12" s="274"/>
      <c r="I12" s="3194"/>
      <c r="J12" s="3194">
        <v>4</v>
      </c>
      <c r="K12" s="3194">
        <v>6</v>
      </c>
      <c r="L12" s="3195"/>
      <c r="M12" s="3195"/>
      <c r="O12" s="2397"/>
      <c r="P12" s="2397"/>
    </row>
    <row r="13" spans="1:20" s="8" customFormat="1">
      <c r="B13" s="272" t="s">
        <v>1665</v>
      </c>
      <c r="C13" s="273"/>
      <c r="D13" s="3196" t="s">
        <v>1663</v>
      </c>
      <c r="E13" s="3197"/>
      <c r="F13" s="3193" t="s">
        <v>459</v>
      </c>
      <c r="G13" s="3193"/>
      <c r="H13" s="274"/>
      <c r="I13" s="3194"/>
      <c r="J13" s="3194">
        <v>10</v>
      </c>
      <c r="K13" s="3194">
        <v>13</v>
      </c>
      <c r="L13" s="3195"/>
      <c r="M13" s="3195"/>
      <c r="O13" s="2397"/>
      <c r="P13" s="2397"/>
    </row>
    <row r="14" spans="1:20" s="8" customFormat="1">
      <c r="B14" s="272" t="s">
        <v>1666</v>
      </c>
      <c r="C14" s="273"/>
      <c r="D14" s="272" t="s">
        <v>1663</v>
      </c>
      <c r="E14" s="275"/>
      <c r="F14" s="3193" t="s">
        <v>459</v>
      </c>
      <c r="G14" s="3193"/>
      <c r="H14" s="274"/>
      <c r="I14" s="3194"/>
      <c r="J14" s="3194">
        <v>26</v>
      </c>
      <c r="K14" s="3194">
        <v>33</v>
      </c>
      <c r="L14" s="3195"/>
      <c r="M14" s="3195"/>
      <c r="O14" s="2397"/>
      <c r="P14" s="2397"/>
    </row>
    <row r="15" spans="1:20" s="8" customFormat="1">
      <c r="B15" s="272" t="s">
        <v>1427</v>
      </c>
      <c r="C15" s="273"/>
      <c r="D15" s="915" t="s">
        <v>3939</v>
      </c>
      <c r="E15" s="3198" t="s">
        <v>3297</v>
      </c>
      <c r="F15" s="3193"/>
      <c r="G15" s="3193" t="s">
        <v>459</v>
      </c>
      <c r="H15" s="274"/>
      <c r="I15" s="3194"/>
      <c r="J15" s="3194"/>
      <c r="K15" s="3194"/>
      <c r="L15" s="3195"/>
      <c r="M15" s="3195"/>
      <c r="O15" s="2397"/>
      <c r="P15" s="2397"/>
    </row>
    <row r="16" spans="1:20" s="8" customFormat="1">
      <c r="B16" s="276" t="s">
        <v>1931</v>
      </c>
      <c r="C16" s="277"/>
      <c r="D16" s="276"/>
      <c r="E16" s="243"/>
      <c r="F16" s="3199"/>
      <c r="G16" s="3199" t="s">
        <v>459</v>
      </c>
      <c r="H16" s="278"/>
      <c r="I16" s="3200"/>
      <c r="J16" s="3200"/>
      <c r="K16" s="3200"/>
      <c r="L16" s="3201"/>
      <c r="M16" s="3201"/>
      <c r="O16" s="2397"/>
      <c r="P16" s="2397"/>
    </row>
    <row r="17" spans="1:19" s="8" customFormat="1">
      <c r="B17" s="266" t="s">
        <v>1064</v>
      </c>
      <c r="D17" s="28"/>
      <c r="E17" s="28"/>
      <c r="F17" s="85"/>
      <c r="G17" s="85"/>
      <c r="I17" s="2024">
        <f>IF(SUM(I10:I16)=0,0,IF(OR($D10="&lt;&lt;Select Fuel &gt;&gt;",$D12="&lt;&lt;Select Fuel &gt;&gt;",$D13="&lt;&lt;Select Fuel &gt;&gt;"),"Select Fuel",IF($E15="&lt;Select&gt;","Submeter?",SUM(I10:I16))))</f>
        <v>0</v>
      </c>
      <c r="J17" s="2024">
        <f>IF(SUM(J10:J16)=0,0,IF(OR($D10="&lt;&lt;Select Fuel &gt;&gt;",$D12="&lt;&lt;Select Fuel &gt;&gt;",$D13="&lt;&lt;Select Fuel &gt;&gt;"),"Select Fuel",IF($E15="&lt;Select&gt;","Submeter?",SUM(J10:J16))))</f>
        <v>56</v>
      </c>
      <c r="K17" s="2024">
        <f>IF(SUM(K10:K16)=0,0,IF(OR($D10="&lt;&lt;Select Fuel &gt;&gt;",$D12="&lt;&lt;Select Fuel &gt;&gt;",$D13="&lt;&lt;Select Fuel &gt;&gt;"),"Select Fuel",IF($E15="&lt;Select&gt;","Submeter?",SUM(K10:K16))))</f>
        <v>74</v>
      </c>
      <c r="L17" s="2024">
        <f>IF(SUM(L10:L16)=0,0,IF(OR($D10="&lt;&lt;Select Fuel &gt;&gt;",$D12="&lt;&lt;Select Fuel &gt;&gt;",$D13="&lt;&lt;Select Fuel &gt;&gt;"),"Select Fuel",IF($E15="&lt;Select&gt;","Submeter?",SUM(L10:L16))))</f>
        <v>0</v>
      </c>
      <c r="M17" s="2024">
        <f>IF(SUM(M10:M16)=0,0,IF(OR($D10="&lt;&lt;Select Fuel &gt;&gt;",$D12="&lt;&lt;Select Fuel &gt;&gt;",$D13="&lt;&lt;Select Fuel &gt;&gt;"),"Select Fuel",IF($E15="&lt;Select&gt;","Submeter?",SUM(M10:M16))))</f>
        <v>0</v>
      </c>
    </row>
    <row r="18" spans="1:19" s="8" customFormat="1">
      <c r="B18" s="481" t="s">
        <v>3940</v>
      </c>
      <c r="D18" s="28"/>
      <c r="E18" s="28"/>
      <c r="F18" s="85"/>
      <c r="G18" s="85"/>
      <c r="I18" s="2024"/>
      <c r="J18" s="2024"/>
      <c r="K18" s="2024"/>
      <c r="L18" s="2024"/>
      <c r="M18" s="2024"/>
    </row>
    <row r="19" spans="1:19" s="8" customFormat="1" ht="11.25" customHeight="1">
      <c r="M19" s="28"/>
      <c r="N19" s="28"/>
      <c r="O19" s="28"/>
      <c r="P19" s="28"/>
      <c r="Q19" s="28"/>
      <c r="R19" s="28"/>
      <c r="S19" s="28"/>
    </row>
    <row r="20" spans="1:19" s="8" customFormat="1">
      <c r="A20" s="14" t="s">
        <v>777</v>
      </c>
      <c r="B20" s="14" t="s">
        <v>2318</v>
      </c>
      <c r="F20" s="8" t="s">
        <v>2618</v>
      </c>
      <c r="I20" s="3183"/>
      <c r="J20" s="3184"/>
      <c r="K20" s="3184"/>
      <c r="L20" s="3184"/>
      <c r="M20" s="3185"/>
    </row>
    <row r="21" spans="1:19" s="8" customFormat="1" ht="13.15" customHeight="1">
      <c r="A21" s="14"/>
      <c r="B21" s="14"/>
      <c r="F21" s="8" t="s">
        <v>666</v>
      </c>
      <c r="H21" s="28"/>
      <c r="I21" s="3186"/>
      <c r="J21" s="3187"/>
      <c r="K21" s="65" t="s">
        <v>565</v>
      </c>
      <c r="L21" s="3188"/>
      <c r="M21" s="3185"/>
    </row>
    <row r="22" spans="1:19" s="8" customFormat="1" ht="6" customHeight="1">
      <c r="A22" s="14"/>
    </row>
    <row r="23" spans="1:19" s="14" customFormat="1">
      <c r="B23" s="266"/>
      <c r="C23" s="266"/>
      <c r="D23" s="266"/>
      <c r="E23" s="266"/>
      <c r="F23" s="2396" t="s">
        <v>639</v>
      </c>
      <c r="G23" s="2396"/>
      <c r="I23" s="2395" t="s">
        <v>207</v>
      </c>
      <c r="J23" s="2395"/>
      <c r="K23" s="2395"/>
      <c r="L23" s="2395"/>
      <c r="M23" s="2395"/>
    </row>
    <row r="24" spans="1:19" s="14" customFormat="1">
      <c r="B24" s="266" t="s">
        <v>837</v>
      </c>
      <c r="D24" s="266" t="s">
        <v>1667</v>
      </c>
      <c r="F24" s="2024" t="s">
        <v>672</v>
      </c>
      <c r="G24" s="2024" t="s">
        <v>1930</v>
      </c>
      <c r="I24" s="267" t="s">
        <v>593</v>
      </c>
      <c r="J24" s="268">
        <v>1</v>
      </c>
      <c r="K24" s="268">
        <v>2</v>
      </c>
      <c r="L24" s="268">
        <v>3</v>
      </c>
      <c r="M24" s="268">
        <v>4</v>
      </c>
    </row>
    <row r="25" spans="1:19" s="8" customFormat="1">
      <c r="B25" s="269" t="s">
        <v>1932</v>
      </c>
      <c r="C25" s="270"/>
      <c r="D25" s="3189" t="s">
        <v>1663</v>
      </c>
      <c r="E25" s="3190"/>
      <c r="F25" s="3191"/>
      <c r="G25" s="3191"/>
      <c r="H25" s="271"/>
      <c r="I25" s="3192"/>
      <c r="J25" s="3192"/>
      <c r="K25" s="3192"/>
      <c r="L25" s="3192"/>
      <c r="M25" s="3192"/>
      <c r="O25" s="2397" t="s">
        <v>4534</v>
      </c>
      <c r="P25" s="2397"/>
    </row>
    <row r="26" spans="1:19" s="8" customFormat="1">
      <c r="B26" s="272" t="s">
        <v>487</v>
      </c>
      <c r="C26" s="273"/>
      <c r="D26" s="272" t="s">
        <v>1663</v>
      </c>
      <c r="E26" s="273"/>
      <c r="F26" s="3193"/>
      <c r="G26" s="3193"/>
      <c r="H26" s="274"/>
      <c r="I26" s="3194"/>
      <c r="J26" s="3194"/>
      <c r="K26" s="3194"/>
      <c r="L26" s="3195"/>
      <c r="M26" s="3195"/>
      <c r="O26" s="2397"/>
      <c r="P26" s="2397"/>
    </row>
    <row r="27" spans="1:19" s="8" customFormat="1">
      <c r="B27" s="272" t="s">
        <v>1664</v>
      </c>
      <c r="C27" s="273"/>
      <c r="D27" s="3196" t="s">
        <v>1663</v>
      </c>
      <c r="E27" s="3197"/>
      <c r="F27" s="3193"/>
      <c r="G27" s="3193"/>
      <c r="H27" s="274"/>
      <c r="I27" s="3194"/>
      <c r="J27" s="3194"/>
      <c r="K27" s="3194"/>
      <c r="L27" s="3195"/>
      <c r="M27" s="3195"/>
      <c r="O27" s="2397"/>
      <c r="P27" s="2397"/>
    </row>
    <row r="28" spans="1:19" s="8" customFormat="1">
      <c r="B28" s="272" t="s">
        <v>1665</v>
      </c>
      <c r="C28" s="273"/>
      <c r="D28" s="3196" t="s">
        <v>1663</v>
      </c>
      <c r="E28" s="3197"/>
      <c r="F28" s="3193"/>
      <c r="G28" s="3193"/>
      <c r="H28" s="274"/>
      <c r="I28" s="3194"/>
      <c r="J28" s="3194"/>
      <c r="K28" s="3194"/>
      <c r="L28" s="3195"/>
      <c r="M28" s="3195"/>
      <c r="O28" s="2397"/>
      <c r="P28" s="2397"/>
    </row>
    <row r="29" spans="1:19" s="8" customFormat="1">
      <c r="B29" s="272" t="s">
        <v>1666</v>
      </c>
      <c r="C29" s="273"/>
      <c r="D29" s="272" t="s">
        <v>1663</v>
      </c>
      <c r="E29" s="275"/>
      <c r="F29" s="3193"/>
      <c r="G29" s="3193"/>
      <c r="H29" s="274"/>
      <c r="I29" s="3194"/>
      <c r="J29" s="3194"/>
      <c r="K29" s="3194"/>
      <c r="L29" s="3195"/>
      <c r="M29" s="3195"/>
      <c r="O29" s="2397"/>
      <c r="P29" s="2397"/>
    </row>
    <row r="30" spans="1:19" s="8" customFormat="1">
      <c r="B30" s="272" t="s">
        <v>1427</v>
      </c>
      <c r="C30" s="273"/>
      <c r="D30" s="915" t="s">
        <v>3939</v>
      </c>
      <c r="E30" s="3198"/>
      <c r="F30" s="3193"/>
      <c r="G30" s="3193"/>
      <c r="H30" s="274"/>
      <c r="I30" s="3194"/>
      <c r="J30" s="3194"/>
      <c r="K30" s="3194"/>
      <c r="L30" s="3195"/>
      <c r="M30" s="3195"/>
      <c r="O30" s="2397"/>
      <c r="P30" s="2397"/>
    </row>
    <row r="31" spans="1:19" s="8" customFormat="1">
      <c r="B31" s="276" t="s">
        <v>1931</v>
      </c>
      <c r="C31" s="277"/>
      <c r="D31" s="276"/>
      <c r="E31" s="243"/>
      <c r="F31" s="3199"/>
      <c r="G31" s="3199"/>
      <c r="H31" s="278"/>
      <c r="I31" s="3200"/>
      <c r="J31" s="3200"/>
      <c r="K31" s="3200"/>
      <c r="L31" s="3201"/>
      <c r="M31" s="3201"/>
      <c r="O31" s="2397"/>
      <c r="P31" s="2397"/>
    </row>
    <row r="32" spans="1:19" s="8" customFormat="1">
      <c r="B32" s="266" t="s">
        <v>1064</v>
      </c>
      <c r="D32" s="28"/>
      <c r="E32" s="28"/>
      <c r="F32" s="85"/>
      <c r="G32" s="85"/>
      <c r="I32" s="2024">
        <f>IF(SUM(I25:I31)=0,0,IF(OR($D25="&lt;&lt;Select Fuel &gt;&gt;",$D27="&lt;&lt;Select Fuel &gt;&gt;",$D28="&lt;&lt;Select Fuel &gt;&gt;"),"Select Fuel",IF($E30="&lt;Select&gt;","Submeter?",SUM(I25:I31))))</f>
        <v>0</v>
      </c>
      <c r="J32" s="2024">
        <f>IF(SUM(J25:J31)=0,0,IF(OR($D25="&lt;&lt;Select Fuel &gt;&gt;",$D27="&lt;&lt;Select Fuel &gt;&gt;",$D28="&lt;&lt;Select Fuel &gt;&gt;"),"Select Fuel",IF($E30="&lt;Select&gt;","Submeter?",SUM(J25:J31))))</f>
        <v>0</v>
      </c>
      <c r="K32" s="2024">
        <f>IF(SUM(K25:K31)=0,0,IF(OR($D25="&lt;&lt;Select Fuel &gt;&gt;",$D27="&lt;&lt;Select Fuel &gt;&gt;",$D28="&lt;&lt;Select Fuel &gt;&gt;"),"Select Fuel",IF($E30="&lt;Select&gt;","Submeter?",SUM(K25:K31))))</f>
        <v>0</v>
      </c>
      <c r="L32" s="2024">
        <f>IF(SUM(L25:L31)=0,0,IF(OR($D25="&lt;&lt;Select Fuel &gt;&gt;",$D27="&lt;&lt;Select Fuel &gt;&gt;",$D28="&lt;&lt;Select Fuel &gt;&gt;"),"Select Fuel",IF($E30="&lt;Select&gt;","Submeter?",SUM(L25:L31))))</f>
        <v>0</v>
      </c>
      <c r="M32" s="2024">
        <f>IF(SUM(M25:M31)=0,0,IF(OR($D25="&lt;&lt;Select Fuel &gt;&gt;",$D27="&lt;&lt;Select Fuel &gt;&gt;",$D28="&lt;&lt;Select Fuel &gt;&gt;"),"Select Fuel",IF($E30="&lt;Select&gt;","Submeter?",SUM(M25:M31))))</f>
        <v>0</v>
      </c>
    </row>
    <row r="33" spans="1:19" s="8" customFormat="1">
      <c r="B33" s="481" t="s">
        <v>3940</v>
      </c>
      <c r="D33" s="28"/>
      <c r="E33" s="28"/>
      <c r="F33" s="85"/>
      <c r="G33" s="85"/>
      <c r="I33" s="2024"/>
      <c r="J33" s="2024"/>
      <c r="K33" s="2024"/>
      <c r="L33" s="2024"/>
      <c r="M33" s="2024"/>
    </row>
    <row r="34" spans="1:19">
      <c r="A34" s="8"/>
    </row>
    <row r="35" spans="1:19">
      <c r="B35" s="279" t="s">
        <v>1883</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3202" t="s">
        <v>4750</v>
      </c>
      <c r="C38" s="3203"/>
      <c r="D38" s="3203"/>
      <c r="E38" s="3203"/>
      <c r="F38" s="3203"/>
      <c r="G38" s="3203"/>
      <c r="H38" s="3203"/>
      <c r="I38" s="3203"/>
      <c r="J38" s="3203"/>
      <c r="K38" s="3203"/>
      <c r="L38" s="3203"/>
      <c r="M38" s="3204"/>
      <c r="N38" s="28"/>
      <c r="O38" s="2195" t="s">
        <v>2811</v>
      </c>
      <c r="P38" s="2195"/>
      <c r="Q38" s="2195"/>
      <c r="R38" s="2195"/>
      <c r="S38" s="2195"/>
    </row>
    <row r="39" spans="1:19" s="8" customFormat="1" ht="3" customHeight="1">
      <c r="M39" s="28"/>
      <c r="N39" s="28"/>
      <c r="O39" s="2195"/>
      <c r="P39" s="2195"/>
      <c r="Q39" s="2195"/>
      <c r="R39" s="2195"/>
      <c r="S39" s="2195"/>
    </row>
    <row r="40" spans="1:19" s="8" customFormat="1" ht="12" customHeight="1">
      <c r="A40" s="14"/>
      <c r="B40" s="14" t="s">
        <v>1925</v>
      </c>
      <c r="M40" s="28"/>
      <c r="N40" s="28"/>
      <c r="O40" s="2195"/>
      <c r="P40" s="2195"/>
      <c r="Q40" s="2195"/>
      <c r="R40" s="2195"/>
      <c r="S40" s="2195"/>
    </row>
    <row r="41" spans="1:19" s="8" customFormat="1" ht="24.75" customHeight="1">
      <c r="B41" s="3205"/>
      <c r="C41" s="3206"/>
      <c r="D41" s="3206"/>
      <c r="E41" s="3206"/>
      <c r="F41" s="3206"/>
      <c r="G41" s="3206"/>
      <c r="H41" s="3206"/>
      <c r="I41" s="3206"/>
      <c r="J41" s="3206"/>
      <c r="K41" s="3206"/>
      <c r="L41" s="3206"/>
      <c r="M41" s="3207"/>
      <c r="N41" s="28"/>
      <c r="O41" s="2195"/>
      <c r="P41" s="2195"/>
      <c r="Q41" s="2195"/>
      <c r="R41" s="2195"/>
      <c r="S41" s="2195"/>
    </row>
  </sheetData>
  <sheetProtection algorithmName="SHA-512" hashValue="jOP99mO3pNO4xtOK+HZtTSk4uTunWYw0Ch3Kj3UoMU0YMvWJd7oa+uGzlKYrd8bKXf0s6gdqzym5BruUR4Z4SQ==" saltValue="WXhoOLgyt0Yw8YQCPlSFkg==" spinCount="100000" sheet="1" objects="1" scenarios="1" formatColumns="0" formatRows="0"/>
  <mergeCells count="22">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44</vt:i4>
      </vt:variant>
    </vt:vector>
  </HeadingPairs>
  <TitlesOfParts>
    <vt:vector size="72"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2016-04-05T19:13:52Z</cp:lastPrinted>
  <dcterms:created xsi:type="dcterms:W3CDTF">2005-09-15T20:51:37Z</dcterms:created>
  <dcterms:modified xsi:type="dcterms:W3CDTF">2016-10-26T23:19:55Z</dcterms:modified>
</cp:coreProperties>
</file>