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5550" yWindow="0" windowWidth="28620" windowHeight="402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H106" i="7" l="1"/>
  <c r="U1683" i="61" l="1"/>
  <c r="T1683" i="61"/>
  <c r="U1682" i="61"/>
  <c r="T1682" i="61"/>
  <c r="U1681" i="61"/>
  <c r="T1681" i="61"/>
  <c r="U1680" i="61"/>
  <c r="T1680" i="61"/>
  <c r="M1679" i="61" s="1"/>
  <c r="U1679" i="61"/>
  <c r="T1679" i="61"/>
  <c r="K1680" i="61"/>
  <c r="L1680" i="61"/>
  <c r="K1681" i="61"/>
  <c r="L1681" i="61"/>
  <c r="K1682" i="61"/>
  <c r="L1682" i="61"/>
  <c r="K1683" i="61"/>
  <c r="L1683" i="61"/>
  <c r="L1679" i="61"/>
  <c r="K1679" i="61"/>
  <c r="J1683" i="61"/>
  <c r="A4" i="41"/>
  <c r="U166" i="11" l="1"/>
  <c r="T166" i="11"/>
  <c r="U165" i="11"/>
  <c r="T165" i="11"/>
  <c r="U164" i="11"/>
  <c r="T164" i="11"/>
  <c r="U163" i="11"/>
  <c r="T163" i="11"/>
  <c r="M162" i="11" s="1"/>
  <c r="U162" i="11"/>
  <c r="T162" i="11"/>
  <c r="O166" i="11"/>
  <c r="O163" i="11"/>
  <c r="O162" i="11"/>
  <c r="L26" i="3" l="1"/>
  <c r="G54" i="15" l="1"/>
  <c r="G85" i="15"/>
  <c r="O1679" i="61" l="1"/>
  <c r="J1680" i="61"/>
  <c r="J1682" i="61"/>
  <c r="J1679" i="61"/>
  <c r="I1679" i="61"/>
  <c r="P378" i="11"/>
  <c r="P362" i="11"/>
  <c r="P332" i="11"/>
  <c r="O332" i="11"/>
  <c r="J165" i="11"/>
  <c r="J163" i="11"/>
  <c r="J162" i="11"/>
  <c r="I162" i="11"/>
  <c r="J52" i="61" l="1"/>
  <c r="G52" i="61"/>
  <c r="L1820" i="61" l="1"/>
  <c r="I1819" i="61" s="1"/>
  <c r="J1820" i="61"/>
  <c r="I302" i="11"/>
  <c r="M303" i="11"/>
  <c r="M1820" i="61" s="1"/>
  <c r="P302" i="11" l="1"/>
  <c r="O302" i="11"/>
  <c r="G116" i="15"/>
  <c r="G113" i="15"/>
  <c r="S127" i="15" l="1"/>
  <c r="H122" i="59" l="1"/>
  <c r="L24" i="3"/>
  <c r="B29" i="8" l="1"/>
  <c r="L25" i="3"/>
  <c r="P30" i="15" l="1"/>
  <c r="P31" i="15"/>
  <c r="P32" i="15"/>
  <c r="P29" i="15"/>
  <c r="P123" i="15"/>
  <c r="S123" i="15" s="1"/>
  <c r="S120" i="15"/>
  <c r="S121" i="15"/>
  <c r="S122" i="15"/>
  <c r="S124" i="15"/>
  <c r="S119" i="15"/>
  <c r="S108" i="15"/>
  <c r="S109" i="15"/>
  <c r="S110" i="15"/>
  <c r="S107" i="15"/>
  <c r="S97" i="15"/>
  <c r="S98" i="15"/>
  <c r="S99" i="15"/>
  <c r="S100" i="15"/>
  <c r="S101" i="15"/>
  <c r="S102" i="15"/>
  <c r="S103" i="15"/>
  <c r="S104" i="15"/>
  <c r="S96" i="15"/>
  <c r="S86" i="15"/>
  <c r="S87" i="15"/>
  <c r="S88" i="15"/>
  <c r="S89" i="15"/>
  <c r="S90" i="15"/>
  <c r="S85" i="15"/>
  <c r="P80" i="15"/>
  <c r="P81" i="15"/>
  <c r="P82" i="15"/>
  <c r="P79" i="15"/>
  <c r="P36" i="15"/>
  <c r="P37" i="15"/>
  <c r="P35" i="15"/>
  <c r="P47" i="15"/>
  <c r="P54" i="15"/>
  <c r="P55" i="15"/>
  <c r="P56" i="15"/>
  <c r="P57" i="15"/>
  <c r="P58" i="15"/>
  <c r="P59" i="15"/>
  <c r="P60" i="15"/>
  <c r="P61" i="15"/>
  <c r="P62" i="15"/>
  <c r="P63" i="15"/>
  <c r="P53" i="15"/>
  <c r="P67" i="15"/>
  <c r="P68" i="15"/>
  <c r="P69" i="15"/>
  <c r="P70" i="15"/>
  <c r="P71" i="15"/>
  <c r="P72" i="15"/>
  <c r="P73" i="15"/>
  <c r="P74" i="15"/>
  <c r="P75" i="15"/>
  <c r="P76" i="15"/>
  <c r="P66" i="15"/>
  <c r="S26" i="15"/>
  <c r="P25" i="15"/>
  <c r="S20" i="15"/>
  <c r="M21" i="15"/>
  <c r="M22" i="15"/>
  <c r="S19" i="15"/>
  <c r="P9" i="15"/>
  <c r="P10" i="15"/>
  <c r="P11" i="15"/>
  <c r="P12" i="15"/>
  <c r="P13" i="15"/>
  <c r="P14" i="15"/>
  <c r="P15" i="15"/>
  <c r="P16" i="15"/>
  <c r="P8" i="15"/>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Q759" i="61"/>
  <c r="S759" i="61"/>
  <c r="T759" i="61"/>
  <c r="Q760" i="61"/>
  <c r="S760" i="61"/>
  <c r="T760" i="61"/>
  <c r="Q761"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IL766"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FZ760" i="61" l="1"/>
  <c r="K909" i="61"/>
  <c r="CU753" i="61"/>
  <c r="G456" i="61"/>
  <c r="EY754"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J809" i="61"/>
  <c r="M820" i="61"/>
  <c r="M853"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69" i="61" l="1"/>
  <c r="J1743" i="61"/>
  <c r="J226" i="11"/>
  <c r="L1835" i="61"/>
  <c r="P69" i="61"/>
  <c r="L318" i="11"/>
  <c r="G977" i="61"/>
  <c r="R15" i="59"/>
  <c r="R758" i="61" s="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58" i="59"/>
  <c r="L66" i="59"/>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E529" i="61"/>
  <c r="P1744" i="61"/>
  <c r="P1743" i="61"/>
  <c r="P227" i="1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L1843" i="61" l="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P1895" i="61" s="1"/>
  <c r="I391" i="11"/>
  <c r="K387" i="11"/>
  <c r="H388" i="11"/>
  <c r="O378" i="11" s="1"/>
  <c r="I165" i="11" s="1"/>
  <c r="O165" i="11" l="1"/>
  <c r="O1682" i="61" s="1"/>
  <c r="R1682" i="61" s="1"/>
  <c r="I1682" i="61"/>
  <c r="D1007" i="61"/>
  <c r="O1895" i="61"/>
  <c r="G984" i="61"/>
  <c r="L356" i="11"/>
  <c r="L355" i="11"/>
  <c r="E1007" i="61" l="1"/>
  <c r="H984" i="61"/>
  <c r="L341" i="11"/>
  <c r="F1007" i="61" l="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F1037" i="61" l="1"/>
  <c r="E1037" i="61"/>
  <c r="H1014" i="61"/>
  <c r="J174" i="11"/>
  <c r="I1014" i="61" l="1"/>
  <c r="G1037" i="61" l="1"/>
  <c r="H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F110" i="8"/>
  <c r="E110" i="8"/>
  <c r="D110" i="8"/>
  <c r="C110" i="8"/>
  <c r="B110" i="8"/>
  <c r="P298" i="11"/>
  <c r="M370" i="6" l="1"/>
  <c r="S64" i="15"/>
  <c r="P64" i="15"/>
  <c r="M64" i="15"/>
  <c r="J64" i="15"/>
  <c r="G64" i="15"/>
  <c r="A3" i="6" l="1"/>
  <c r="H3" i="6" s="1"/>
  <c r="M118" i="11" l="1"/>
  <c r="M408" i="11" l="1"/>
  <c r="P43" i="11"/>
  <c r="P1560" i="61" s="1"/>
  <c r="O43" i="11"/>
  <c r="P1849" i="61"/>
  <c r="O1849" i="61"/>
  <c r="O371" i="11"/>
  <c r="O372" i="11"/>
  <c r="O370" i="11"/>
  <c r="M370" i="11"/>
  <c r="M371" i="11"/>
  <c r="M372" i="11"/>
  <c r="O362" i="11" l="1"/>
  <c r="I163" i="11"/>
  <c r="O1560" i="61"/>
  <c r="R1679" i="61"/>
  <c r="P1879" i="61"/>
  <c r="I1680" i="61" l="1"/>
  <c r="O1680" i="61"/>
  <c r="R1680" i="61" s="1"/>
  <c r="R162" i="11"/>
  <c r="O1879" i="61"/>
  <c r="R163" i="11"/>
  <c r="Q67" i="11" l="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29"/>
  <c r="A1" i="15"/>
  <c r="A1" i="3"/>
  <c r="A1" i="18"/>
  <c r="A1" i="7"/>
  <c r="I697" i="61"/>
  <c r="M1905" i="61"/>
  <c r="A364" i="61"/>
  <c r="J54" i="61"/>
  <c r="A1965" i="61"/>
  <c r="M1907" i="61"/>
  <c r="G1762"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I1681" i="61" l="1"/>
  <c r="O164" i="11"/>
  <c r="P1792" i="61"/>
  <c r="J164" i="11"/>
  <c r="J1681" i="61" s="1"/>
  <c r="M391" i="11"/>
  <c r="L1739" i="61"/>
  <c r="K55" i="61"/>
  <c r="M1908" i="61"/>
  <c r="O1792" i="61"/>
  <c r="R1792" i="61" s="1"/>
  <c r="L222" i="11"/>
  <c r="H15" i="50"/>
  <c r="F18" i="49" s="1"/>
  <c r="N405" i="61" l="1"/>
  <c r="N40" i="3"/>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B115" i="8"/>
  <c r="E115" i="8"/>
  <c r="C115" i="8"/>
  <c r="D115" i="8"/>
  <c r="D116" i="8"/>
  <c r="D1065" i="61" s="1"/>
  <c r="C116" i="8"/>
  <c r="C1065" i="61" s="1"/>
  <c r="F116" i="8"/>
  <c r="F1065" i="61" s="1"/>
  <c r="B116" i="8"/>
  <c r="B1065" i="61" s="1"/>
  <c r="E116" i="8"/>
  <c r="E1065" i="61" s="1"/>
  <c r="F113" i="8"/>
  <c r="B113" i="8"/>
  <c r="E113" i="8"/>
  <c r="D113" i="8"/>
  <c r="C113" i="8"/>
  <c r="F119" i="8"/>
  <c r="B119" i="8"/>
  <c r="C119" i="8"/>
  <c r="E119" i="8"/>
  <c r="D119" i="8"/>
  <c r="D114" i="8"/>
  <c r="C114" i="8"/>
  <c r="F114" i="8"/>
  <c r="B114" i="8"/>
  <c r="E114" i="8"/>
  <c r="B25" i="8"/>
  <c r="B24" i="8"/>
  <c r="B26" i="8"/>
  <c r="D1064" i="61" l="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K1035" i="61" s="1"/>
  <c r="J86" i="8"/>
  <c r="J1035" i="61" s="1"/>
  <c r="I86" i="8"/>
  <c r="I1035" i="61" s="1"/>
  <c r="H86" i="8"/>
  <c r="H1035" i="61" s="1"/>
  <c r="G86" i="8"/>
  <c r="G1035" i="61" s="1"/>
  <c r="F86" i="8"/>
  <c r="F1035" i="61" s="1"/>
  <c r="E86" i="8"/>
  <c r="E1035" i="61" s="1"/>
  <c r="D86" i="8"/>
  <c r="D1035" i="61" s="1"/>
  <c r="C86" i="8"/>
  <c r="C1035" i="61" s="1"/>
  <c r="B86" i="8"/>
  <c r="B1035" i="61" s="1"/>
  <c r="K85" i="8"/>
  <c r="J85" i="8"/>
  <c r="I85" i="8"/>
  <c r="H85" i="8"/>
  <c r="G85" i="8"/>
  <c r="F85" i="8"/>
  <c r="E85" i="8"/>
  <c r="D85" i="8"/>
  <c r="C85" i="8"/>
  <c r="B85" i="8"/>
  <c r="K84" i="8"/>
  <c r="J84" i="8"/>
  <c r="I84" i="8"/>
  <c r="H84" i="8"/>
  <c r="G84" i="8"/>
  <c r="F84" i="8"/>
  <c r="E84" i="8"/>
  <c r="D84" i="8"/>
  <c r="C84" i="8"/>
  <c r="B84" i="8"/>
  <c r="K56" i="8"/>
  <c r="K1005" i="61" s="1"/>
  <c r="J56" i="8"/>
  <c r="J1005" i="61" s="1"/>
  <c r="I56" i="8"/>
  <c r="I1005" i="61" s="1"/>
  <c r="H56" i="8"/>
  <c r="H1005" i="61" s="1"/>
  <c r="G56" i="8"/>
  <c r="G1005" i="61" s="1"/>
  <c r="F56" i="8"/>
  <c r="F1005" i="61" s="1"/>
  <c r="E56" i="8"/>
  <c r="E1005" i="61" s="1"/>
  <c r="D56" i="8"/>
  <c r="D1005" i="61" s="1"/>
  <c r="C56" i="8"/>
  <c r="C1005" i="61" s="1"/>
  <c r="B56" i="8"/>
  <c r="B1005" i="61" s="1"/>
  <c r="K55" i="8"/>
  <c r="J55" i="8"/>
  <c r="I55" i="8"/>
  <c r="H55" i="8"/>
  <c r="G55" i="8"/>
  <c r="F55" i="8"/>
  <c r="E55" i="8"/>
  <c r="D55" i="8"/>
  <c r="C55" i="8"/>
  <c r="B55" i="8"/>
  <c r="K54" i="8"/>
  <c r="J54" i="8"/>
  <c r="I54" i="8"/>
  <c r="H54" i="8"/>
  <c r="G54" i="8"/>
  <c r="F54" i="8"/>
  <c r="E54" i="8"/>
  <c r="D54" i="8"/>
  <c r="C54" i="8"/>
  <c r="B54" i="8"/>
  <c r="K26" i="8"/>
  <c r="K975" i="61" s="1"/>
  <c r="J26" i="8"/>
  <c r="J975" i="61" s="1"/>
  <c r="I26" i="8"/>
  <c r="I975" i="61" s="1"/>
  <c r="H26" i="8"/>
  <c r="H975" i="61" s="1"/>
  <c r="G26" i="8"/>
  <c r="G975" i="61" s="1"/>
  <c r="F26" i="8"/>
  <c r="F975" i="61" s="1"/>
  <c r="E26" i="8"/>
  <c r="E975" i="61" s="1"/>
  <c r="D26" i="8"/>
  <c r="D975" i="61" s="1"/>
  <c r="C26" i="8"/>
  <c r="C975" i="61" s="1"/>
  <c r="K25" i="8"/>
  <c r="J25" i="8"/>
  <c r="I25" i="8"/>
  <c r="H25" i="8"/>
  <c r="G25" i="8"/>
  <c r="F25" i="8"/>
  <c r="E25" i="8"/>
  <c r="D25" i="8"/>
  <c r="C25" i="8"/>
  <c r="K24" i="8"/>
  <c r="J24" i="8"/>
  <c r="I24" i="8"/>
  <c r="H24" i="8"/>
  <c r="G24" i="8"/>
  <c r="F24" i="8"/>
  <c r="E24" i="8"/>
  <c r="D24" i="8"/>
  <c r="C24" i="8"/>
  <c r="E974" i="61" l="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K80" i="8"/>
  <c r="J80" i="8"/>
  <c r="I80" i="8"/>
  <c r="H80" i="8"/>
  <c r="G80" i="8"/>
  <c r="F80" i="8"/>
  <c r="E80" i="8"/>
  <c r="D80" i="8"/>
  <c r="C80" i="8"/>
  <c r="B80" i="8"/>
  <c r="K50" i="8"/>
  <c r="J50" i="8"/>
  <c r="I50" i="8"/>
  <c r="H50" i="8"/>
  <c r="G50" i="8"/>
  <c r="F50" i="8"/>
  <c r="E50" i="8"/>
  <c r="D50" i="8"/>
  <c r="C50" i="8"/>
  <c r="B50" i="8"/>
  <c r="C20" i="8"/>
  <c r="D20" i="8"/>
  <c r="E20" i="8"/>
  <c r="F20" i="8"/>
  <c r="G20" i="8"/>
  <c r="H20" i="8"/>
  <c r="I20" i="8"/>
  <c r="J20" i="8"/>
  <c r="K20" i="8"/>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C41" i="8"/>
  <c r="C982" i="61" s="1"/>
  <c r="L394" i="61"/>
  <c r="L395" i="61" s="1"/>
  <c r="F114" i="15"/>
  <c r="F116" i="15"/>
  <c r="F115" i="15"/>
  <c r="F113" i="15"/>
  <c r="D39" i="8"/>
  <c r="E979" i="61"/>
  <c r="D979" i="61"/>
  <c r="F11" i="51"/>
  <c r="C979" i="61"/>
  <c r="D11" i="51"/>
  <c r="E11" i="51"/>
  <c r="F38" i="8"/>
  <c r="P170" i="59"/>
  <c r="N171" i="59" s="1"/>
  <c r="P913" i="61"/>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41" i="8" l="1"/>
  <c r="E1868" i="61"/>
  <c r="D47" i="15"/>
  <c r="D476" i="61"/>
  <c r="D133" i="15"/>
  <c r="P1135" i="61"/>
  <c r="I418" i="61"/>
  <c r="I1868" i="61"/>
  <c r="L1868" i="61" s="1"/>
  <c r="I1788" i="61"/>
  <c r="P1134" i="61"/>
  <c r="O55" i="61"/>
  <c r="O749" i="61"/>
  <c r="M1906" i="61"/>
  <c r="M749" i="61"/>
  <c r="D980" i="61"/>
  <c r="E39" i="8"/>
  <c r="F979" i="61"/>
  <c r="G38" i="8"/>
  <c r="G11" i="51"/>
  <c r="P176" i="59"/>
  <c r="F549" i="61" s="1"/>
  <c r="N172" i="59"/>
  <c r="P919" i="61"/>
  <c r="N915" i="61"/>
  <c r="N914" i="61"/>
  <c r="J44" i="15"/>
  <c r="F43" i="15"/>
  <c r="J43" i="15"/>
  <c r="F44" i="15"/>
  <c r="F120"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3" i="59" l="1"/>
  <c r="R756" i="61" s="1"/>
  <c r="R14" i="59"/>
  <c r="R757" i="61" s="1"/>
  <c r="R12" i="59"/>
  <c r="R755" i="61" s="1"/>
  <c r="R10" i="59"/>
  <c r="R753" i="61" s="1"/>
  <c r="R11" i="59"/>
  <c r="R754" i="61" s="1"/>
  <c r="D982" i="61"/>
  <c r="E41" i="8"/>
  <c r="I1789" i="61"/>
  <c r="L1789" i="61"/>
  <c r="P410" i="61"/>
  <c r="P409" i="61"/>
  <c r="I419" i="61"/>
  <c r="P190" i="59"/>
  <c r="E980" i="61"/>
  <c r="F39" i="8"/>
  <c r="G979" i="61"/>
  <c r="H38" i="8"/>
  <c r="H11" i="51"/>
  <c r="F550" i="61"/>
  <c r="B19" i="8"/>
  <c r="N177" i="59"/>
  <c r="F121" i="15"/>
  <c r="N920" i="61"/>
  <c r="P933" i="61"/>
  <c r="L66" i="6"/>
  <c r="L53" i="6"/>
  <c r="N53" i="6" s="1"/>
  <c r="G58" i="6"/>
  <c r="G57" i="6"/>
  <c r="L45" i="6"/>
  <c r="G43" i="6"/>
  <c r="L59" i="6"/>
  <c r="N59" i="6" s="1"/>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E982" i="61" l="1"/>
  <c r="F41" i="8"/>
  <c r="P411" i="61"/>
  <c r="B972" i="61"/>
  <c r="B97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79" i="8"/>
  <c r="E109" i="8"/>
  <c r="C109" i="8"/>
  <c r="F109" i="8"/>
  <c r="D109" i="8"/>
  <c r="B109" i="8"/>
  <c r="F55" i="6"/>
  <c r="F71" i="6" s="1"/>
  <c r="I7" i="53"/>
  <c r="I13" i="53" s="1"/>
  <c r="E7" i="53"/>
  <c r="K75" i="8"/>
  <c r="C53" i="50"/>
  <c r="D13" i="50"/>
  <c r="H19" i="8"/>
  <c r="E49" i="8"/>
  <c r="J49" i="8"/>
  <c r="I49" i="8"/>
  <c r="C79" i="8"/>
  <c r="C49" i="8"/>
  <c r="H79" i="8"/>
  <c r="G19" i="8"/>
  <c r="F19" i="8"/>
  <c r="D79" i="8"/>
  <c r="E19" i="8"/>
  <c r="J19" i="8"/>
  <c r="J79" i="8"/>
  <c r="F49" i="8"/>
  <c r="K19" i="8"/>
  <c r="B79" i="8"/>
  <c r="G79" i="8"/>
  <c r="B49" i="8"/>
  <c r="G49" i="8"/>
  <c r="D19" i="8"/>
  <c r="D49" i="8"/>
  <c r="K49" i="8"/>
  <c r="H49" i="8"/>
  <c r="C19" i="8"/>
  <c r="I19" i="8"/>
  <c r="K79" i="8"/>
  <c r="E79" i="8"/>
  <c r="I79" i="8"/>
  <c r="C45" i="8"/>
  <c r="G15" i="8"/>
  <c r="J75" i="8"/>
  <c r="I75" i="8"/>
  <c r="F75" i="8"/>
  <c r="E75" i="8"/>
  <c r="D45" i="8"/>
  <c r="E45" i="8"/>
  <c r="I15" i="8"/>
  <c r="J45" i="8"/>
  <c r="D15" i="8"/>
  <c r="B45" i="8"/>
  <c r="K15" i="8"/>
  <c r="F45" i="8"/>
  <c r="J15" i="8"/>
  <c r="K45" i="8"/>
  <c r="B75" i="8"/>
  <c r="C15" i="8"/>
  <c r="D75" i="8"/>
  <c r="H15" i="8"/>
  <c r="I45" i="8"/>
  <c r="G75" i="8"/>
  <c r="B16" i="8"/>
  <c r="B36" i="8" s="1"/>
  <c r="E15" i="8"/>
  <c r="H45" i="8"/>
  <c r="H75" i="8"/>
  <c r="F15" i="8"/>
  <c r="G45" i="8"/>
  <c r="C75" i="8"/>
  <c r="F28" i="8"/>
  <c r="B976" i="61" l="1"/>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J16" i="8"/>
  <c r="E46" i="8"/>
  <c r="I76" i="8"/>
  <c r="E106" i="8"/>
  <c r="N48" i="6"/>
  <c r="C76" i="8"/>
  <c r="I46" i="8"/>
  <c r="F46" i="8"/>
  <c r="D46" i="8"/>
  <c r="I50" i="6"/>
  <c r="N62" i="6"/>
  <c r="G46" i="8"/>
  <c r="E16" i="8"/>
  <c r="H16" i="8"/>
  <c r="B76" i="8"/>
  <c r="K16" i="8"/>
  <c r="I16" i="8"/>
  <c r="E76" i="8"/>
  <c r="G16" i="8"/>
  <c r="N50" i="6"/>
  <c r="C106" i="8"/>
  <c r="H76" i="8"/>
  <c r="C16" i="8"/>
  <c r="D16" i="8"/>
  <c r="F106" i="8"/>
  <c r="H46" i="8"/>
  <c r="J46" i="8"/>
  <c r="J76" i="8"/>
  <c r="K76" i="8"/>
  <c r="B106" i="8"/>
  <c r="N69" i="6"/>
  <c r="F16" i="8"/>
  <c r="K7" i="8"/>
  <c r="D76" i="8"/>
  <c r="K46" i="8"/>
  <c r="B46" i="8"/>
  <c r="F76" i="8"/>
  <c r="C46" i="8"/>
  <c r="D106" i="8"/>
  <c r="I62" i="6"/>
  <c r="D12" i="53"/>
  <c r="E174" i="55"/>
  <c r="E175" i="55" s="1"/>
  <c r="E13" i="53"/>
  <c r="L320" i="11"/>
  <c r="L326" i="11"/>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82" i="61" l="1"/>
  <c r="H41" i="8"/>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R166" i="11" l="1"/>
  <c r="O1683" i="61"/>
  <c r="R1683" i="61" s="1"/>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82" i="61" l="1"/>
  <c r="J41" i="8"/>
  <c r="J980" i="61"/>
  <c r="K39" i="8"/>
  <c r="B1009" i="61"/>
  <c r="C68" i="8"/>
  <c r="F31" i="51"/>
  <c r="L39" i="11"/>
  <c r="P37" i="11" s="1"/>
  <c r="P29" i="11" s="1"/>
  <c r="P408" i="11" s="1"/>
  <c r="K39" i="11"/>
  <c r="O37" i="11" s="1"/>
  <c r="P161" i="11"/>
  <c r="P1678" i="61" s="1"/>
  <c r="O161" i="11"/>
  <c r="O129" i="11" s="1"/>
  <c r="L342" i="11"/>
  <c r="L1859" i="61" s="1"/>
  <c r="G21" i="8"/>
  <c r="G36" i="8" s="1"/>
  <c r="F51" i="8"/>
  <c r="F66" i="8" s="1"/>
  <c r="K81" i="8"/>
  <c r="K96" i="8" s="1"/>
  <c r="B22" i="8"/>
  <c r="B35" i="8" s="1"/>
  <c r="E21" i="8"/>
  <c r="E36" i="8" s="1"/>
  <c r="B81" i="8"/>
  <c r="J161" i="15"/>
  <c r="J162" i="15" s="1"/>
  <c r="J591" i="61" s="1"/>
  <c r="P49" i="6"/>
  <c r="E51" i="8"/>
  <c r="E66" i="8" s="1"/>
  <c r="J81" i="8"/>
  <c r="F111" i="8"/>
  <c r="F126" i="8" s="1"/>
  <c r="I81" i="8"/>
  <c r="H21" i="8"/>
  <c r="H36" i="8" s="1"/>
  <c r="C111" i="8"/>
  <c r="I21" i="8"/>
  <c r="I36" i="8" s="1"/>
  <c r="C21" i="8"/>
  <c r="C36" i="8" s="1"/>
  <c r="K51" i="8"/>
  <c r="K66" i="8" s="1"/>
  <c r="H81" i="8"/>
  <c r="B51" i="8"/>
  <c r="B66" i="8" s="1"/>
  <c r="D111" i="8"/>
  <c r="D21" i="8"/>
  <c r="D36" i="8" s="1"/>
  <c r="D81" i="8"/>
  <c r="C81" i="8"/>
  <c r="D51" i="8"/>
  <c r="D66" i="8" s="1"/>
  <c r="J51" i="8"/>
  <c r="J66" i="8" s="1"/>
  <c r="G51" i="8"/>
  <c r="G66" i="8" s="1"/>
  <c r="F81" i="8"/>
  <c r="C13" i="51"/>
  <c r="I51" i="8"/>
  <c r="I66" i="8" s="1"/>
  <c r="H51" i="8"/>
  <c r="H66" i="8" s="1"/>
  <c r="J21" i="8"/>
  <c r="J36" i="8" s="1"/>
  <c r="F21" i="8"/>
  <c r="F36" i="8" s="1"/>
  <c r="G81" i="8"/>
  <c r="K21" i="8"/>
  <c r="K36" i="8" s="1"/>
  <c r="E81" i="8"/>
  <c r="E96" i="8" s="1"/>
  <c r="B111" i="8"/>
  <c r="E111" i="8"/>
  <c r="C51" i="8"/>
  <c r="E76" i="50"/>
  <c r="E73" i="50" s="1"/>
  <c r="I76" i="50"/>
  <c r="I73" i="50" s="1"/>
  <c r="K76" i="50"/>
  <c r="K73" i="50" s="1"/>
  <c r="G76" i="50"/>
  <c r="G73" i="50" s="1"/>
  <c r="J28" i="8"/>
  <c r="E112" i="8" l="1"/>
  <c r="E125" i="8" s="1"/>
  <c r="E126" i="8"/>
  <c r="D112" i="8"/>
  <c r="D125" i="8" s="1"/>
  <c r="D126" i="8"/>
  <c r="G33" i="51"/>
  <c r="C66" i="8"/>
  <c r="B112" i="8"/>
  <c r="B121" i="8" s="1"/>
  <c r="B126" i="8"/>
  <c r="G82" i="8"/>
  <c r="G96" i="8"/>
  <c r="C112" i="8"/>
  <c r="C121" i="8" s="1"/>
  <c r="C126" i="8"/>
  <c r="I82" i="8"/>
  <c r="I96" i="8"/>
  <c r="H82" i="8"/>
  <c r="H96" i="8"/>
  <c r="F82" i="8"/>
  <c r="F96" i="8"/>
  <c r="C82" i="8"/>
  <c r="C96" i="8"/>
  <c r="J82" i="8"/>
  <c r="J96" i="8"/>
  <c r="D82" i="8"/>
  <c r="D96" i="8"/>
  <c r="B82" i="8"/>
  <c r="B96" i="8"/>
  <c r="J982" i="61"/>
  <c r="K41"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E121" i="8" l="1"/>
  <c r="B125" i="8"/>
  <c r="D121" i="8"/>
  <c r="C125" i="8"/>
  <c r="K982" i="61"/>
  <c r="B71" i="8"/>
  <c r="M601" i="61"/>
  <c r="J603" i="61"/>
  <c r="E528" i="61" s="1"/>
  <c r="J174" i="15"/>
  <c r="M172" i="15"/>
  <c r="F125" i="8"/>
  <c r="F121" i="8"/>
  <c r="B1010" i="61"/>
  <c r="C69" i="8"/>
  <c r="D1009" i="61"/>
  <c r="E68" i="8"/>
  <c r="H31" i="51"/>
  <c r="P1523" i="61"/>
  <c r="L343" i="11"/>
  <c r="L1860" i="61" s="1"/>
  <c r="O1646" i="61"/>
  <c r="B58" i="8"/>
  <c r="B1012" i="61" l="1"/>
  <c r="C71" i="8"/>
  <c r="M61" i="49"/>
  <c r="P61" i="49" s="1"/>
  <c r="L409" i="61"/>
  <c r="N409" i="61" s="1"/>
  <c r="C21" i="51"/>
  <c r="E99" i="15"/>
  <c r="J7" i="7"/>
  <c r="L408" i="61"/>
  <c r="N408" i="61" s="1"/>
  <c r="L45" i="3"/>
  <c r="N45" i="3" s="1"/>
  <c r="L46" i="3"/>
  <c r="N46" i="3" s="1"/>
  <c r="C1010" i="61"/>
  <c r="D69" i="8"/>
  <c r="E1009" i="61"/>
  <c r="F68" i="8"/>
  <c r="I31" i="51"/>
  <c r="C58" i="8"/>
  <c r="C1012" i="61" l="1"/>
  <c r="D71" i="8"/>
  <c r="C41" i="51"/>
  <c r="D41" i="51" s="1"/>
  <c r="E41" i="51" s="1"/>
  <c r="D21" i="51"/>
  <c r="C22" i="51"/>
  <c r="C42" i="51" s="1"/>
  <c r="D42" i="51" s="1"/>
  <c r="E42" i="51" s="1"/>
  <c r="D1010" i="61"/>
  <c r="E69" i="8"/>
  <c r="F1009" i="61"/>
  <c r="G68" i="8"/>
  <c r="C51" i="51"/>
  <c r="D58" i="8"/>
  <c r="D1012" i="61" l="1"/>
  <c r="E71" i="8"/>
  <c r="E21" i="51"/>
  <c r="D22" i="51"/>
  <c r="E1010" i="61"/>
  <c r="F69" i="8"/>
  <c r="G1009" i="61"/>
  <c r="H68" i="8"/>
  <c r="D51" i="51"/>
  <c r="E58" i="8"/>
  <c r="E1012" i="61" l="1"/>
  <c r="F71" i="8"/>
  <c r="F21" i="51"/>
  <c r="E22" i="51"/>
  <c r="G69" i="8"/>
  <c r="F1010" i="61"/>
  <c r="H1009" i="61"/>
  <c r="I68" i="8"/>
  <c r="E51" i="51"/>
  <c r="F58" i="8"/>
  <c r="F1012" i="61" l="1"/>
  <c r="G71" i="8"/>
  <c r="F22" i="51"/>
  <c r="G21" i="51"/>
  <c r="H69" i="8"/>
  <c r="G1010" i="61"/>
  <c r="I1009" i="61"/>
  <c r="J68" i="8"/>
  <c r="F51" i="51"/>
  <c r="G58" i="8"/>
  <c r="G1012" i="61" l="1"/>
  <c r="H71" i="8"/>
  <c r="G22" i="51"/>
  <c r="H21" i="51"/>
  <c r="I69" i="8"/>
  <c r="H1010" i="61"/>
  <c r="J1009" i="61"/>
  <c r="K68" i="8"/>
  <c r="G51" i="51"/>
  <c r="H58" i="8"/>
  <c r="H1012" i="61" l="1"/>
  <c r="I71" i="8"/>
  <c r="H22" i="51"/>
  <c r="I21" i="51"/>
  <c r="I22" i="51" s="1"/>
  <c r="I1010" i="61"/>
  <c r="J69" i="8"/>
  <c r="K1009" i="61"/>
  <c r="B98" i="8"/>
  <c r="H51" i="51"/>
  <c r="I58" i="8"/>
  <c r="I1012" i="61" l="1"/>
  <c r="J71" i="8"/>
  <c r="J1010" i="61"/>
  <c r="K69" i="8"/>
  <c r="B1039" i="61"/>
  <c r="C98" i="8"/>
  <c r="J58" i="8"/>
  <c r="J1012" i="61" l="1"/>
  <c r="K71" i="8"/>
  <c r="K1010" i="61"/>
  <c r="B99" i="8"/>
  <c r="C1039" i="61"/>
  <c r="D98" i="8"/>
  <c r="K5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B30" i="8"/>
  <c r="C23" i="8"/>
  <c r="D23" i="8"/>
  <c r="D30" i="8" s="1"/>
  <c r="E23" i="8"/>
  <c r="F23" i="8"/>
  <c r="G23" i="8"/>
  <c r="H23" i="8"/>
  <c r="I23" i="8"/>
  <c r="J23" i="8"/>
  <c r="K23" i="8"/>
  <c r="B53" i="8"/>
  <c r="C53" i="8"/>
  <c r="D53" i="8"/>
  <c r="D60" i="8" s="1"/>
  <c r="E53" i="8"/>
  <c r="E60" i="8" s="1"/>
  <c r="F53" i="8"/>
  <c r="G53" i="8"/>
  <c r="H53" i="8"/>
  <c r="I53" i="8"/>
  <c r="J53" i="8"/>
  <c r="K53" i="8"/>
  <c r="B83" i="8"/>
  <c r="C83" i="8"/>
  <c r="D83" i="8"/>
  <c r="D90" i="8" s="1"/>
  <c r="E83" i="8"/>
  <c r="E90" i="8" s="1"/>
  <c r="F83" i="8"/>
  <c r="G83" i="8"/>
  <c r="H83" i="8"/>
  <c r="I83" i="8"/>
  <c r="J83" i="8"/>
  <c r="K83" i="8"/>
  <c r="B1072" i="61" l="1"/>
  <c r="C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72" i="61" l="1"/>
  <c r="D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072" i="61" l="1"/>
  <c r="E131" i="8"/>
  <c r="D120" i="8"/>
  <c r="E1070" i="61"/>
  <c r="F129" i="8"/>
  <c r="F1070" i="61" s="1"/>
  <c r="E118" i="8"/>
  <c r="D17" i="51"/>
  <c r="D18" i="51" s="1"/>
  <c r="D20" i="51" s="1"/>
  <c r="D24" i="51" s="1"/>
  <c r="K7" i="51" s="1"/>
  <c r="E10" i="51"/>
  <c r="E37" i="8"/>
  <c r="E978" i="61" s="1"/>
  <c r="E1072" i="61" l="1"/>
  <c r="F131" i="8"/>
  <c r="F1072" i="61" s="1"/>
  <c r="E120" i="8"/>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<sst xmlns="http://schemas.openxmlformats.org/spreadsheetml/2006/main" count="12553" uniqueCount="4488">
  <si>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</si>
  <si>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</si>
  <si>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</si>
  <si>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</si>
  <si>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</si>
  <si>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</si>
  <si>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</si>
  <si>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</si>
  <si>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</si>
  <si>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</si>
  <si>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</si>
  <si>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</si>
  <si>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</si>
  <si>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</si>
  <si>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</si>
  <si>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</si>
  <si>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</si>
  <si>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</si>
  <si>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</si>
  <si>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</si>
  <si>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</si>
  <si>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</si>
  <si>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</si>
  <si>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</si>
  <si>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</si>
  <si>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</si>
  <si>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</si>
  <si>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</si>
  <si>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</si>
  <si>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</si>
  <si>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</si>
  <si>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</si>
  <si>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</si>
  <si>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</si>
  <si>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</si>
  <si>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</si>
  <si>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</si>
  <si>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</si>
  <si>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</si>
  <si>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</si>
  <si>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</si>
  <si>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</si>
  <si>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</si>
  <si>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</si>
  <si>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</si>
  <si>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</si>
  <si>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</si>
  <si>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</si>
  <si>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</si>
  <si>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</si>
  <si>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</si>
  <si>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</si>
  <si>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</si>
  <si>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</si>
  <si>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</si>
  <si>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</si>
  <si>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</si>
  <si>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</si>
  <si>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</si>
  <si>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</si>
  <si>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</si>
  <si>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</si>
  <si>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</si>
  <si>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</si>
  <si>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</si>
  <si>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</si>
  <si>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</si>
  <si>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</si>
  <si>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</si>
  <si>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</si>
  <si>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</si>
  <si>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</si>
  <si>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</si>
  <si>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</si>
  <si>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</si>
  <si>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</si>
  <si>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</si>
  <si>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</si>
  <si>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</si>
  <si>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</si>
  <si>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</si>
  <si>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</si>
  <si>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</si>
  <si>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</si>
  <si>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</si>
  <si>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</si>
  <si>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</si>
  <si>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</si>
  <si>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</si>
  <si>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</si>
  <si>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</si>
  <si>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</si>
  <si>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</si>
  <si>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</si>
  <si>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</si>
  <si>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</si>
  <si>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</si>
  <si>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</si>
  <si>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</si>
  <si>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</si>
  <si>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</si>
  <si>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</si>
  <si>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</si>
  <si>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</si>
  <si>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</si>
  <si>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</si>
  <si>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</si>
  <si>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</si>
  <si>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</si>
  <si>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</si>
  <si>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</si>
  <si>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</si>
  <si>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</si>
  <si>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</si>
  <si>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</si>
  <si>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</si>
  <si>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</si>
  <si>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</si>
  <si>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</si>
  <si>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</si>
  <si>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</si>
  <si>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</si>
  <si>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</si>
  <si>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</si>
  <si>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</si>
  <si>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</si>
  <si>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</si>
  <si>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</si>
  <si>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</si>
  <si>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</si>
  <si>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</si>
  <si>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</si>
  <si>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</si>
  <si>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</si>
  <si>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</si>
  <si>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</si>
  <si>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</si>
  <si>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</si>
  <si>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</si>
  <si>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</si>
  <si>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</si>
  <si>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</si>
  <si>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</si>
  <si>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</si>
  <si>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</si>
  <si>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</si>
  <si>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</si>
  <si>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</si>
  <si>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</si>
  <si>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</si>
  <si>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</si>
  <si>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</si>
  <si>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</si>
  <si>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</si>
  <si>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</si>
  <si>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</si>
  <si>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</si>
  <si>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</si>
  <si>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</si>
  <si>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</si>
  <si>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</si>
  <si>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</si>
  <si>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</si>
  <si>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</si>
  <si>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</si>
  <si>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</si>
  <si>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</si>
  <si>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</si>
  <si>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</si>
  <si>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</si>
  <si>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</si>
  <si>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</si>
  <si>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</si>
  <si>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</si>
  <si>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</si>
  <si>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</si>
  <si>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</si>
  <si>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</si>
  <si>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</si>
  <si>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</si>
  <si>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</si>
  <si>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</si>
  <si>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</si>
  <si>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</si>
  <si>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</si>
  <si>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</si>
  <si>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</si>
  <si>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</si>
  <si>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</si>
  <si>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</si>
  <si>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</si>
  <si>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</si>
  <si>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</si>
  <si>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</si>
  <si>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</si>
  <si>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</si>
  <si>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</si>
  <si>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</si>
  <si>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</si>
  <si>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</si>
  <si>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</si>
  <si>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</si>
  <si>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</si>
  <si>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</si>
  <si>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</si>
  <si>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</si>
  <si>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</si>
  <si>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</si>
  <si>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</si>
  <si>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</si>
  <si>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</si>
  <si>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</si>
  <si>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</si>
  <si>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</si>
  <si>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</si>
  <si>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</si>
  <si>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</si>
  <si>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</si>
  <si>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</si>
  <si>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</si>
  <si>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</si>
  <si>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</si>
  <si>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</si>
  <si>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</si>
  <si>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</si>
  <si>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</si>
  <si>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</si>
  <si>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</si>
  <si>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</si>
  <si>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</si>
  <si>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</si>
  <si>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</si>
  <si>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</si>
  <si>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</si>
  <si>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</si>
  <si>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</si>
  <si>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</si>
  <si>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</si>
  <si>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</si>
  <si>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</si>
  <si>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</si>
  <si>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</si>
  <si>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</si>
  <si>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</si>
  <si>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</si>
  <si>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</si>
  <si>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</si>
  <si>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</si>
  <si>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</si>
  <si>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</si>
  <si>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</si>
  <si>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</si>
  <si>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</si>
  <si>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</si>
  <si>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</si>
  <si>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</si>
  <si>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</si>
  <si>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</si>
  <si>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</si>
  <si>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</si>
  <si>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</si>
  <si>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</si>
  <si>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</si>
  <si>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</si>
  <si>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</si>
  <si>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</si>
  <si>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</si>
  <si>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</si>
  <si>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</si>
  <si>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</si>
  <si>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</si>
  <si>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</si>
  <si>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</si>
  <si>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</si>
  <si>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</si>
  <si>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</si>
  <si>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</si>
  <si>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</si>
  <si>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</si>
  <si>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</si>
  <si>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</si>
  <si>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</si>
  <si>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</si>
  <si>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</si>
  <si>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</si>
  <si>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</si>
  <si>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</si>
  <si>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</si>
  <si>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</si>
  <si>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</si>
  <si>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</si>
  <si>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</si>
  <si>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</si>
  <si>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</si>
  <si>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</si>
  <si>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</si>
  <si>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</si>
  <si>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</si>
  <si>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</si>
  <si>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</si>
  <si>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</si>
  <si>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</si>
  <si>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</si>
  <si>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</si>
  <si>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</si>
  <si>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</si>
  <si>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</si>
  <si>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</si>
  <si>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</si>
  <si>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</si>
  <si>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</si>
  <si>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</si>
  <si>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</si>
  <si>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</si>
  <si>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</si>
  <si>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</si>
  <si>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</si>
  <si>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</si>
  <si>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</si>
  <si>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</si>
  <si>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</si>
  <si>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</si>
  <si>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</si>
  <si>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</si>
  <si>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</si>
  <si>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</si>
  <si>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</si>
  <si>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</si>
  <si>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</si>
  <si>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</si>
  <si>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</si>
  <si>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</si>
  <si>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</si>
  <si>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</si>
  <si>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</si>
  <si>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</si>
  <si>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</si>
  <si>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</si>
  <si>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</si>
  <si>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</si>
  <si>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</si>
  <si>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</si>
  <si>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</si>
  <si>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</si>
  <si>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</si>
  <si>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</si>
  <si>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</si>
  <si>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</si>
  <si>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</si>
  <si>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</si>
  <si>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</si>
  <si>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</si>
  <si>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</si>
  <si>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</si>
  <si>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</si>
  <si>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</si>
  <si>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</si>
  <si>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</si>
  <si>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</si>
  <si>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</si>
  <si>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</si>
  <si>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</si>
  <si>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</si>
  <si>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</si>
  <si>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</si>
  <si>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</si>
  <si>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</si>
  <si>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</si>
  <si>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</si>
  <si>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</si>
  <si>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</si>
  <si>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</si>
  <si>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</si>
  <si>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</si>
  <si>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</si>
  <si>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</si>
  <si>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</si>
  <si>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</si>
  <si>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</si>
  <si>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</si>
  <si>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</si>
  <si>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</si>
  <si>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</si>
  <si>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</si>
  <si>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</si>
  <si>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</si>
  <si>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</si>
  <si>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</si>
  <si>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</si>
  <si>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</si>
  <si>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</si>
  <si>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</si>
  <si>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</si>
  <si>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</si>
  <si>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</si>
  <si>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</si>
  <si>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</si>
  <si>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</si>
  <si>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</si>
  <si>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</si>
  <si>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</si>
  <si>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</si>
  <si>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</si>
  <si>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</si>
  <si>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</si>
  <si>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</si>
  <si>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</si>
  <si>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</si>
  <si>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</si>
  <si>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</si>
  <si>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</si>
  <si>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</si>
  <si>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</si>
  <si>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</si>
  <si>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</si>
  <si>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</si>
  <si>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</si>
  <si>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</si>
  <si>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</si>
  <si>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</si>
  <si>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</si>
  <si>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</si>
  <si>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</si>
  <si>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</si>
  <si>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</si>
  <si>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</si>
  <si>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</si>
  <si>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</si>
  <si>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</si>
  <si>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</si>
  <si>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</si>
  <si>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</si>
  <si>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</si>
  <si>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</si>
  <si>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</si>
  <si>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</si>
  <si>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</si>
  <si>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</si>
  <si>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</si>
  <si>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</si>
  <si>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</si>
  <si>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</si>
  <si>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</si>
  <si>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</si>
  <si>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</si>
  <si>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</si>
  <si>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</si>
  <si>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</si>
  <si>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</si>
  <si>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</si>
  <si>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</si>
  <si>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</si>
  <si>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</si>
  <si>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</si>
  <si>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</si>
  <si>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</si>
  <si>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</si>
  <si>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</si>
  <si>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</si>
  <si>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</si>
  <si>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</si>
  <si>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</si>
  <si>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</si>
  <si>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</si>
  <si>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</si>
  <si>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</si>
  <si>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</si>
  <si>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</si>
  <si>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</si>
  <si>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</si>
  <si>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</si>
  <si>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</si>
  <si>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</si>
  <si>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</si>
  <si>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</si>
  <si>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</si>
  <si>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</si>
  <si>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</si>
  <si>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</si>
  <si>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</si>
  <si>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</si>
  <si>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</si>
  <si>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</si>
  <si>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</si>
  <si>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</si>
  <si>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</si>
  <si>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</si>
  <si>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</si>
  <si>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</si>
  <si>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</si>
  <si>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</si>
  <si>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</si>
  <si>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</si>
  <si>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</si>
  <si>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</si>
  <si>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</si>
  <si>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</si>
  <si>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</si>
  <si>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</si>
  <si>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</si>
  <si>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</si>
  <si>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</si>
  <si>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</si>
  <si>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</si>
  <si>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</si>
  <si>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</si>
  <si>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</si>
  <si>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</si>
  <si>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</si>
  <si>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</si>
  <si>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</si>
  <si>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</si>
  <si>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</si>
  <si>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</si>
  <si>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</si>
  <si>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</si>
  <si>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</si>
  <si>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</si>
  <si>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</si>
  <si>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</si>
  <si>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</si>
  <si>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</si>
  <si>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</si>
  <si>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</si>
  <si>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</si>
  <si>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</si>
  <si>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</si>
  <si>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</si>
  <si>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</si>
  <si>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</si>
  <si>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</si>
  <si>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</si>
  <si>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</si>
  <si>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</si>
  <si>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</si>
  <si>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</si>
  <si>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</si>
  <si>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</si>
  <si>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</si>
  <si>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</si>
  <si>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</si>
  <si>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</si>
  <si>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</si>
  <si>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</si>
  <si>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</si>
  <si>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</si>
  <si>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</si>
  <si>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</si>
  <si>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</si>
  <si>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</si>
  <si>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</si>
  <si>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</si>
  <si>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</si>
  <si>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</si>
  <si>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</si>
  <si>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</si>
  <si>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</si>
  <si>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</si>
  <si>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</si>
  <si>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</si>
  <si>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</si>
  <si>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</si>
  <si>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</si>
  <si>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</si>
  <si>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</si>
  <si>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</si>
  <si>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</si>
  <si>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</si>
  <si>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</si>
  <si>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</si>
  <si>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</si>
  <si>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</si>
  <si>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</si>
  <si>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</si>
  <si>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</si>
  <si>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</si>
  <si>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</si>
  <si>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</si>
  <si>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</si>
  <si>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</si>
  <si>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</si>
  <si>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</si>
  <si>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</si>
  <si>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</si>
  <si>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</si>
  <si>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</si>
  <si>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</si>
  <si>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</si>
  <si>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</si>
  <si>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</si>
  <si>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</si>
  <si>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</si>
  <si>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</si>
  <si>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</si>
  <si>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</si>
  <si>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</si>
  <si>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</si>
  <si>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</si>
  <si>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</si>
  <si>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</si>
  <si>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</si>
  <si>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</si>
  <si>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</si>
  <si>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</si>
  <si>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</si>
  <si>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</si>
  <si>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</si>
  <si>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</si>
  <si>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</si>
  <si>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</si>
  <si>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</si>
  <si>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</si>
  <si>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</si>
  <si>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</si>
  <si>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</si>
  <si>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</si>
  <si>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</si>
  <si>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</si>
  <si>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</si>
  <si>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</si>
  <si>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</si>
  <si>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</si>
  <si>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</si>
  <si>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</si>
  <si>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</si>
  <si>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</si>
  <si>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</si>
  <si>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</si>
  <si>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</si>
  <si>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</si>
  <si>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</si>
  <si>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</si>
  <si>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</si>
  <si>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</si>
  <si>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</si>
  <si>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</si>
  <si>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</si>
  <si>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</si>
  <si>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</si>
  <si>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</si>
  <si>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</si>
  <si>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</si>
  <si>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</si>
  <si>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</si>
  <si>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</si>
  <si>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</si>
  <si>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</si>
  <si>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</si>
  <si>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</si>
  <si>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</si>
  <si>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</si>
  <si>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</si>
  <si>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</si>
  <si>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</si>
  <si>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</si>
  <si>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</si>
  <si>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</si>
  <si>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</si>
  <si>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</si>
  <si>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</si>
  <si>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</si>
  <si>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</si>
  <si>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</si>
  <si>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</si>
  <si>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</si>
  <si>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</si>
  <si>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</si>
  <si>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</si>
  <si>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</si>
  <si>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</si>
  <si>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</si>
  <si>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</si>
  <si>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</si>
  <si>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</si>
  <si>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</si>
  <si>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</si>
  <si>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</si>
  <si>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</si>
  <si>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</si>
  <si>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</si>
  <si>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</si>
  <si>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</si>
  <si>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</si>
  <si>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</si>
  <si>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</si>
  <si>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</si>
  <si>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</si>
  <si>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</si>
  <si>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</si>
  <si>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</si>
  <si>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</si>
  <si>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</si>
  <si>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</si>
  <si>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</si>
  <si>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</si>
  <si>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</si>
  <si>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</si>
  <si>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</si>
  <si>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</si>
  <si>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</si>
  <si>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</si>
  <si>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</si>
  <si>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</si>
  <si>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</si>
  <si>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</si>
  <si>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</si>
  <si>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</si>
  <si>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</si>
  <si>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</si>
  <si>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</si>
  <si>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</si>
  <si>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</si>
  <si>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</si>
  <si>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</si>
  <si>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</si>
  <si>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</si>
  <si>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</si>
  <si>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</si>
  <si>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</si>
  <si>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</si>
  <si>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</si>
  <si>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</si>
  <si>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</si>
  <si>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</si>
  <si>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</si>
  <si>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</si>
  <si>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</si>
  <si>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</si>
  <si>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</si>
  <si>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</si>
  <si>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</si>
  <si>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</si>
  <si>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</si>
  <si>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</si>
  <si>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</si>
  <si>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</si>
  <si>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</si>
  <si>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</si>
  <si>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</si>
  <si>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</si>
  <si>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</si>
  <si>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</si>
  <si>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</si>
  <si>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</si>
  <si>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</si>
  <si>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</si>
  <si>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</si>
  <si>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</si>
  <si>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</si>
  <si>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</si>
  <si>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</si>
  <si>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</si>
  <si>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</si>
  <si>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</si>
  <si>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</si>
  <si>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</si>
  <si>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</si>
  <si>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</si>
  <si>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</si>
  <si>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</si>
  <si>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</si>
  <si>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</si>
  <si>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</si>
  <si>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</si>
  <si>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</si>
  <si>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</si>
  <si>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</si>
  <si>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</si>
  <si>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</si>
  <si>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</si>
  <si>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</si>
  <si>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</si>
  <si>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</si>
  <si>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</si>
  <si>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</si>
  <si>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</si>
  <si>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</si>
  <si>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</si>
  <si>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</si>
  <si>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</si>
  <si>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</si>
  <si>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</si>
  <si>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</si>
  <si>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</si>
  <si>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</si>
  <si>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</si>
  <si>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</si>
  <si>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</si>
  <si>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</si>
  <si>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</si>
  <si>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</si>
  <si>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</si>
  <si>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</si>
  <si>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</si>
  <si>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</si>
  <si>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</si>
  <si>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</si>
  <si>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</si>
  <si>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</si>
  <si>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</si>
  <si>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</si>
  <si>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</si>
  <si>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</si>
  <si>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</si>
  <si>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</si>
  <si>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</si>
  <si>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</si>
  <si>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</si>
  <si>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</si>
  <si>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</si>
  <si>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</si>
  <si>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</si>
  <si>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</si>
  <si>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</si>
  <si>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</si>
  <si>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</si>
  <si>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</si>
  <si>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</si>
  <si>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</si>
  <si>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</si>
  <si>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</si>
  <si>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</si>
  <si>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</si>
  <si>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</si>
  <si>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</si>
  <si>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</si>
  <si>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</si>
  <si>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</si>
  <si>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</si>
  <si>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</si>
  <si>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</si>
  <si>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</si>
  <si>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</si>
  <si>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</si>
  <si>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</si>
  <si>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</si>
  <si>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</si>
  <si>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</si>
  <si>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</si>
  <si>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</si>
  <si>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</si>
  <si>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</si>
  <si>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</si>
  <si>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</si>
  <si>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</si>
  <si>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</si>
  <si>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</si>
  <si>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</si>
  <si>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</si>
  <si>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</si>
  <si>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</si>
  <si>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</si>
  <si>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</si>
  <si>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</si>
  <si>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</si>
  <si>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</si>
  <si>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</si>
  <si>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</si>
  <si>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</si>
  <si>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</si>
  <si>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</si>
  <si>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</si>
  <si>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</si>
  <si>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</si>
  <si>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</si>
  <si>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</si>
  <si>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</si>
  <si>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</si>
  <si>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</si>
  <si>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</si>
  <si>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</si>
  <si>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</si>
  <si>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</si>
  <si>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</si>
  <si>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</si>
  <si>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</si>
  <si>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</si>
  <si>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</si>
  <si>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</si>
  <si>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</si>
  <si>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</si>
  <si>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</si>
  <si>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</si>
  <si>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</si>
  <si>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</si>
  <si>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</si>
  <si>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</si>
  <si>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</si>
  <si>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</si>
  <si>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</si>
  <si>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</si>
  <si>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</si>
  <si>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</si>
  <si>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</si>
  <si>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</si>
  <si>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</si>
  <si>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</si>
  <si>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</si>
  <si>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</si>
  <si>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</si>
  <si>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</si>
  <si>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</si>
  <si>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</si>
  <si>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</si>
  <si>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</si>
  <si>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</si>
  <si>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</si>
  <si>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</si>
  <si>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</si>
  <si>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</si>
  <si>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</si>
  <si>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</si>
  <si>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</si>
  <si>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</si>
  <si>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</si>
  <si>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</si>
  <si>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</si>
  <si>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</si>
  <si>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</si>
  <si>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</si>
  <si>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</si>
  <si>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</si>
  <si>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</si>
  <si>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</si>
  <si>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</si>
  <si>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</si>
  <si>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</si>
  <si>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</si>
  <si>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</si>
  <si>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</si>
  <si>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</si>
  <si>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</si>
  <si>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</si>
  <si>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</si>
  <si>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</si>
  <si>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</si>
  <si>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</si>
  <si>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</si>
  <si>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</si>
  <si>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</si>
  <si>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</si>
  <si>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</si>
  <si>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</si>
  <si>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</si>
  <si>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</si>
  <si>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</si>
  <si>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</si>
  <si>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</si>
  <si>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</si>
  <si>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</si>
  <si>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</si>
  <si>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</si>
  <si>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</si>
  <si>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</si>
  <si>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</si>
  <si>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</si>
  <si>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</si>
  <si>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</si>
  <si>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</si>
  <si>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</si>
  <si>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</si>
  <si>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</si>
  <si>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</si>
  <si>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</si>
  <si>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</si>
  <si>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</si>
  <si>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</si>
  <si>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</si>
  <si>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</si>
  <si>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</si>
  <si>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</si>
  <si>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</si>
  <si>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</si>
  <si>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</si>
  <si>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</si>
  <si>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</si>
  <si>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</si>
  <si>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</si>
  <si>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</si>
  <si>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</si>
  <si>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</si>
  <si>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</si>
  <si>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</si>
  <si>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</si>
  <si>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</si>
  <si>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</si>
  <si>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</si>
  <si>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</si>
  <si>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</si>
  <si>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</si>
  <si>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</si>
  <si>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</si>
  <si>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</si>
  <si>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</si>
  <si>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</si>
  <si>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</si>
  <si>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</si>
  <si>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</si>
  <si>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</si>
  <si>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</si>
  <si>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</si>
  <si>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</si>
  <si>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</si>
  <si>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</si>
  <si>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</si>
  <si>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</si>
  <si>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</si>
  <si>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</si>
  <si>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</si>
  <si>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</si>
  <si>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</si>
  <si>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</si>
  <si>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</si>
  <si>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</si>
  <si>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</si>
  <si>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</si>
  <si>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</si>
  <si>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</si>
  <si>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</si>
  <si>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</si>
  <si>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</si>
  <si>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</si>
  <si>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</si>
  <si>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</si>
  <si>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</si>
  <si>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</si>
  <si>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</si>
  <si>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</si>
  <si>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</si>
  <si>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</si>
  <si>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</si>
  <si>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</si>
  <si>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</si>
  <si>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</si>
  <si>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</si>
  <si>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</si>
  <si>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</si>
  <si>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</si>
  <si>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</si>
  <si>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</si>
  <si>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</si>
  <si>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</si>
  <si>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</si>
  <si>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</si>
  <si>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</si>
  <si>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</si>
  <si>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</si>
  <si>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</si>
  <si>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</si>
  <si>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</si>
  <si>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</si>
  <si>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</si>
  <si>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</si>
  <si>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</si>
  <si>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</si>
  <si>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</si>
  <si>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</si>
  <si>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</si>
  <si>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</si>
  <si>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</si>
  <si>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</si>
  <si>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</si>
  <si>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</si>
  <si>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</si>
  <si>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</si>
  <si>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</si>
  <si>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</si>
  <si>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</si>
  <si>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</si>
  <si>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</si>
  <si>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</si>
  <si>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</si>
  <si>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</si>
  <si>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</si>
  <si>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</si>
  <si>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</si>
  <si>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</si>
  <si>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</si>
  <si>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</si>
  <si>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</si>
  <si>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</si>
  <si>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</si>
  <si>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</si>
  <si>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</si>
  <si>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</si>
  <si>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</si>
  <si>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</si>
  <si>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</si>
  <si>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</si>
  <si>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</si>
  <si>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</si>
  <si>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</si>
  <si>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</si>
  <si>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</si>
  <si>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</si>
  <si>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</si>
  <si>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</si>
  <si>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</si>
  <si>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</si>
  <si>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</si>
  <si>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</si>
  <si>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</si>
  <si>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</si>
  <si>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</si>
  <si>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</si>
  <si>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</si>
  <si>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</si>
  <si>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</si>
  <si>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</si>
  <si>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</si>
  <si>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</si>
  <si>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</si>
  <si>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</si>
  <si>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</si>
  <si>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</si>
  <si>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</si>
  <si>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</si>
  <si>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</si>
  <si>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</si>
  <si>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</si>
  <si>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</si>
  <si>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</si>
  <si>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</si>
  <si>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</si>
  <si>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</si>
  <si>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</si>
  <si>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</si>
  <si>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</si>
  <si>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</si>
  <si>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</si>
  <si>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</si>
  <si>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</si>
  <si>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</si>
  <si>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</si>
  <si>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</si>
  <si>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</si>
  <si>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</si>
  <si>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</si>
  <si>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</si>
  <si>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</si>
  <si>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</si>
  <si>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</si>
  <si>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</si>
  <si>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</si>
  <si>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</si>
  <si>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</si>
  <si>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</si>
  <si>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</si>
  <si>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</si>
  <si>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</si>
  <si>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</si>
  <si>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</si>
  <si>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</si>
  <si>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</si>
  <si>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</si>
  <si>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</si>
  <si>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</si>
  <si>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</si>
  <si>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</si>
  <si>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</si>
  <si>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</si>
  <si>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</si>
  <si>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</si>
  <si>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</si>
  <si>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</si>
  <si>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</si>
  <si>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</si>
  <si>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</si>
  <si>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</si>
  <si>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</si>
  <si>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</si>
  <si>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</si>
  <si>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</si>
  <si>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</si>
  <si>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</si>
  <si>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</si>
  <si>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</si>
  <si>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</si>
  <si>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</si>
  <si>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</si>
  <si>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</si>
  <si>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</si>
  <si>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</si>
  <si>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</si>
  <si>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</si>
  <si>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</si>
  <si>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</si>
  <si>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</si>
  <si>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</si>
  <si>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</si>
  <si>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</si>
  <si>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</si>
  <si>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</si>
  <si>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</si>
  <si>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</si>
  <si>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</si>
  <si>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</si>
  <si>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</si>
  <si>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</si>
  <si>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</si>
  <si>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</si>
  <si>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</si>
  <si>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</si>
  <si>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</si>
  <si>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</si>
  <si>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</si>
  <si>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</si>
  <si>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</si>
  <si>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</si>
  <si>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</si>
  <si>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</si>
  <si>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</si>
  <si>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</si>
  <si>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</si>
  <si>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</si>
  <si>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</si>
  <si>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</si>
  <si>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</si>
  <si>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</si>
  <si>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</si>
  <si>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</si>
  <si>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</si>
  <si>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</si>
  <si>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</si>
  <si>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</si>
  <si>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</si>
  <si>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</si>
  <si>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</si>
  <si>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</si>
  <si>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</si>
  <si>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</si>
  <si>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</si>
  <si>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</si>
  <si>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</si>
  <si>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</si>
  <si>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</si>
  <si>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</si>
  <si>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</si>
  <si>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</si>
  <si>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</si>
  <si>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</si>
  <si>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</si>
  <si>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</si>
  <si>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</si>
  <si>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</si>
  <si>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</si>
  <si>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</si>
  <si>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</si>
  <si>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</si>
  <si>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</si>
  <si>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</si>
  <si>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</si>
  <si>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</si>
  <si>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</si>
  <si>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</si>
  <si>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</si>
  <si>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</si>
  <si>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</si>
  <si>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</si>
  <si>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</si>
  <si>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</si>
  <si>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</si>
  <si>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</si>
  <si>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</si>
  <si>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</si>
  <si>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</si>
  <si>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</si>
  <si>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</si>
  <si>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</si>
  <si>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</si>
  <si>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</si>
  <si>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</si>
  <si>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</si>
  <si>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</si>
  <si>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</si>
  <si>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</si>
  <si>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</si>
  <si>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</si>
  <si>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</si>
  <si>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</si>
  <si>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</si>
  <si>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</si>
  <si>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</si>
  <si>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</si>
  <si>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</si>
  <si>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</si>
  <si>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</si>
  <si>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</si>
  <si>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</si>
  <si>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</si>
  <si>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</si>
  <si>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</si>
  <si>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</si>
  <si>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</si>
  <si>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</si>
  <si>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</si>
  <si>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</si>
  <si>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</si>
  <si>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</si>
  <si>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</si>
  <si>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</si>
  <si>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</si>
  <si>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</si>
  <si>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</si>
  <si>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</si>
  <si>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</si>
  <si>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</si>
  <si>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</si>
  <si>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</si>
  <si>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</si>
  <si>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</si>
  <si>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</si>
  <si>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</si>
  <si>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</si>
  <si>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</si>
  <si>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</si>
  <si>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</si>
  <si>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</si>
  <si>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</si>
  <si>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</si>
  <si>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</si>
  <si>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</si>
  <si>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</si>
  <si>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</si>
  <si>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</si>
  <si>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</si>
  <si>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</si>
  <si>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</si>
  <si>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</si>
  <si>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</si>
  <si>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</si>
  <si>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</si>
  <si>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</si>
  <si>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</si>
  <si>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</si>
  <si>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</si>
  <si>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</si>
  <si>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</si>
  <si>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</si>
  <si>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</si>
  <si>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</si>
  <si>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</si>
  <si>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</si>
  <si>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</si>
  <si>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</si>
  <si>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</si>
  <si>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</si>
  <si>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</si>
  <si>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</si>
  <si>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</si>
  <si>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</si>
  <si>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</si>
  <si>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</si>
  <si>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</si>
  <si>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</si>
  <si>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</si>
  <si>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</si>
  <si>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</si>
  <si>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</si>
  <si>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</si>
  <si>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</si>
  <si>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</si>
  <si>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</si>
  <si>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</si>
  <si>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</si>
  <si>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</si>
  <si>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</si>
  <si>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</si>
  <si>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</si>
  <si>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</si>
  <si>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</si>
  <si>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</si>
  <si>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</si>
  <si>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</si>
  <si>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</si>
  <si>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</si>
  <si>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</si>
  <si>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</si>
  <si>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</si>
  <si>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</si>
  <si>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</si>
  <si>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</si>
  <si>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</si>
  <si>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</si>
  <si>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</si>
  <si>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</si>
  <si>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</si>
  <si>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</si>
  <si>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</si>
  <si>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</si>
  <si>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</si>
  <si>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</si>
  <si>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</si>
  <si>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</si>
  <si>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</si>
  <si>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</si>
  <si>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</si>
  <si>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</si>
  <si>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</si>
  <si>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</si>
  <si>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</si>
  <si>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</si>
  <si>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</si>
  <si>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</si>
  <si>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</si>
  <si>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</si>
  <si>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</si>
  <si>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</si>
  <si>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</si>
  <si>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</si>
  <si>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</si>
  <si>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</si>
  <si>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</si>
  <si>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</si>
  <si>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</si>
  <si>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</si>
  <si>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</si>
  <si>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</si>
  <si>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</si>
  <si>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</si>
  <si>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</si>
  <si>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</si>
  <si>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</si>
  <si>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</si>
  <si>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</si>
  <si>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</si>
  <si>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</si>
  <si>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</si>
  <si>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</si>
  <si>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</si>
  <si>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</si>
  <si>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</si>
  <si>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</si>
  <si>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</si>
  <si>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</si>
  <si>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</si>
  <si>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</si>
  <si>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</si>
  <si>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</si>
  <si>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</si>
  <si>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</si>
  <si>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</si>
  <si>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</si>
  <si>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</si>
  <si>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</si>
  <si>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</si>
  <si>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</si>
  <si>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</si>
  <si>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</si>
  <si>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</si>
  <si>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</si>
  <si>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</si>
  <si>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</si>
  <si>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</si>
  <si>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</si>
  <si>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</si>
  <si>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</si>
  <si>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</si>
  <si>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</si>
  <si>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</si>
  <si>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</si>
  <si>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</si>
  <si>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</si>
  <si>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</si>
  <si>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</si>
  <si>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</si>
  <si>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</si>
  <si>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</si>
  <si>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</si>
  <si>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</si>
  <si>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</si>
  <si>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</si>
  <si>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</si>
  <si>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</si>
  <si>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</si>
  <si>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</si>
  <si>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</si>
  <si>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</si>
  <si>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</si>
  <si>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</si>
  <si>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</si>
  <si>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</si>
  <si>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</si>
  <si>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</si>
  <si>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</si>
  <si>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</si>
  <si>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</si>
  <si>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</si>
  <si>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</si>
  <si>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</si>
  <si>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</si>
  <si>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</si>
  <si>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</si>
  <si>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</si>
  <si>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</si>
  <si>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</si>
  <si>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</si>
  <si>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</si>
  <si>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</si>
  <si>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</si>
  <si>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</si>
  <si>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</si>
  <si>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</si>
  <si>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</si>
  <si>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</si>
  <si>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</si>
  <si>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</si>
  <si>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</si>
  <si>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</si>
  <si>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</si>
  <si>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</si>
  <si>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</si>
  <si>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</si>
  <si>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</si>
  <si>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</si>
  <si>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</si>
  <si>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</si>
  <si>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</si>
  <si>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</si>
  <si>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</si>
  <si>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</si>
  <si>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</si>
  <si>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</si>
  <si>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</si>
  <si>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</si>
  <si>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</si>
  <si>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</si>
  <si>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</si>
  <si>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</si>
  <si>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</si>
  <si>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</si>
  <si>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</si>
  <si>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</si>
  <si>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</si>
  <si>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</si>
  <si>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</si>
  <si>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</si>
  <si>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</si>
  <si>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</si>
  <si>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</si>
  <si>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</si>
  <si>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</si>
  <si>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</si>
  <si>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</si>
  <si>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</si>
  <si>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</si>
  <si>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</si>
  <si>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</si>
  <si>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</si>
  <si>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</si>
  <si>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</si>
  <si>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</si>
  <si>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</si>
  <si>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</si>
  <si>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</si>
  <si>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</si>
  <si>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</si>
  <si>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</si>
  <si>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</si>
  <si>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</si>
  <si>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</si>
  <si>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</si>
  <si>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</si>
  <si>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</si>
  <si>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</si>
  <si>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</si>
  <si>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</si>
  <si>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</si>
  <si>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</si>
  <si>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</si>
  <si>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</si>
  <si>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</si>
  <si>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</si>
  <si>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</si>
  <si>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</si>
  <si>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</si>
  <si>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</si>
  <si>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</si>
  <si>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</si>
  <si>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</si>
  <si>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</si>
  <si>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</si>
  <si>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</si>
  <si>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</si>
  <si>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</si>
  <si>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</si>
  <si>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</si>
  <si>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</si>
  <si>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</si>
  <si>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</si>
  <si>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</si>
  <si>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</si>
  <si>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</si>
  <si>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</si>
  <si>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</si>
  <si>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</si>
  <si>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</si>
  <si>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</si>
  <si>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</si>
  <si>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</si>
  <si>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</si>
  <si>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</si>
  <si>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</si>
  <si>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</si>
  <si>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</si>
  <si>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</si>
  <si>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</si>
  <si>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</si>
  <si>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</si>
  <si>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</si>
  <si>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</si>
  <si>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</si>
  <si>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</si>
  <si>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</si>
  <si>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</si>
  <si>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</si>
  <si>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</si>
  <si>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</si>
  <si>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</si>
  <si>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</si>
  <si>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</si>
  <si>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</si>
  <si>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</si>
  <si>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</si>
  <si>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</si>
  <si>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</si>
  <si>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</si>
  <si>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</si>
  <si>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</si>
  <si>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</si>
  <si>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</si>
  <si>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</si>
  <si>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</si>
  <si>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</si>
  <si>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</si>
  <si>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</si>
  <si>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</si>
  <si>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</si>
  <si>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</si>
  <si>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</si>
  <si>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</si>
  <si>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</si>
  <si>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</si>
  <si>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</si>
  <si>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</si>
  <si>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</si>
  <si>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</si>
  <si>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</si>
  <si>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</si>
  <si>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</si>
  <si>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</si>
  <si>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</si>
  <si>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</si>
  <si>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</si>
  <si>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</si>
  <si>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</si>
  <si>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</si>
  <si>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</si>
  <si>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</si>
  <si>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</si>
  <si>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</si>
  <si>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</si>
  <si>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</si>
  <si>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</si>
  <si>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</si>
  <si>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</si>
  <si>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</si>
  <si>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</si>
  <si>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</si>
  <si>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</si>
  <si>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</si>
  <si>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</si>
  <si>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</si>
  <si>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</si>
  <si>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</si>
  <si>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</si>
  <si>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</si>
  <si>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</si>
  <si>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</si>
  <si>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</si>
  <si>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</si>
  <si>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</si>
  <si>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</si>
  <si>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</si>
  <si>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</si>
  <si>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</si>
  <si>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</si>
  <si>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</si>
  <si>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</si>
  <si>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</si>
  <si>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</si>
  <si>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</si>
  <si>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</si>
  <si>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</si>
  <si>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</si>
  <si>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</si>
  <si>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</si>
  <si>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</si>
  <si>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</si>
  <si>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</si>
  <si>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</si>
  <si>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</si>
  <si>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</si>
  <si>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</si>
  <si>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</si>
  <si>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</si>
  <si>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</si>
  <si>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</si>
  <si>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</si>
  <si>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</si>
  <si>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</si>
  <si>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</si>
  <si>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</si>
  <si>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</si>
  <si>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</si>
  <si>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</si>
  <si>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</si>
  <si>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</si>
  <si>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</si>
  <si>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</si>
  <si>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</si>
  <si>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</si>
  <si>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</si>
  <si>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</si>
  <si>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</si>
  <si>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</si>
  <si>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</si>
  <si>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</si>
  <si>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</si>
  <si>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</si>
  <si>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</si>
  <si>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</si>
  <si>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</si>
  <si>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</si>
  <si>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</si>
  <si>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</si>
  <si>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</si>
  <si>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</si>
  <si>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</si>
  <si>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</si>
  <si>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</si>
  <si>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</si>
  <si>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</si>
  <si>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</si>
  <si>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</si>
  <si>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</si>
  <si>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</si>
  <si>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</si>
  <si>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</si>
  <si>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</si>
  <si>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</si>
  <si>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</si>
  <si>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</si>
  <si>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</si>
  <si>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</si>
  <si>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</si>
  <si>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</si>
  <si>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</si>
  <si>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</si>
  <si>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</si>
  <si>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</si>
  <si>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</si>
  <si>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</si>
  <si>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</si>
  <si>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</si>
  <si>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</si>
  <si>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</si>
  <si>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</si>
  <si>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</si>
  <si>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</si>
  <si>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</si>
  <si>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</si>
  <si>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</si>
  <si>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</si>
  <si>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</si>
  <si>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</si>
  <si>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</si>
  <si>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</si>
  <si>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</si>
  <si>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</si>
  <si>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</si>
  <si>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</si>
  <si>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</si>
  <si>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</si>
  <si>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</si>
  <si>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</si>
  <si>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</si>
  <si>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</si>
  <si>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</si>
  <si>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</si>
  <si>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</si>
  <si>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</si>
  <si>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</si>
  <si>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</si>
  <si>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</si>
  <si>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</si>
  <si>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</si>
  <si>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</si>
  <si>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</si>
  <si>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</si>
  <si>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</si>
  <si>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</si>
  <si>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</si>
  <si>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</si>
  <si>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</si>
  <si>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</si>
  <si>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</si>
  <si>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</si>
  <si>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</si>
  <si>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</si>
  <si>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</si>
  <si>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</si>
  <si>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</si>
  <si>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</si>
  <si>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</si>
  <si>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</si>
  <si>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</si>
  <si>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</si>
  <si>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</si>
  <si>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</si>
  <si>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</si>
  <si>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</si>
  <si>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</si>
  <si>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</si>
  <si>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</si>
  <si>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</si>
  <si>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</si>
  <si>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</si>
  <si>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</si>
  <si>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</si>
  <si>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</si>
  <si>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</si>
  <si>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</si>
  <si>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</si>
  <si>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</si>
  <si>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</si>
  <si>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</si>
  <si>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</si>
  <si>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</si>
  <si>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</si>
  <si>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</si>
  <si>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</si>
  <si>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</si>
  <si>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</si>
  <si>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</si>
  <si>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</si>
  <si>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</si>
  <si>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</si>
  <si>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</si>
  <si>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</si>
  <si>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</si>
  <si>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</si>
  <si>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</si>
  <si>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</si>
  <si>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</si>
  <si>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</si>
  <si>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</si>
  <si>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</si>
  <si>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</si>
  <si>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</si>
  <si>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</si>
  <si>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</si>
  <si>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</si>
  <si>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</si>
  <si>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</si>
  <si>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</si>
  <si>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</si>
  <si>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</si>
  <si>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</si>
  <si>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</si>
  <si>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</si>
  <si>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</si>
  <si>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</si>
  <si>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</si>
  <si>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</si>
  <si>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</si>
  <si>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</si>
  <si>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</si>
  <si>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</si>
  <si>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</si>
  <si>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</si>
  <si>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</si>
  <si>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</si>
  <si>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</si>
  <si>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</si>
  <si>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</si>
  <si>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</si>
  <si>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</si>
  <si>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</si>
  <si>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</si>
  <si>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</si>
  <si>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</si>
  <si>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</si>
  <si>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</si>
  <si>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</si>
  <si>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</si>
  <si>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</si>
  <si>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</si>
  <si>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</si>
  <si>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</si>
  <si>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</si>
  <si>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</si>
  <si>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</si>
  <si>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</si>
  <si>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</si>
  <si>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</si>
  <si>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</si>
  <si>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</si>
  <si>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</si>
  <si>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</si>
  <si>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</si>
  <si>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</si>
  <si>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</si>
  <si>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</si>
  <si>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</si>
  <si>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</si>
  <si>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</si>
  <si>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</si>
  <si>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</si>
  <si>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</si>
  <si>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</si>
  <si>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</si>
  <si>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</si>
  <si>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</si>
  <si>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</si>
  <si>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</si>
  <si>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</si>
  <si>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</si>
  <si>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</si>
  <si>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</si>
  <si>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</si>
  <si>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</si>
  <si>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</si>
  <si>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</si>
  <si>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</si>
  <si>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</si>
  <si>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</si>
  <si>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</si>
  <si>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</si>
  <si>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</si>
  <si>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</si>
  <si>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</si>
  <si>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</si>
  <si>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</si>
  <si>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</si>
  <si>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</si>
  <si>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</si>
  <si>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</si>
  <si>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</si>
  <si>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</si>
  <si>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</si>
  <si>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</si>
  <si>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</si>
  <si>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</si>
  <si>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</si>
  <si>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</si>
  <si>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</si>
  <si>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</si>
  <si>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</si>
  <si>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</si>
  <si>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</si>
  <si>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</si>
  <si>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</si>
  <si>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</si>
  <si>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</si>
  <si>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</si>
  <si>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</si>
  <si>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</si>
  <si>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</si>
  <si>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</si>
  <si>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</si>
  <si>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</si>
  <si>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</si>
  <si>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</si>
  <si>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</si>
  <si>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</si>
  <si>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</si>
  <si>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</si>
  <si>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</si>
  <si>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</si>
  <si>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</si>
  <si>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</si>
  <si>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</si>
  <si>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</si>
  <si>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</si>
  <si>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</si>
  <si>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</si>
  <si>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</si>
  <si>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</si>
  <si>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</si>
  <si>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</si>
  <si>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</si>
  <si>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</si>
  <si>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</si>
  <si>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</si>
  <si>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</si>
  <si>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</si>
  <si>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</si>
  <si>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</si>
  <si>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</si>
  <si>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</si>
  <si>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</si>
  <si>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</si>
  <si>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</si>
  <si>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</si>
  <si>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</si>
  <si>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</si>
  <si>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</si>
  <si>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</si>
  <si>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</si>
  <si>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</si>
  <si>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</si>
  <si>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</si>
  <si>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</si>
  <si>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</si>
  <si>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</si>
  <si>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</si>
  <si>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</si>
  <si>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</si>
  <si>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</si>
  <si>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</si>
  <si>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</si>
  <si>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</si>
  <si>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</si>
  <si>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</si>
  <si>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</si>
  <si>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</si>
  <si>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</si>
  <si>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</si>
  <si>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</si>
  <si>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</si>
  <si>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</si>
  <si>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</si>
  <si>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</si>
  <si>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</si>
  <si>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</si>
  <si>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</si>
  <si>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</si>
  <si>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</si>
  <si>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</si>
  <si>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</si>
  <si>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</si>
  <si>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</si>
  <si>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</si>
  <si>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</si>
  <si>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</si>
  <si>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</si>
  <si>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</si>
  <si>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</si>
  <si>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</si>
  <si>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</si>
  <si>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</si>
  <si>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</si>
  <si>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</si>
  <si>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</si>
  <si>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</si>
  <si>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</si>
  <si>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</si>
  <si>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</si>
  <si>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</si>
  <si>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</si>
  <si>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</si>
  <si>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</si>
  <si>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</si>
  <si>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</si>
  <si>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</si>
  <si>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</si>
  <si>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</si>
  <si>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</si>
  <si>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</si>
  <si>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</si>
  <si>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</si>
  <si>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</si>
  <si>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</si>
  <si>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</si>
  <si>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</si>
  <si>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</si>
  <si>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</si>
  <si>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</si>
  <si>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</si>
  <si>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</si>
  <si>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</si>
  <si>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</si>
  <si>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</si>
  <si>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</si>
  <si>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</si>
  <si>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</si>
  <si>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</si>
  <si>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</si>
  <si>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</si>
  <si>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</si>
  <si>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</si>
  <si>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</si>
  <si>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</si>
  <si>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</si>
  <si>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</si>
  <si>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</si>
  <si>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</si>
  <si>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</si>
  <si>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</si>
  <si>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</si>
  <si>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</si>
  <si>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</si>
  <si>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</si>
  <si>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</si>
  <si>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</si>
  <si>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</si>
  <si>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</si>
  <si>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</si>
  <si>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</si>
  <si>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</si>
  <si>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</si>
  <si>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</si>
  <si>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</si>
  <si>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</si>
  <si>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</si>
  <si>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</si>
  <si>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</si>
  <si>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</si>
  <si>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</si>
  <si>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</si>
  <si>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</si>
  <si>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</si>
  <si>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</si>
  <si>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</si>
  <si>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</si>
  <si>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</si>
  <si>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</si>
  <si>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</si>
  <si>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</si>
  <si>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</si>
  <si>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</si>
  <si>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</si>
  <si>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</si>
  <si>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</si>
  <si>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</si>
  <si>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</si>
  <si>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</si>
  <si>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</si>
  <si>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</si>
  <si>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</si>
  <si>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</si>
  <si>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</si>
  <si>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</si>
  <si>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</si>
  <si>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</si>
  <si>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</si>
  <si>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</si>
  <si>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</si>
  <si>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</si>
  <si>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</si>
  <si>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</si>
  <si>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</si>
  <si>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</si>
  <si>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</si>
  <si>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</si>
  <si>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</si>
  <si>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</si>
  <si>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</si>
  <si>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</si>
  <si>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</si>
  <si>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</si>
  <si>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</si>
  <si>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</si>
  <si>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</si>
  <si>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</si>
  <si>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</si>
  <si>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</si>
  <si>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</si>
  <si>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</si>
  <si>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</si>
  <si>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</si>
  <si>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</si>
  <si>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</si>
  <si>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</si>
  <si>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</si>
  <si>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</si>
  <si>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</si>
  <si>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</si>
  <si>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</si>
  <si>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</si>
  <si>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</si>
  <si>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</si>
  <si>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</si>
  <si>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</si>
  <si>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</si>
  <si>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</si>
  <si>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</si>
  <si>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</si>
  <si>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</si>
  <si>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</si>
  <si>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</si>
  <si>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</si>
  <si>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</si>
  <si>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</si>
  <si>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</si>
  <si>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</si>
  <si>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</si>
  <si>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</si>
  <si>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</si>
  <si>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</si>
  <si>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</si>
  <si>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</si>
  <si>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</si>
  <si>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</si>
  <si>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</si>
  <si>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</si>
  <si>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</si>
  <si>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</si>
  <si>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</si>
  <si>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</si>
  <si>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</si>
  <si>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</si>
  <si>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</si>
  <si>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</si>
  <si>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</si>
  <si>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</si>
  <si>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</si>
  <si>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</si>
  <si>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</si>
  <si>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</si>
  <si>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</si>
  <si>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</si>
  <si>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</si>
  <si>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</si>
  <si>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</si>
  <si>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</si>
  <si>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</si>
  <si>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</si>
  <si>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</si>
  <si>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</si>
  <si>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</si>
  <si>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</si>
  <si>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</si>
  <si>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</si>
  <si>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</si>
  <si>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</si>
  <si>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</si>
  <si>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</si>
  <si>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</si>
  <si>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</si>
  <si>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</si>
  <si>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</si>
  <si>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</si>
  <si>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</si>
  <si>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</si>
  <si>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</si>
  <si>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</si>
  <si>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</si>
  <si>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</si>
  <si>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</si>
  <si>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</si>
  <si>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</si>
  <si>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</si>
  <si>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</si>
  <si>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</si>
  <si>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</si>
  <si>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</si>
  <si>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</si>
  <si>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</si>
  <si>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</si>
  <si>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</si>
  <si>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</si>
  <si>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</si>
  <si>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</si>
  <si>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</si>
  <si>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</si>
  <si>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</si>
  <si>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</si>
  <si>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</si>
  <si>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</si>
  <si>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</si>
  <si>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</si>
  <si>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</si>
  <si>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</si>
  <si>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</si>
  <si>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</si>
  <si>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</si>
  <si>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</si>
  <si>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</si>
  <si>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</si>
  <si>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</si>
  <si>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</si>
  <si>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</si>
  <si>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</si>
  <si>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</si>
  <si>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</si>
  <si>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</si>
  <si>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</si>
  <si>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</si>
  <si>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</si>
  <si>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</si>
  <si>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</si>
  <si>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</si>
  <si>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</si>
  <si>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</si>
  <si>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</si>
  <si>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</si>
  <si>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</si>
  <si>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</si>
  <si>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</si>
  <si>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</si>
  <si>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</si>
  <si>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</si>
  <si>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</si>
  <si>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</si>
  <si>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</si>
  <si>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</si>
  <si>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</si>
  <si>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</si>
  <si>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</si>
  <si>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</si>
  <si>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</si>
  <si>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</si>
  <si>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</si>
  <si>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</si>
  <si>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</si>
  <si>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</si>
  <si>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</si>
  <si>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</si>
  <si>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</si>
  <si>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</si>
  <si>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</si>
  <si>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</si>
  <si>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</si>
  <si>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</si>
  <si>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</si>
  <si>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</si>
  <si>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</si>
  <si>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</si>
  <si>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</si>
  <si>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</si>
  <si>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</si>
  <si>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</si>
  <si>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</si>
  <si>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</si>
  <si>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</si>
  <si>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</si>
  <si>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</si>
  <si>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</si>
  <si>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</si>
  <si>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</si>
  <si>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</si>
  <si>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</si>
  <si>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</si>
  <si>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</si>
  <si>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</si>
  <si>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</si>
  <si>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</si>
  <si>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</si>
  <si>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</si>
  <si>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</si>
  <si>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</si>
  <si>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</si>
  <si>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</si>
  <si>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</si>
  <si>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</si>
  <si>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</si>
  <si>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</si>
  <si>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</si>
  <si>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</si>
  <si>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</si>
  <si>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</si>
  <si>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</si>
  <si>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</si>
  <si>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</si>
  <si>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</si>
  <si>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</si>
  <si>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</si>
  <si>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</si>
  <si>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</si>
  <si>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</si>
  <si>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</si>
  <si>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</si>
  <si>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</si>
  <si>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</si>
  <si>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</si>
  <si>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</si>
  <si>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</si>
  <si>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</si>
  <si>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</si>
  <si>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</si>
  <si>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</si>
  <si>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</si>
  <si>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</si>
  <si>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</si>
  <si>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</si>
  <si>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</si>
  <si>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</si>
  <si>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</si>
  <si>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</si>
  <si>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</si>
  <si>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</si>
  <si>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</si>
  <si>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</si>
  <si>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</si>
  <si>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</si>
  <si>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</si>
  <si>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</si>
  <si>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</si>
  <si>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</si>
  <si>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</si>
  <si>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</si>
  <si>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</si>
  <si>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</si>
  <si>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</si>
  <si>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</si>
  <si>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</si>
  <si>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</si>
  <si>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</si>
  <si>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</si>
  <si>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</si>
  <si>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</si>
  <si>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</si>
  <si>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</si>
  <si>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</si>
  <si>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</si>
  <si>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</si>
  <si>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</si>
  <si>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</si>
  <si>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</si>
  <si>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</si>
  <si>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</si>
  <si>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</si>
  <si>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</si>
  <si>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</si>
  <si>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</si>
  <si>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</si>
  <si>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</si>
  <si>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</si>
  <si>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</si>
  <si>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</si>
  <si>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</si>
  <si>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</si>
  <si>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</si>
  <si>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</si>
  <si>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</si>
  <si>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</si>
  <si>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</si>
  <si>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</si>
  <si>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</si>
  <si>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</si>
  <si>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</si>
  <si>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</si>
  <si>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</si>
  <si>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</si>
  <si>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</si>
  <si>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</si>
  <si>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</si>
  <si>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</si>
  <si>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</si>
  <si>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</si>
  <si>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</si>
  <si>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</si>
  <si>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</si>
  <si>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</si>
  <si>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</si>
  <si>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</si>
  <si>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</si>
  <si>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</si>
  <si>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</si>
  <si>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</si>
  <si>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</si>
  <si>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</si>
  <si>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</si>
  <si>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</si>
  <si>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</si>
  <si>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</si>
  <si>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</si>
  <si>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</si>
  <si>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</si>
  <si>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</si>
  <si>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</si>
  <si>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</si>
  <si>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</si>
  <si>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</si>
  <si>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</si>
  <si>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</si>
  <si>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</si>
  <si>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</si>
  <si>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</si>
  <si>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</si>
  <si>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</si>
  <si>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</si>
  <si>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</si>
  <si>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</si>
  <si>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</si>
  <si>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</si>
  <si>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</si>
  <si>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</si>
  <si>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</si>
  <si>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</si>
  <si>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</si>
  <si>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</si>
  <si>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</si>
  <si>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</si>
  <si>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</si>
  <si>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</si>
  <si>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</si>
  <si>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</si>
  <si>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</si>
  <si>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</si>
  <si>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</si>
  <si>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</si>
  <si>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</si>
  <si>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</si>
  <si>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</si>
  <si>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</si>
  <si>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</si>
  <si>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</si>
  <si>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</si>
  <si>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</si>
  <si>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</si>
  <si>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</si>
  <si>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</si>
  <si>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</si>
  <si>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</si>
  <si>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</si>
  <si>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</si>
  <si>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</si>
  <si>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</si>
  <si>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</si>
  <si>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</si>
  <si>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</si>
  <si>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</si>
  <si>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</si>
  <si>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</si>
  <si>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</si>
  <si>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</si>
  <si>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</si>
  <si>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</si>
  <si>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</si>
  <si>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</si>
  <si>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</si>
  <si>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</si>
  <si>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</si>
  <si>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</si>
  <si>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</si>
  <si>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</si>
  <si>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</si>
  <si>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</si>
  <si>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</si>
  <si>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</si>
  <si>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</si>
  <si>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</si>
  <si>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</si>
  <si>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</si>
  <si>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</si>
  <si>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</si>
  <si>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</si>
  <si>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</si>
  <si>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</si>
  <si>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</si>
  <si>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</si>
  <si>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</si>
  <si>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</si>
  <si>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</si>
  <si>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</si>
  <si>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</si>
  <si>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</si>
  <si>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</si>
  <si>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</si>
  <si>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</si>
  <si>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</si>
  <si>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</si>
  <si>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</si>
  <si>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</si>
  <si>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</si>
  <si>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</si>
  <si>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</si>
  <si>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</si>
  <si>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</si>
  <si>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</si>
  <si>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</si>
  <si>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</si>
  <si>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</si>
  <si>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</si>
  <si>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</si>
  <si>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</si>
  <si>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</si>
  <si>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</si>
  <si>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</si>
  <si>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</si>
  <si>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</si>
  <si>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</si>
  <si>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</si>
  <si>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</si>
  <si>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</si>
  <si>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</si>
  <si>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</si>
  <si>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</si>
  <si>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</si>
  <si>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</si>
  <si>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</si>
  <si>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</si>
  <si>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</si>
  <si>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</si>
  <si>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</si>
  <si>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</si>
  <si>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</si>
  <si>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</si>
  <si>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</si>
  <si>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</si>
  <si>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</si>
  <si>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</si>
  <si>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</si>
  <si>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</si>
  <si>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</si>
  <si>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</si>
  <si>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</si>
  <si>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</si>
  <si>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</si>
  <si>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</si>
  <si>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</si>
  <si>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</si>
  <si>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</si>
  <si>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</si>
  <si>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</si>
  <si>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</si>
  <si>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</si>
  <si>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</si>
  <si>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</si>
  <si>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</si>
  <si>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</si>
  <si>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</si>
  <si>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</si>
  <si>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</si>
  <si>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</si>
  <si>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</si>
  <si>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</si>
  <si>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</si>
  <si>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</si>
  <si>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</si>
  <si>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</si>
  <si>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</si>
  <si>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</si>
  <si>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</si>
  <si>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</si>
  <si>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</si>
  <si>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</si>
  <si>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</si>
  <si>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</si>
  <si>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</si>
  <si>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</si>
  <si>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</si>
  <si>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</si>
  <si>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</si>
  <si>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</si>
  <si>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</si>
  <si>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</si>
  <si>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</si>
  <si>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</si>
  <si>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</si>
  <si>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</si>
  <si>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</si>
  <si>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</si>
  <si>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</si>
  <si>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</si>
  <si>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</si>
  <si>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</si>
  <si>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</si>
  <si>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</si>
  <si>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</si>
  <si>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</si>
  <si>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</si>
  <si>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</si>
  <si>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</si>
  <si>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</si>
  <si>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</si>
  <si>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</si>
  <si>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</si>
  <si>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</si>
  <si>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</si>
  <si>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</si>
  <si>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</si>
  <si>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</si>
  <si>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</si>
  <si>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</si>
  <si>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</si>
  <si>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</si>
  <si>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</si>
  <si>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</si>
  <si>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</si>
  <si>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</si>
  <si>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</si>
  <si>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</si>
  <si>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</si>
  <si>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</si>
  <si>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</si>
  <si>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</si>
  <si>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</si>
  <si>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</si>
  <si>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</si>
  <si>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</si>
  <si>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</si>
  <si>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</si>
  <si>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</si>
  <si>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</si>
  <si>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</si>
  <si>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</si>
  <si>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</si>
  <si>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</si>
  <si>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</si>
  <si>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</si>
  <si>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</si>
  <si>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</si>
  <si>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</si>
  <si>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</si>
  <si>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</si>
  <si>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</si>
  <si>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</si>
  <si>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</si>
  <si>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</si>
  <si>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</si>
  <si>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</si>
  <si>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</si>
  <si>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</si>
  <si>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</si>
  <si>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</si>
  <si>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</si>
  <si>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</si>
  <si>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</si>
  <si>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</si>
  <si>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</si>
  <si>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</si>
  <si>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</si>
  <si>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</si>
  <si>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</si>
  <si>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</si>
  <si>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</si>
  <si>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</si>
  <si>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</si>
  <si>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</si>
  <si>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</si>
  <si>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</si>
  <si>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</si>
  <si>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</si>
  <si>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</si>
  <si>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</si>
  <si>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</si>
  <si>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</si>
  <si>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</si>
  <si>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</si>
  <si>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</si>
  <si>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</si>
  <si>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</si>
  <si>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</si>
  <si>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</si>
  <si>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</si>
  <si>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</si>
  <si>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</si>
  <si>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</si>
  <si>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</si>
  <si>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</si>
  <si>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</si>
  <si>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</si>
  <si>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</si>
  <si>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</si>
  <si>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</si>
  <si>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</si>
  <si>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</si>
  <si>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</si>
  <si>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</si>
  <si>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</si>
  <si>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</si>
  <si>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</si>
  <si>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</si>
  <si>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</si>
  <si>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</si>
  <si>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</si>
  <si>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</si>
  <si>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</si>
  <si>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</si>
  <si>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</si>
  <si>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</si>
  <si>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</si>
  <si>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</si>
  <si>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</si>
  <si>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</si>
  <si>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</si>
  <si>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</si>
  <si>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</si>
  <si>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</si>
  <si>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</si>
  <si>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</si>
  <si>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</si>
  <si>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</si>
  <si>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</si>
  <si>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</si>
  <si>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</si>
  <si>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</si>
  <si>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</si>
  <si>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</si>
  <si>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</si>
  <si>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</si>
  <si>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</si>
  <si>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</si>
  <si>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</si>
  <si>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</si>
  <si>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</si>
  <si>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</si>
  <si>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</si>
  <si>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</si>
  <si>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</si>
  <si>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</si>
  <si>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</si>
  <si>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</si>
  <si>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</si>
  <si>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</si>
  <si>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</si>
  <si>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</si>
  <si>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</si>
  <si>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</si>
  <si>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</si>
  <si>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</si>
  <si>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</si>
  <si>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</si>
  <si>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</si>
  <si>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</si>
  <si>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</si>
  <si>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</si>
  <si>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</si>
  <si>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</si>
  <si>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</si>
  <si>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</si>
  <si>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</si>
  <si>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</si>
  <si>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</si>
  <si>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</si>
  <si>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</si>
  <si>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</si>
  <si>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</si>
  <si>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</si>
  <si>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</si>
  <si>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</si>
  <si>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</si>
  <si>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</si>
  <si>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</si>
  <si>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</si>
  <si>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</si>
  <si>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</si>
  <si>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</si>
  <si>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</si>
  <si>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</si>
  <si>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</si>
  <si>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</si>
  <si>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</si>
  <si>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</si>
  <si>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</si>
  <si>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</si>
  <si>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</si>
  <si>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</si>
  <si>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</si>
  <si>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</si>
  <si>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</si>
  <si>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</si>
  <si>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</si>
  <si>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</si>
  <si>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</si>
  <si>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</si>
  <si>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</si>
  <si>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</si>
  <si>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</si>
  <si>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</si>
  <si>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</si>
  <si>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</si>
  <si>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</si>
  <si>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</si>
  <si>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</si>
  <si>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</si>
  <si>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</si>
  <si>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</si>
  <si>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</si>
  <si>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</si>
  <si>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</si>
  <si>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</si>
  <si>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</si>
  <si>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</si>
  <si>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</si>
  <si>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</si>
  <si>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</si>
  <si>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</si>
  <si>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</si>
  <si>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</si>
  <si>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</si>
  <si>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</si>
  <si>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</si>
  <si>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</si>
  <si>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</si>
  <si>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</si>
  <si>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</si>
  <si>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</si>
  <si>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</si>
  <si>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</si>
  <si>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</si>
  <si>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</si>
  <si>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</si>
  <si>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</si>
  <si>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</si>
  <si>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</si>
  <si>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</si>
  <si>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</si>
  <si>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</si>
  <si>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</si>
  <si>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</si>
  <si>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</si>
  <si>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</si>
  <si>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</si>
  <si>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</si>
  <si>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</si>
  <si>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</si>
  <si>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</si>
  <si>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</si>
  <si>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</si>
  <si>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</si>
  <si>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</si>
  <si>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</si>
  <si>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</si>
  <si>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</si>
  <si>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</si>
  <si>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</si>
  <si>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</si>
  <si>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</si>
  <si>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</si>
  <si>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</si>
  <si>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</si>
  <si>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</si>
  <si>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</si>
  <si>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</si>
  <si>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</si>
  <si>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</si>
  <si>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</si>
  <si>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</si>
  <si>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</si>
  <si>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</si>
  <si>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</si>
  <si>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</si>
  <si>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</si>
  <si>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</si>
  <si>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</si>
  <si>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</si>
  <si>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</si>
  <si>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</si>
  <si>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</si>
  <si>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</si>
  <si>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</si>
  <si>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</si>
  <si>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</si>
  <si>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</si>
  <si>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</si>
  <si>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</si>
  <si>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</si>
  <si>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</si>
  <si>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</si>
  <si>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</si>
  <si>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</si>
  <si>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</si>
  <si>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</si>
  <si>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</si>
  <si>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</si>
  <si>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</si>
  <si>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</si>
  <si>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</si>
  <si>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</si>
  <si>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</si>
  <si>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</si>
  <si>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</si>
  <si>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</si>
  <si>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</si>
  <si>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</si>
  <si>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</si>
  <si>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</si>
  <si>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</si>
  <si>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</si>
  <si>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</si>
  <si>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</si>
  <si>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</si>
  <si>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</si>
  <si>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</si>
  <si>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</si>
  <si>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</si>
  <si>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</si>
  <si>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</si>
  <si>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</si>
  <si>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</si>
  <si>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</si>
  <si>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</si>
  <si>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</si>
  <si>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</si>
  <si>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</si>
  <si>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</si>
  <si>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</si>
  <si>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</si>
  <si>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</si>
  <si>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</si>
  <si>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</si>
  <si>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</si>
  <si>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</si>
  <si>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</si>
  <si>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</si>
  <si>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</si>
  <si>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</si>
  <si>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</si>
  <si>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</si>
  <si>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</si>
  <si>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</si>
  <si>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</si>
  <si>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</si>
  <si>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</si>
  <si>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</si>
  <si>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</si>
  <si>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</si>
  <si>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</si>
  <si>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</si>
  <si>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</si>
  <si>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</si>
  <si>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</si>
  <si>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</si>
  <si>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</si>
  <si>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</si>
  <si>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</si>
  <si>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</si>
  <si>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</si>
  <si>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</si>
  <si>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</si>
  <si>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</si>
  <si>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</si>
  <si>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</si>
  <si>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</si>
  <si>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</si>
  <si>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</si>
  <si>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</si>
  <si>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</si>
  <si>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</si>
  <si>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</si>
  <si>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</si>
  <si>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</si>
  <si>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</si>
  <si>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</si>
  <si>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</si>
  <si>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</si>
  <si>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</si>
  <si>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</si>
  <si>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</si>
  <si>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</si>
  <si>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</si>
  <si>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</si>
  <si>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</si>
  <si>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</si>
  <si>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</si>
  <si>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</si>
  <si>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</si>
  <si>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</si>
  <si>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</si>
  <si>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</si>
  <si>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</si>
  <si>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</si>
  <si>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</si>
  <si>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</si>
  <si>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</si>
  <si>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</si>
  <si>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</si>
  <si>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</si>
  <si>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</si>
  <si>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</si>
  <si>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</si>
  <si>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</si>
  <si>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</si>
  <si>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</si>
  <si>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</si>
  <si>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</si>
  <si>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</si>
  <si>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</si>
  <si>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</si>
  <si>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</si>
  <si>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</si>
  <si>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</si>
  <si>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</si>
  <si>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</si>
  <si>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</si>
  <si>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</si>
  <si>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</si>
  <si>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</si>
  <si>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</si>
  <si>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</si>
  <si>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</si>
  <si>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</si>
  <si>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</si>
  <si>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</si>
  <si>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</si>
  <si>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</si>
  <si>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</si>
  <si>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</si>
  <si>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</si>
  <si>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</si>
  <si>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</si>
  <si>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</si>
  <si>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</si>
  <si>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</si>
  <si>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</si>
  <si>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</si>
  <si>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</si>
  <si>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</si>
  <si>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</si>
  <si>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</si>
  <si>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</si>
  <si>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</si>
  <si>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</si>
  <si>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</si>
  <si>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</si>
  <si>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</si>
  <si>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</si>
  <si>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</si>
  <si>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</si>
  <si>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</si>
  <si>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</si>
  <si>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</si>
  <si>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</si>
  <si>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</si>
  <si>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</si>
  <si>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</si>
  <si>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</si>
  <si>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</si>
  <si>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</si>
  <si>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</si>
  <si>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</si>
  <si>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</si>
  <si>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</si>
  <si>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</si>
  <si>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</si>
  <si>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</si>
  <si>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</si>
  <si>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</si>
  <si>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</si>
  <si>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</si>
  <si>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</si>
  <si>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</si>
  <si>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</si>
  <si>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</si>
  <si>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</si>
  <si>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</si>
  <si>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</si>
  <si>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</si>
  <si>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</si>
  <si>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</si>
  <si>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</si>
  <si>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</si>
  <si>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</si>
  <si>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</si>
  <si>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</si>
  <si>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</si>
  <si>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</si>
  <si>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</si>
  <si>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</si>
  <si>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</si>
  <si>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</si>
  <si>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</si>
  <si>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</si>
  <si>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</si>
  <si>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</si>
  <si>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</si>
  <si>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</si>
  <si>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</si>
  <si>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</si>
  <si>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</si>
  <si>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</si>
  <si>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</si>
  <si>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</si>
  <si>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</si>
  <si>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</si>
  <si>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</si>
  <si>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</si>
  <si>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</si>
  <si>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</si>
  <si>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</si>
  <si>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</si>
  <si>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</si>
  <si>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</si>
  <si>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</si>
  <si>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</si>
  <si>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</si>
  <si>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</si>
  <si>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</si>
  <si>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</si>
  <si>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</si>
  <si>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</si>
  <si>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</si>
  <si>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</si>
  <si>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</si>
  <si>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</si>
  <si>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</si>
  <si>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</si>
  <si>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</si>
  <si>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</si>
  <si>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</si>
  <si>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</si>
  <si>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</si>
  <si>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</si>
  <si>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</si>
  <si>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</si>
  <si>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</si>
  <si>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</si>
  <si>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</si>
  <si>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</si>
  <si>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</si>
  <si>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</si>
  <si>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</si>
  <si>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</si>
  <si>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</si>
  <si>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</si>
  <si>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</si>
  <si>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</si>
  <si>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</si>
  <si>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</si>
  <si>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</si>
  <si>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</si>
  <si>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</si>
  <si>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</si>
  <si>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</si>
  <si>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</si>
  <si>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</si>
  <si>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</si>
  <si>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</si>
  <si>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</si>
  <si>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</si>
  <si>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</si>
  <si>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</si>
  <si>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</si>
  <si>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</si>
  <si>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</si>
  <si>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</si>
  <si>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</si>
  <si>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</si>
  <si>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</si>
  <si>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</si>
  <si>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</si>
  <si>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</si>
  <si>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</si>
  <si>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</si>
  <si>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</si>
  <si>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</si>
  <si>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</si>
  <si>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</si>
  <si>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</si>
  <si>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</si>
  <si>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</si>
  <si>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</si>
  <si>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</si>
  <si>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</si>
  <si>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</si>
  <si>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</si>
  <si>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</si>
  <si>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</si>
  <si>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</si>
  <si>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</si>
  <si>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</si>
  <si>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</si>
  <si>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</si>
  <si>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</si>
  <si>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</si>
  <si>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</si>
  <si>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</si>
  <si>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</si>
  <si>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</si>
  <si>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</si>
  <si>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</si>
  <si>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</si>
  <si>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</si>
  <si>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</si>
  <si>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</si>
  <si>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</si>
  <si>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</si>
  <si>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</si>
  <si>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</si>
  <si>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</si>
  <si>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</si>
  <si>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</si>
  <si>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</si>
  <si>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</si>
  <si>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</si>
  <si>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</si>
  <si>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</si>
  <si>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</si>
  <si>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</si>
  <si>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</si>
  <si>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</si>
  <si>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</si>
  <si>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</si>
  <si>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</si>
  <si>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</si>
  <si>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</si>
  <si>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</si>
  <si>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</si>
  <si>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</si>
  <si>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</si>
  <si>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</si>
  <si>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</si>
  <si>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</si>
  <si>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</si>
  <si>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</si>
  <si>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</si>
  <si>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</si>
  <si>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</si>
  <si>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</si>
  <si>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</si>
  <si>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</si>
  <si>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</si>
  <si>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</si>
  <si>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</si>
  <si>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</si>
  <si>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</si>
  <si>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</si>
  <si>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</si>
  <si>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</si>
  <si>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</si>
  <si>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</si>
  <si>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</si>
  <si>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</si>
  <si>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</si>
  <si>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</si>
  <si>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</si>
  <si>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</si>
  <si>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</si>
  <si>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</si>
  <si>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</si>
  <si>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</si>
  <si>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</si>
  <si>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</si>
  <si>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</si>
  <si>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</si>
  <si>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</si>
  <si>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</si>
  <si>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</si>
  <si>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</si>
  <si>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</si>
  <si>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</si>
  <si>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</si>
  <si>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</si>
  <si>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</si>
  <si>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</si>
  <si>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</si>
  <si>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</si>
  <si>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</si>
  <si>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</si>
  <si>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</si>
  <si>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</si>
  <si>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</si>
  <si>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</si>
  <si>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</si>
  <si>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</si>
  <si>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</si>
  <si>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</si>
  <si>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</si>
  <si>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</si>
  <si>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</si>
  <si>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</si>
  <si>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</si>
  <si>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</si>
  <si>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</si>
  <si>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</si>
  <si>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</si>
  <si>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</si>
  <si>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</si>
  <si>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</si>
  <si>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</si>
  <si>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</si>
  <si>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</si>
  <si>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</si>
  <si>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</si>
  <si>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</si>
  <si>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</si>
  <si>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</si>
  <si>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</si>
  <si>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</si>
  <si>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</si>
  <si>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</si>
  <si>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</si>
  <si>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</si>
  <si>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</si>
  <si>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</si>
  <si>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</si>
  <si>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</si>
  <si>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</si>
  <si>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</si>
  <si>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</si>
  <si>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</si>
  <si>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</si>
  <si>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</si>
  <si>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</si>
  <si>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</si>
  <si>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</si>
  <si>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</si>
  <si>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</si>
  <si>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</si>
  <si>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</si>
  <si>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</si>
  <si>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</si>
  <si>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</si>
  <si>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</si>
  <si>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</si>
  <si>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</si>
  <si>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</si>
  <si>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</si>
  <si>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</si>
  <si>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</si>
  <si>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</si>
  <si>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</si>
  <si>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</si>
  <si>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</si>
  <si>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</si>
  <si>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</si>
  <si>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</si>
  <si>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</si>
  <si>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</si>
  <si>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</si>
  <si>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</si>
  <si>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</si>
  <si>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</si>
  <si>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</si>
  <si>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</si>
  <si>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</si>
  <si>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</si>
  <si>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</si>
  <si>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</si>
  <si>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</si>
  <si>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</si>
  <si>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</si>
  <si>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</si>
  <si>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</si>
  <si>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</si>
  <si>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</si>
  <si>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</si>
  <si>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</si>
  <si>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</si>
  <si>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</si>
  <si>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</si>
  <si>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</si>
  <si>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</si>
  <si>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</si>
  <si>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</si>
  <si>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</si>
  <si>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</si>
  <si>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</si>
  <si>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</si>
  <si>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</si>
  <si>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</si>
  <si>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</si>
  <si>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</si>
  <si>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</si>
  <si>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</si>
  <si>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</si>
  <si>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</si>
  <si>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</si>
  <si>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</si>
  <si>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</si>
  <si>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</si>
  <si>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</si>
  <si>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</si>
  <si>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</si>
  <si>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</si>
  <si>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</si>
  <si>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</si>
  <si>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</si>
  <si>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</si>
  <si>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</si>
  <si>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</si>
  <si>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</si>
  <si>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</si>
  <si>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</si>
  <si>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</si>
  <si>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</si>
  <si>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</si>
  <si>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</si>
  <si>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</si>
  <si>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</si>
  <si>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</si>
  <si>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</si>
  <si>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</si>
  <si>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</si>
  <si>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</si>
  <si>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</si>
  <si>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</si>
  <si>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</si>
  <si>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</si>
  <si>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</si>
  <si>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</si>
  <si>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</si>
  <si>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</si>
  <si>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</si>
  <si>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</si>
  <si>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</si>
  <si>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</si>
  <si>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</si>
  <si>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</si>
  <si>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</si>
  <si>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</si>
  <si>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</si>
  <si>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</si>
  <si>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</si>
  <si>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</si>
  <si>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</si>
  <si>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</si>
  <si>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</si>
  <si>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</si>
  <si>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</si>
  <si>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</si>
  <si>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</si>
  <si>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</si>
  <si>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</si>
  <si>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</si>
  <si>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</si>
  <si>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</si>
  <si>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</si>
  <si>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</si>
  <si>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</si>
  <si>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</si>
  <si>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</si>
  <si>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</si>
  <si>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</si>
  <si>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</si>
  <si>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</si>
  <si>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</si>
  <si>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</si>
  <si>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</si>
  <si>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</si>
  <si>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</si>
  <si>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</si>
  <si>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</si>
  <si>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</si>
  <si>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</si>
  <si>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</si>
  <si>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</si>
  <si>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</si>
  <si>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</si>
  <si>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</si>
  <si>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</si>
  <si>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</si>
  <si>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</si>
  <si>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</si>
  <si>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</si>
  <si>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</si>
  <si>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</si>
  <si>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</si>
  <si>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</si>
  <si>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</si>
  <si>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</si>
  <si>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</si>
  <si>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</si>
  <si>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</si>
  <si>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</si>
  <si>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</si>
  <si>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</si>
  <si>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</si>
  <si>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</si>
  <si>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</si>
  <si>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</si>
  <si>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</si>
  <si>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</si>
  <si>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</si>
  <si>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</si>
  <si>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</si>
  <si>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</si>
  <si>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</si>
  <si>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</si>
  <si>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</si>
  <si>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</si>
  <si>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</si>
  <si>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</si>
  <si>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</si>
  <si>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</si>
  <si>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</si>
  <si>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</si>
  <si>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</si>
  <si>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</si>
  <si>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</si>
  <si>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</si>
  <si>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</si>
  <si>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</si>
  <si>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</si>
  <si>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</si>
  <si>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</si>
  <si>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</si>
  <si>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</si>
  <si>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</si>
  <si>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</si>
  <si>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</si>
  <si>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</si>
  <si>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</si>
  <si>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</si>
  <si>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</si>
  <si>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</si>
  <si>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</si>
  <si>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</si>
  <si>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</si>
  <si>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</si>
  <si>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</si>
  <si>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</si>
  <si>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</si>
  <si>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</si>
  <si>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</si>
  <si>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</si>
  <si>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</si>
  <si>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</si>
  <si>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</si>
  <si>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</si>
  <si>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</si>
  <si>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</si>
  <si>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</si>
  <si>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</si>
  <si>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</si>
  <si>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</si>
  <si>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</si>
  <si>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</si>
  <si>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</si>
  <si>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</si>
  <si>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</si>
  <si>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</si>
  <si>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</si>
  <si>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</si>
  <si>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</si>
  <si>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</si>
  <si>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</si>
  <si>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</si>
  <si>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</si>
  <si>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</si>
  <si>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</si>
  <si>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</si>
  <si>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</si>
  <si>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</si>
  <si>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</si>
  <si>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</si>
  <si>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</si>
  <si>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</si>
  <si>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</si>
  <si>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</si>
  <si>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</si>
  <si>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</si>
  <si>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</si>
  <si>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</si>
  <si>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</si>
  <si>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</si>
  <si>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</si>
  <si>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</si>
  <si>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</si>
  <si>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</si>
  <si>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</si>
  <si>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</si>
  <si>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</si>
  <si>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</si>
  <si>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</si>
  <si>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</si>
  <si>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</si>
  <si>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</si>
  <si>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</si>
  <si>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</si>
  <si>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</si>
  <si>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</si>
  <si>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</si>
  <si>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</si>
  <si>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</si>
  <si>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</si>
  <si>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</si>
  <si>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</si>
  <si>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</si>
  <si>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</si>
  <si>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</si>
  <si>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</si>
  <si>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</si>
  <si>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</si>
  <si>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</si>
  <si>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</si>
  <si>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</si>
  <si>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</si>
  <si>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</si>
  <si>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</si>
  <si>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</si>
  <si>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</si>
  <si>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</si>
  <si>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</si>
  <si>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</si>
  <si>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</si>
  <si>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</si>
  <si>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</si>
  <si>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</si>
  <si>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</si>
  <si>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</si>
  <si>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</si>
  <si>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</si>
  <si>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</si>
  <si>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</si>
  <si>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</si>
  <si>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</si>
  <si>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</si>
  <si>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</si>
  <si>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</si>
  <si>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</si>
  <si>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</si>
  <si>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</si>
  <si>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</si>
  <si>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</si>
  <si>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</si>
  <si>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</si>
  <si>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</si>
  <si>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</si>
  <si>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</si>
  <si>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</si>
  <si>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</si>
  <si>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</si>
  <si>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</si>
  <si>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</si>
  <si>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</si>
  <si>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</si>
  <si>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</si>
  <si>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</si>
  <si>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</si>
  <si>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</si>
  <si>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</si>
  <si>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</si>
  <si>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</si>
  <si>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</si>
  <si>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</si>
  <si>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</si>
  <si>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</si>
  <si>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</si>
  <si>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</si>
  <si>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</si>
  <si>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</si>
  <si>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</si>
  <si>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</si>
  <si>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</si>
  <si>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</si>
  <si>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</si>
  <si>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</si>
  <si>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</si>
  <si>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</si>
  <si>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</si>
  <si>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</si>
  <si>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</si>
  <si>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</si>
  <si>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</si>
  <si>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</si>
  <si>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</si>
  <si>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</si>
  <si>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</si>
  <si>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</si>
  <si>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</si>
  <si>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</si>
  <si>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</si>
  <si>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</si>
  <si>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</si>
  <si>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</si>
  <si>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</si>
  <si>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</si>
  <si>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</si>
  <si>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</si>
  <si>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</si>
  <si>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</si>
  <si>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</si>
  <si>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</si>
  <si>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</si>
  <si>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</si>
  <si>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</si>
  <si>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</si>
  <si>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</si>
  <si>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</si>
  <si>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</si>
  <si>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</si>
  <si>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</si>
  <si>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</si>
  <si>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</si>
  <si>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</si>
  <si>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</si>
  <si>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</si>
  <si>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</si>
  <si>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</si>
  <si>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</si>
  <si>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</si>
  <si>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</si>
  <si>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</si>
  <si>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</si>
  <si>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</si>
  <si>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</si>
  <si>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</si>
  <si>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</si>
  <si>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</si>
  <si>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</si>
  <si>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</si>
  <si>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</si>
  <si>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</si>
  <si>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</si>
  <si>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</si>
  <si>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</si>
  <si>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</si>
  <si>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</si>
  <si>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</si>
  <si>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</si>
  <si>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</si>
  <si>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</si>
  <si>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</si>
  <si>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</si>
  <si>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</si>
  <si>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</si>
  <si>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</si>
  <si>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</si>
  <si>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</si>
  <si>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</si>
  <si>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</si>
  <si>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</si>
  <si>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</si>
  <si>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</si>
  <si>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</si>
  <si>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</si>
  <si>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</si>
  <si>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</si>
  <si>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</si>
  <si>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</si>
  <si>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</si>
  <si>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</si>
  <si>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</si>
  <si>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</si>
  <si>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</si>
  <si>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</si>
  <si>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</si>
  <si>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</si>
  <si>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</si>
  <si>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</si>
  <si>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</si>
  <si>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</si>
  <si>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</si>
  <si>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</si>
  <si>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</si>
  <si>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</si>
  <si>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</si>
  <si>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</si>
  <si>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</si>
  <si>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</si>
  <si>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</si>
  <si>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</si>
  <si>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</si>
  <si>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</si>
  <si>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</si>
  <si>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</si>
  <si>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</si>
  <si>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</si>
  <si>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</si>
  <si>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</si>
  <si>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</si>
  <si>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</si>
  <si>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</si>
  <si>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</si>
  <si>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</si>
  <si>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</si>
  <si>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</si>
  <si>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</si>
  <si>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</si>
  <si>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</si>
  <si>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</si>
  <si>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</si>
  <si>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</si>
  <si>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</si>
  <si>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</si>
  <si>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</si>
  <si>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</si>
  <si>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</si>
  <si>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</si>
  <si>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</si>
  <si>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</si>
  <si>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</si>
  <si>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</si>
  <si>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</si>
  <si>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</si>
  <si>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</si>
  <si>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</si>
  <si>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</si>
  <si>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</si>
  <si>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</si>
  <si>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</si>
  <si>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</si>
  <si>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</si>
  <si>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</si>
  <si>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</si>
  <si>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</si>
  <si>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</si>
  <si>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</si>
  <si>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</si>
  <si>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</si>
  <si>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</si>
  <si>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</si>
  <si>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</si>
  <si>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</si>
  <si>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</si>
  <si>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</si>
  <si>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</si>
  <si>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</si>
  <si>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</si>
  <si>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</si>
  <si>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</si>
  <si>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</si>
  <si>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</si>
  <si>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</si>
  <si>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</si>
  <si>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</si>
  <si>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</si>
  <si>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</si>
  <si>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</si>
  <si>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</si>
  <si>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</si>
  <si>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</si>
  <si>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</si>
  <si>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</si>
  <si>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</si>
  <si>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</si>
  <si>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</si>
  <si>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</si>
  <si>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</si>
  <si>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</si>
  <si>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</si>
  <si>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</si>
  <si>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</si>
  <si>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</si>
  <si>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</si>
  <si>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</si>
  <si>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</si>
  <si>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</si>
  <si>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</si>
  <si>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</si>
  <si>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</si>
  <si>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</si>
  <si>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</si>
  <si>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</si>
  <si>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</si>
  <si>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</si>
  <si>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</si>
  <si>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</si>
  <si>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</si>
  <si>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</si>
  <si>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</si>
  <si>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</si>
  <si>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</si>
  <si>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</si>
  <si>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Property serves a mixed-income tenant base (minimum 15% unrestricted market rate units)?</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</si>
  <si>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</si>
  <si>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</si>
  <si>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</si>
  <si>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</si>
  <si>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</si>
  <si>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</si>
  <si>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</si>
  <si>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</si>
  <si>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</si>
  <si>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</si>
  <si>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</si>
  <si>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</si>
  <si>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</si>
  <si>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</si>
  <si>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</si>
  <si>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</si>
  <si>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</si>
  <si>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</si>
  <si>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</si>
  <si>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</si>
  <si>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</si>
  <si>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</si>
  <si>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</si>
  <si>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</si>
  <si>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</si>
  <si>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</si>
  <si>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</si>
  <si>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</si>
  <si>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</si>
  <si>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</si>
  <si>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</si>
  <si>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</si>
  <si>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</si>
  <si>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</si>
  <si>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</si>
  <si>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</si>
  <si>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</si>
  <si>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</si>
  <si>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</si>
  <si>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</si>
  <si>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</si>
  <si>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</si>
  <si>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</si>
  <si>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</si>
  <si>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</si>
  <si>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</si>
  <si>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</si>
  <si>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</si>
  <si>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</si>
  <si>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</si>
  <si>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</si>
  <si>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</si>
  <si>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</si>
  <si>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</si>
  <si>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</si>
  <si>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</si>
  <si>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</si>
  <si>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</si>
  <si>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</si>
  <si>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</si>
  <si>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</si>
  <si>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</si>
  <si>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</si>
  <si>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</si>
  <si>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</si>
  <si>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</si>
  <si>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</si>
  <si>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</si>
  <si>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</si>
  <si>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</si>
  <si>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</si>
  <si>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</si>
  <si>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</si>
  <si>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</si>
  <si>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</si>
  <si>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</si>
  <si>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</si>
  <si>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</si>
  <si>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</si>
  <si>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</si>
  <si>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</si>
  <si>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</si>
  <si>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</si>
  <si>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</si>
  <si>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</si>
  <si>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</si>
  <si>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</si>
  <si>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</si>
  <si>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</si>
  <si>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</si>
  <si>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</si>
  <si>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</si>
  <si>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</si>
  <si>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</si>
  <si>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</si>
  <si>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</si>
  <si>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</si>
  <si>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</si>
  <si>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</si>
  <si>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</si>
  <si>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</si>
  <si>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</si>
  <si>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</si>
  <si>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</si>
  <si>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</si>
  <si>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</si>
  <si>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</si>
  <si>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</si>
  <si>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</si>
  <si>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</si>
  <si>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</si>
  <si>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</si>
  <si>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</si>
  <si>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</si>
  <si>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</si>
  <si>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</si>
  <si>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</si>
  <si>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</si>
  <si>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</si>
  <si>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</si>
  <si>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</si>
  <si>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</si>
  <si>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</si>
  <si>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</si>
  <si>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</si>
  <si>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</si>
  <si>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</si>
  <si>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</si>
  <si>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</si>
  <si>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</si>
  <si>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</si>
  <si>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</si>
  <si>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</si>
  <si>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</si>
  <si>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</si>
  <si>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</si>
  <si>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</si>
  <si>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</si>
  <si>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</si>
  <si>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</si>
  <si>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</si>
  <si>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</si>
  <si>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</si>
  <si>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</si>
  <si>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</si>
  <si>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</si>
  <si>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</si>
  <si>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</si>
  <si>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</si>
  <si>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</si>
  <si>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</si>
  <si>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</si>
  <si>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</si>
  <si>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</si>
  <si>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</si>
  <si>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</si>
  <si>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</si>
  <si>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</si>
  <si>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</si>
  <si>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</si>
  <si>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</si>
  <si>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</si>
  <si>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</si>
  <si>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</si>
  <si>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</si>
  <si>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</si>
  <si>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</si>
  <si>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</si>
  <si>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</si>
  <si>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</si>
  <si>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</si>
  <si>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</si>
  <si>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</si>
  <si>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</si>
  <si>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</si>
  <si>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</si>
  <si>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</si>
  <si>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</si>
  <si>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</si>
  <si>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</si>
  <si>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</si>
  <si>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</si>
  <si>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</si>
  <si>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</si>
  <si>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</si>
  <si>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</si>
  <si>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</si>
  <si>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</si>
  <si>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</si>
  <si>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</si>
  <si>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</si>
  <si>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</si>
  <si>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</si>
  <si>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</si>
  <si>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</si>
  <si>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</si>
  <si>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</si>
  <si>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</si>
  <si>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</si>
  <si>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</si>
  <si>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</si>
  <si>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</si>
  <si>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</si>
  <si>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</si>
  <si>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</si>
  <si>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</si>
  <si>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</si>
  <si>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</si>
  <si>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</si>
  <si>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</si>
  <si>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</si>
  <si>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</si>
  <si>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</si>
  <si>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</si>
  <si>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</si>
  <si>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</si>
  <si>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</si>
  <si>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</si>
  <si>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</si>
  <si>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</si>
  <si>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</si>
  <si>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</si>
  <si>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</si>
  <si>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</si>
  <si>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</si>
  <si>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</si>
  <si>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</si>
  <si>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</si>
  <si>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</si>
  <si>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</si>
  <si>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</si>
  <si>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</si>
  <si>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</si>
  <si>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</si>
  <si>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</si>
  <si>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</si>
  <si>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</si>
  <si>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</si>
  <si>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</si>
  <si>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</si>
  <si>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</si>
  <si>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</si>
  <si>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</si>
  <si>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</si>
  <si>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</si>
  <si>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</si>
  <si>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</si>
  <si>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</si>
  <si>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</si>
  <si>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</si>
  <si>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</si>
  <si>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</si>
  <si>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</si>
  <si>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</si>
  <si>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</si>
  <si>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</si>
  <si>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</si>
  <si>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</si>
  <si>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</si>
  <si>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</si>
  <si>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</si>
  <si>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</si>
  <si>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</si>
  <si>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William Allen Glisson ("Billy")</t>
  </si>
  <si>
    <t>Member</t>
  </si>
  <si>
    <t>bglisson@hallmarkco.com</t>
  </si>
  <si>
    <t>3111 Paces Mill Road, STE A-250</t>
  </si>
  <si>
    <t>Sawgrass Cove Apartments</t>
  </si>
  <si>
    <t>Within City Limits</t>
  </si>
  <si>
    <t>Mayor</t>
  </si>
  <si>
    <t>Martin H. Petersen ("Pete")</t>
  </si>
  <si>
    <t>William A. Glisson ("Billy")</t>
  </si>
  <si>
    <t>The Pines Apartments</t>
  </si>
  <si>
    <t>Direct</t>
  </si>
  <si>
    <t>Martin H. Petersen</t>
  </si>
  <si>
    <t>Manager</t>
  </si>
  <si>
    <t>ppetersen@hallmarkco.com</t>
  </si>
  <si>
    <t>For Profit</t>
  </si>
  <si>
    <t>http://www.hallmarkco.com/</t>
  </si>
  <si>
    <t>Community Affordable Housing Equity Corporation</t>
  </si>
  <si>
    <t>7700 Falls of Neuse Road, Suite 200</t>
  </si>
  <si>
    <t>Yolanda Winstead</t>
  </si>
  <si>
    <t>Senior Acquisitions Manager</t>
  </si>
  <si>
    <t>ywinstead@cahec.com</t>
  </si>
  <si>
    <t>http://www.cahec.com/</t>
  </si>
  <si>
    <t>Raleigh</t>
  </si>
  <si>
    <t>Sugar Creek Capital</t>
  </si>
  <si>
    <t>17 W. Lockwood Avenue</t>
  </si>
  <si>
    <t>Chris Hite</t>
  </si>
  <si>
    <t>President</t>
  </si>
  <si>
    <t>chite@sugarcreekcapital.com</t>
  </si>
  <si>
    <t>http://www.sugarcreekcapital.com/</t>
  </si>
  <si>
    <t>St. Louis</t>
  </si>
  <si>
    <t>Hallmark Development Services, LLC</t>
  </si>
  <si>
    <t>Formula Construction Group, LLC</t>
  </si>
  <si>
    <t>515 E. Crossville Road, Suite 350</t>
  </si>
  <si>
    <t>ross.haynes@formulaconstruction.com</t>
  </si>
  <si>
    <t>http://www.formulaconstruction.com/</t>
  </si>
  <si>
    <t>Ross Haynes</t>
  </si>
  <si>
    <t>CEO</t>
  </si>
  <si>
    <t>Hallmark Management, Inc.</t>
  </si>
  <si>
    <t>Coleman Talley LLP</t>
  </si>
  <si>
    <t>910 North Patterson Street</t>
  </si>
  <si>
    <t>http://www.colemantalley.com/</t>
  </si>
  <si>
    <t>greg.clark@colemantalley.com</t>
  </si>
  <si>
    <t>Greg Clark</t>
  </si>
  <si>
    <t>Partner</t>
  </si>
  <si>
    <t>Tidwell Group</t>
  </si>
  <si>
    <t>http://tidwellgroup.com/</t>
  </si>
  <si>
    <t>2001 Park Place, Suite 900</t>
  </si>
  <si>
    <t>Birmingham</t>
  </si>
  <si>
    <t>Brent Barringer</t>
  </si>
  <si>
    <t>brent.barringer@thefctgroup.com</t>
  </si>
  <si>
    <t>http://www.s8darchitects.com/</t>
  </si>
  <si>
    <t>Studio 8 Design</t>
  </si>
  <si>
    <t>2722 N. Oak Street</t>
  </si>
  <si>
    <t>rbyington@s8darchitects.com</t>
  </si>
  <si>
    <t>Robert Byington</t>
  </si>
  <si>
    <t>7709842100 / 107</t>
  </si>
  <si>
    <t>3111 Paces  Mill Road, STE A-250</t>
  </si>
  <si>
    <t>N/A - No Identity of interest to disclose.</t>
  </si>
  <si>
    <t>Martin H. Petersen is the President of the proposed Management Agent and the Manager of the General Partner of the Buyer.  Also, Martin H. Petersen is the President of the proposed Management Agent and the Manager of the Developer.</t>
  </si>
  <si>
    <t>Martin H. Petersen is the Manager of the Managing General Partner for the Owner/Applicant and the Manager of the Developer.  William A. Glisson is a Member of the Managing General Partner for the Owner/Applicant and a Member of the Developer.</t>
  </si>
  <si>
    <t>Martin H. Petersen is the Manager of the Managing General Partner for the Owner/Applicant and is the Managing Member of the General Partner of the Seller.</t>
  </si>
  <si>
    <t>Amortizing</t>
  </si>
  <si>
    <t>CAHEC</t>
  </si>
  <si>
    <t>Acquisition/Rehab</t>
  </si>
  <si>
    <t>Asbestos &amp; Radon Testing</t>
  </si>
  <si>
    <t>PA16-023</t>
  </si>
  <si>
    <t>1119 Douglas Drive</t>
  </si>
  <si>
    <t>Latitude:  30.757319927215576    Longitude:   -81.56742185354233</t>
  </si>
  <si>
    <t>106.01</t>
  </si>
  <si>
    <t>City of St. Marys, Georgia</t>
  </si>
  <si>
    <t>John F. Morrisey</t>
  </si>
  <si>
    <t>St. Marys City Hall, 418 Osborne Street</t>
  </si>
  <si>
    <t>http://www.stmarysga.gov/government/mayor_and_city_council/index.php</t>
  </si>
  <si>
    <t>John.Morrissey@stmarysga.gov</t>
  </si>
  <si>
    <t>1981</t>
  </si>
  <si>
    <t>Hallmark Pines Manager, LLC</t>
  </si>
  <si>
    <t>Hall Properties-Pines, Ltd., L.P.</t>
  </si>
  <si>
    <t>FHA Sec. 221(d)(4)/Wells Fargo</t>
  </si>
  <si>
    <t>OCAF Rent Adjustment (HAP Contract GA060012146)</t>
  </si>
  <si>
    <t>Agree</t>
  </si>
  <si>
    <t>Payroll Taxes &amp; Worker's Comp Insurance</t>
  </si>
  <si>
    <t xml:space="preserve">Physical Needs Assessment </t>
  </si>
  <si>
    <t>Methodology for Real Estate Tax and Insurance projection calculations in Tab 1.  Impact Fees are not applicable to this application and project.</t>
  </si>
  <si>
    <t>Hallmark Pines, LP</t>
  </si>
  <si>
    <t>Energy Audit Report - Rehab Project</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</si>
  <si>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</si>
  <si>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</si>
  <si>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</si>
  <si>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(&lt;10%)</t>
  </si>
  <si>
    <t>Nbr of units to have DCA PBRA:</t>
  </si>
  <si>
    <t>% of units for ISH for PWD (≤10%)</t>
  </si>
  <si>
    <t>St. Mary's Middle School</t>
  </si>
  <si>
    <t xml:space="preserve">Wendy's </t>
  </si>
  <si>
    <t>US Post office</t>
  </si>
  <si>
    <t>The area has (9) desirable activities within (1) mile and qualifies for the bonus desirable activity point.  Please see the supplied certification form and back-up documentation in Tab 27.</t>
  </si>
  <si>
    <t>N/a</t>
  </si>
  <si>
    <t>Coastal Regional Coaches of Georgia</t>
  </si>
  <si>
    <t>http://www.coastalregionalcoaches.com/CRC/Home.html</t>
  </si>
  <si>
    <t>http://www.coastalregionalcoaches.com/CRC/Coastal_Region_Map.html</t>
  </si>
  <si>
    <t>The applicant has selected an on-call service that will pick-up residents on-site at The Pines Apartments.  Please see the supplied information and back-up documentation in Tab 28.</t>
  </si>
  <si>
    <t>Earth Craft House Multifamily</t>
  </si>
  <si>
    <t>The applicant will be seeking the EarthCraft Multi-Family Certification for the project.  The applicable scoring sheet and other back-up information is located in Tab 30.</t>
  </si>
  <si>
    <t>C2</t>
  </si>
  <si>
    <t>Latitude:</t>
  </si>
  <si>
    <t>Longitude:</t>
  </si>
  <si>
    <t>-81.56742185354233</t>
  </si>
  <si>
    <t>30.757319927215576</t>
  </si>
  <si>
    <t>Application (family or senior) meets criteria for at least one (1) pt under Sect 20 QEA?</t>
  </si>
  <si>
    <t>Appl:</t>
  </si>
  <si>
    <t>DCA:</t>
  </si>
  <si>
    <t>The applicant has not submitted any commitments as "Under Consideration" which need final approval before July 8, 2016.</t>
  </si>
  <si>
    <t>The applicant does not meet or exceed any DCA project Cost Limits.</t>
  </si>
  <si>
    <t>The applicant is proposing the acquisition and rehabilitation of a Family project.</t>
  </si>
  <si>
    <t>resident birthday parties, holiday themed parties, potluck dinners, etc.</t>
  </si>
  <si>
    <t>resident computer training and technology skill education classes.</t>
  </si>
  <si>
    <t>The proposed Management Agent (Hallmark Management, Inc.) will work with the residents directly and continually identify the needs of the community and strive to provide social and recreational services to meet the specific changing resident needs going forward.</t>
  </si>
  <si>
    <t>Gill Group (Market Analyst - David Warren)</t>
  </si>
  <si>
    <t>2-4 Months (Currently 96% occupied)</t>
  </si>
  <si>
    <t>There are not any DCA LIHTC projects that were funded in the past two years that are in close proximity to the proposed project.  The property maintains a stabilized occupancy rate and does not need to absorb any additional units.  The overall rental housing market current occupancy rate is 99.00% and the LIHTC rental housing current occupancy rate is 97.0%.  The overall capture rate for the proposed development is reasonable for the LIHTC units.  It is believed per the Market Study in Tab 5 that the proposed project is a viable development.  For further clarification please see the Market Study report in Tab 5.</t>
  </si>
  <si>
    <t>Gill Group - (Appraisor - David Warren)</t>
  </si>
  <si>
    <t>N/Ap</t>
  </si>
  <si>
    <t>Georgia Power</t>
  </si>
  <si>
    <t>The project is currently all electric (No Gas) and after the proposed rehabilitation will remain all electric (No Gas).  Electricity is currently on site.  Please see Tab 11 for the Utility Letter.</t>
  </si>
  <si>
    <t>The City of St. Marys</t>
  </si>
  <si>
    <t>4/28/16 &amp; 5/5/2016</t>
  </si>
  <si>
    <t>Tribune &amp; Georgian (Local Newspaper)</t>
  </si>
  <si>
    <t>Please see Tab 13 for all back-up evidence regarding the local community and resident meeting.</t>
  </si>
  <si>
    <t>Room</t>
  </si>
  <si>
    <t>Gazebo</t>
  </si>
  <si>
    <t>On-site laundry</t>
  </si>
  <si>
    <t>Playground</t>
  </si>
  <si>
    <t>Equipped Computer Center (With free resident Wi-Fi)</t>
  </si>
  <si>
    <t>Further details on the amenities the applicant is proposing can be found in the documentation in Tab 15 and Tab 16.</t>
  </si>
  <si>
    <t>Substantial Gut Rehab</t>
  </si>
  <si>
    <t>Gill Group, Inc. - (Nathan M. Gillete)</t>
  </si>
  <si>
    <t>The Physical Needs Assessment and Capital Reserve Study are in Tab 15.  The inspector visited the site on April 18, 2016 (effective date of reporting).</t>
  </si>
  <si>
    <t>Please see the Concept Site and Development Plan in Tab 16.</t>
  </si>
  <si>
    <t>The applicant agrees to section A &amp; B as outlined above for Building Sustainability.</t>
  </si>
  <si>
    <t>The compliance history summary was submitted at pre-application in the Performance Workbook and is included in Tab 20 of this application.</t>
  </si>
  <si>
    <t>N/A - The applicant is a for-profit entity.</t>
  </si>
  <si>
    <t>N/A - The applicant is not eligible and does not involve a CHDO and/or HOME Loan.</t>
  </si>
  <si>
    <t>Please see the legal opinion regarding acquisition credit eligibility in Tab 24.</t>
  </si>
  <si>
    <t>0</t>
  </si>
  <si>
    <t>3</t>
  </si>
  <si>
    <t>Please see all relocation documentation in Tab 25 for more information.  It is anticipated that (0) tenants will be permanently displaced because of the proposed project.</t>
  </si>
  <si>
    <t>The applicant agrees to submit an (AFFH) Plan as outlined in the selections above.</t>
  </si>
  <si>
    <t>The applicant is proposing an acquisition and rehabilitation an existing 70-unit HUD Section-8 Family property that has not been rehabbed since its initial construction in 1981.  The property is currently 95.71% occupied.  Please see the Project Narrative tab for fulll detail on the proposed acquisition and rehabilitation project.</t>
  </si>
  <si>
    <t>The applicant is proposing new financing through FHA's Section 221(d)(4) loan program.  The new rates and terms  are outlined in Section II Contruction Financing and Section III Permanent Financing above.  Please also see the Wells Fargo Bank, N.A. loan application letter included in Tab 1 for further information.</t>
  </si>
  <si>
    <t>Construction hard costs are based on an estimate received from Formula Construction Group, LLC.  Development team representative from Hallmark Development Services, LLC, Formula Construction Group, LLC and Studio 8 design met and conducted a detailed site inspection on May 17, 2016 prior to formation of the scope of work.  Please see the DCA  Rehab Work Scope form in Tab 15.
The Total Land Value and Improvement Value used was derived from the appraisal report located in Tab 6.  The applicant left out Land Value of the development budget as the applicant has committed to a long-term ground lease for the land outlined under the QAP scoring section XV Leveraging.  The applicant will be purchasing the existing structure and all improvements through a purchase contract. Further details for site control can be located under Tab 8.</t>
  </si>
  <si>
    <t>HUD</t>
  </si>
  <si>
    <t>This scoring section is N/A and the applicant is claiming (0) points in scoring section 8.</t>
  </si>
  <si>
    <t>No projects in the City of St. Marys, Camden County, or within (1) mile of the proposed project have received an award of 9% LIHTCs in the last (4) funding rounds.</t>
  </si>
  <si>
    <t>Please see Tab 5 in the application for a copy of the market study which supports the scoring and market characteristics selected by the applicant.</t>
  </si>
  <si>
    <t xml:space="preserve">N/A - The applicant is proposing an acquisition and rehabilitation of an existing property. </t>
  </si>
  <si>
    <t>The project is located in Census Tract 106.01, which is a 2016 designated Military Zone.  Please see Tab 36 for more information regarding this designation.</t>
  </si>
  <si>
    <t>Camden County - 620</t>
  </si>
  <si>
    <t>Pk, KK, 01, 02, 03, 04, 05</t>
  </si>
  <si>
    <t>Saint Marys Elementary School - 0110</t>
  </si>
  <si>
    <t>Saint Marys Middle School - 0105</t>
  </si>
  <si>
    <t>06, 07, 08</t>
  </si>
  <si>
    <t>Camden County High School - 0295</t>
  </si>
  <si>
    <t>09, 10, 11, 12</t>
  </si>
  <si>
    <t>Please see tab 42 for CCRPI and other required documentation to support the Quality Education Area scoring sections.</t>
  </si>
  <si>
    <t>Property serves mixed-income tenant base (min 15% unrestricted units)?  Percent:</t>
  </si>
  <si>
    <t>May 2016 Revision v6</t>
  </si>
  <si>
    <t xml:space="preserve">The applicant selects (0) points for scoring Sec. 21 Workforce Housing Need.  Please see Tab 43 for the requested supporting Workforce Housing Need documentation.  </t>
  </si>
  <si>
    <t>The Hallmark Companies, Inc. / Hallmark Pines, LP</t>
  </si>
  <si>
    <t>The applicant was deemed Qualified - Complete on their pre-application determination request.  The Qualification of Project Team Determination is in Tab 20.  The applicant also provided other information in Tab 20.</t>
  </si>
  <si>
    <t>The applicant agrees to comply with all accessible standards and engage a third party (non-related) DCA qualified consultant to monitor accessibility requirements and confirm compliance.</t>
  </si>
  <si>
    <t>Martin H. Petersen is the Managing Member of the General Partner of the Seller (Improvements and Land) and the Manager of the General Partner of the Buyer (Improvements).  Martin H. Petersen is also the Manager of the Buyer (Land) and the Manager of the optionor/long-term lessor of the land.</t>
  </si>
  <si>
    <t>The Energy Audit Report is required by DCA for rehabilitation projects.  The applicant has prepared and incured the cost for this report.  It helps DCA, Southface, and other energy analyst monitor the energy conservation in various areas should the proposed energy retrofits take place in the proposed project.  It also helps the applicant confirm the EarthCraft Multi-family House Certification it is seeking.  The applicant has prepared and incured the cost for this report.  Please see the report in Tab 30 for  more information.</t>
  </si>
  <si>
    <t>The Physical Needs Assessment ("PNA") is a report used to describe the specific "As-Is" conditions of an existing property and provides the basis for the scope of ork formation and subsequent underwriting should the applicant be awarded LIHTCs.  DCA requires a Needs Assessment and Capital reserve Study and this report satisfies that requirement.  Please see Tab 15 for the full report.</t>
  </si>
  <si>
    <t>Asbestos ("ACM") &amp; Radon Testing is performed as additional testing in the Environmental Phase I report.  The purpose of the additional testing is to detect if ACMs and/or Radon is currently present at the property and if so the cost of mitigation needs to be included in the scope of work and a plan needs to be put in place.  Per the Environmental Phase I in Tab 7 there is not Asbestos and/or Radon detected on site.</t>
  </si>
  <si>
    <t>The property was originally built in 1981 and could potnetially contain ACMs and/or Radon, so an upfront test to detect the presence of these items was needed.  If present the cost to mitigate would need to be included in the scope of work.  Please see Tab 7 for the Environmental Phase I report with the additional asbestos and radon testing included.</t>
  </si>
  <si>
    <t>Under its rehabilitation standards DCA requires a Physical Needs Assessment and Capital reserve Study and this report satisfies that requirement.  Please see Tab 15 for the full report.</t>
  </si>
  <si>
    <t>The project does not involve DCA Home funds, so the applicant left Sec.B Q 4) blank, as it is N/A.  Please see the Appraisal report in Tab 6.</t>
  </si>
  <si>
    <t>The Gill Group, Inc. / Spectrum Environmental Inc.</t>
  </si>
  <si>
    <t>&lt; 65 DNL</t>
  </si>
  <si>
    <t>Roadway, Railway and Airport</t>
  </si>
  <si>
    <t>No Septic Tanks or water wells are detected on site.</t>
  </si>
  <si>
    <t>The proposed project does not involve HOME funds.  Please see the Environmental Phase I report and other items in Tab 7.</t>
  </si>
  <si>
    <t>Please see the site map in Tab 9 for documentation verifying legally accessible site access via public roads.</t>
  </si>
  <si>
    <t>Contract/Option</t>
  </si>
  <si>
    <t>Hallmark Pines, LP (Site Control Improvements) and Hallmark Pines LH, LLC (Site Control Land)</t>
  </si>
  <si>
    <t xml:space="preserve">The Pines Apartments is an existing HUD Sec-8 seventy (70) unit apartment complex located in St. Marys, Georgia.  St. Marys is located in the south east region of Georgia in Camden County, approximately 40 miles due south of Brunswick, GA and 60 miles south east of Waycross, GA.  Historic St. Marys, Georgia offers picturesque streets lined with centuries old live-oaks and the restorative beauty of numerous waterways and marshes.  The City of St. Marys and Camden County pride themselves on a diverse blend of residents and strong economies which continue to be a driving force in the south eastern part of Georgia.  The property is conveniently located at 1119 Douglas Drive, St Marys, GA 31558 near many amenities and shopping options for residents of the property to enjoy.
The Pines Apartments was originally constructed in 1981 as a HUD Section 8 property serving the qualifying family demographic.  The property is currently 98.5% occupied and maintains a resident waitlist.  Existing on the property there are a total of seventy (70) apartment units housed in five one and two story residential buildings, one non-residential reasonable sized leasing office/laundry/maintenance building, small playground and concrete basketball court located on the property.  The current unit matrix is made up of ten (10) one bedroom, forty-eight (48) two bedroom and twelve (12) three bedroom apartment units.  Never having received a full scale rehabilitation and being approximately thirty-five years old the property is in need of substantial repair work to its exteriors and interiors as well as energy upgrades throughout the property to cure items that have been come inefficient and in some cases obsolete.
Proposed interior unit renovations will include but are not limited to targeting electrical, plumbing and mechanical improvements that will include all new energy star/energy efficient items such as; HVAC systems, hot water heaters, plumbing/piping and other low flow water saving toilets/fixtures.  We will also install new energy star/energy efficient dishwashers, garbage disposals, range hoods, microwaves, ceiling fans in living and master bedrooms, cable TV availability to living room and bedrooms, and energy efficient windows, window trim, and blinds.  Proposed kitchen renovations we will include new flooring, cabinets, counter tops, and energy star appliances throughout the area.  Proposed bathroom renovations will include new flooring, mirrors, vanities, bathtub surrounds, faucets, and other accessory upgrades.  All unit interiors will have energy star rated lighting with new wall switch controls in each room.  We will install new carpet in the bedrooms and VCT and/or plank flooring in the main traffic areas of each apartment unit.  We will install all new exterior and interior unit bedroom/closet doors including all hardware/trim will be installed throughout the entire unit too.   All handicapped accessible units will be retrofitted to meet current accessibility requirements.
Proposed exterior and common area renovations and amenities include but are not limited to targeting various items that will allow achievement of Southface Energy Institute’s and Greater Atlanta Home Builder Associations EarthCraft Housing multifamily certification.  Exterior building improvements include new hardi-plank siding that will provide long-term durability as well as an attractive architectural appeal.  There will be new signage installed throughout the property and the property’s entrance sign will be replaced with a well-lit aesthetically pleasing community sign. Energy Star rated exterior lighting will be installed throughout the property’s common exterior areas/stairways, outside the community building, and at each unit’s exterior entry door to provide a pleasant and safe atmosphere for the residents.  The current community building will be re-built and reconfigured to include a new leasing office, resident community area/business center with free resident Wi-Fi, maintenance and common laundry area.  The proposed community building will be equipped with new art work, tables, chairs and other furniture for social gathering with residents and their families.  This new community and business center area will be used for resident birthday parties, holiday festivals, potential resident employment hunting, homework/studying or normal email communication.  A new commercial grade age relevant playground, gazebo with landscaping, covered picnic area, outdoor smoking pavilion and anchored weather resistant benches will be installed on the property.  A complete asphalt overlay and restriping to all parking areas is proposed to repair all existing parking lot issues and deferred maintenance.  Concrete sidewalk renovations and the associated accessibility items will all be addressed where applicable through the property and the common resident and amenity areas.  Lastly, upgraded landscaping is proposed throughout the property to enhance the atmosphere and promote the drive-by appearance and marketability of the community.
The owner will work with the property management company to provide various resident activities such as; potluck dinner night, movie night, holiday parties, game night computer training and other potential community activities that maybe beneficial to the residents wellbeing  There will not be any costs associated with community area resident activities and gatherings will be optional in nature to the residents.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
</t>
  </si>
  <si>
    <t>Martin H. Petersen is the President of the proposed Management Agent and the Manager of the Managing General Partner for the Owner Applicant.  Martin H. Petersen is also the Manger of the Developer.</t>
  </si>
  <si>
    <t>Please see the articles of organization, owner organizational chart and identity of interest discosures located in Tab 20.</t>
  </si>
  <si>
    <t>The Energy Audit report is required by DCA for all rehabilitation projects.  The applicant has prepared and incurred the cost for this report.  Please see the report in Tab 30 for  more information.</t>
  </si>
  <si>
    <t>The approved 2016 OCAF Rent Adjustment (HAP Contract GA060012146) has been included in Tab 1 for further breakdown of HUD utility allowances.</t>
  </si>
  <si>
    <t>The applicant is applying for a new HUD 221(d)(4) loan to be used as a source of funding during construction and permanent phases.  The applicant also has a letter from HUD stating that if the projext is awarded LIHTCs then it will issue a new PBRA in the form of a 20-year HAP contract.  Please see all back-up information in Tab 1.</t>
  </si>
  <si>
    <t>Please see site control documentation in the form of a contract, option, and ground lease in Tab 8 and Further Explanation in Tab 45.</t>
  </si>
  <si>
    <t>The proposed project is an acquisition and rehabilitation of an existing property.  Please see Tab 10 for further documentation regarding site zoning.</t>
  </si>
  <si>
    <t>Water and Sewer are currently available on site.  Please see the Water &amp; Sewer Letter in Tab 12.</t>
  </si>
  <si>
    <t>A copy of the approved Architectural Standards Waiver is included in Tab 19.</t>
  </si>
  <si>
    <t>The applicant agrees to all the applicable guidelines for optimal utilization of resources.</t>
  </si>
  <si>
    <t>Please see Tab 41 for all requested and other back-up information for the preservation priority categories selected by the applicant.</t>
  </si>
  <si>
    <t>The applicant is proposing new financing in the form of a FHA Section 221(d)(4) loan for $1,600,000 that meets DCA's criteria in scoring section 15 (A).  The applicant is also receiving a long-term ground lease on the land (no less than 45-years) for nominal consideration and no other land costs for the entire property.  Please see all the documentation in Tab 37 and Tab 8 for further information.</t>
  </si>
  <si>
    <t>2016-079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</si>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</sst>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0" fontId="2" fillId="0" borderId="0" xfId="0" applyFont="1" applyAlignment="1" applyProtection="1">
      <alignment horizontal="center" vertical="center"/>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left"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189" fillId="0" borderId="0" xfId="0" applyFont="1" applyAlignment="1" applyProtection="1">
      <alignment horizont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186" fillId="0" borderId="0" xfId="0" applyFont="1" applyFill="1" applyBorder="1" applyAlignment="1" applyProtection="1">
      <alignment horizontal="center" vertical="top"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3" fillId="0" borderId="0" xfId="0" applyFont="1" applyFill="1" applyAlignment="1" applyProtection="1">
      <alignment horizontal="left"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xf>
    <xf numFmtId="0" fontId="87" fillId="0" borderId="0" xfId="0" applyFont="1" applyFill="1" applyAlignment="1" applyProtection="1">
      <alignment horizontal="center"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Alignment="1" applyProtection="1">
      <alignment horizontal="left"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185" fillId="0" borderId="0" xfId="0" applyFont="1" applyFill="1" applyBorder="1" applyAlignment="1" applyProtection="1">
      <alignment horizontal="center" vertical="top"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quotePrefix="1"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12" xfId="0" quotePrefix="1" applyFont="1" applyFill="1" applyBorder="1" applyAlignment="1" applyProtection="1">
      <alignment horizontal="center"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quotePrefix="1" applyFont="1" applyFill="1" applyBorder="1" applyAlignment="1" applyProtection="1">
      <alignment horizontal="center" vertical="center"/>
    </xf>
    <xf numFmtId="0" fontId="9" fillId="5" borderId="17" xfId="0" quotePrefix="1" applyFont="1" applyFill="1" applyBorder="1" applyAlignment="1" applyProtection="1">
      <alignment horizontal="center" vertical="center"/>
    </xf>
    <xf numFmtId="0" fontId="9" fillId="5" borderId="18" xfId="0" quotePrefix="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4" zoomScale="98" zoomScaleNormal="98" workbookViewId="0">
      <selection activeCell="A5"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The Pines Apartments</v>
      </c>
    </row>
    <row r="3" spans="1:6" ht="15" customHeight="1">
      <c r="A3" s="1151" t="str">
        <f>CONCATENATE('Part I-Project Information'!F28,", ", 'Part I-Project Information'!J29," County")</f>
        <v>St. Marys, Camden County</v>
      </c>
    </row>
    <row r="4" spans="1:6" ht="12" customHeight="1"/>
    <row r="5" spans="1:6" ht="111" customHeight="1">
      <c r="A5" s="2621" t="s">
        <v>4388</v>
      </c>
      <c r="B5" s="1444" t="s">
        <v>3066</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bf9T1CxTq9Z/ozPoyUmfLGJUmNeUeK9tGi/XxU3SiJ4ONhIRL0VUV77+qhf7KABiPAcrG8VyuDnEL5cMrqvIhA==" saltValue="eSkjrjbPsOKOoOfI3cNaf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topLeftCell="A53" zoomScale="130" zoomScaleNormal="130" workbookViewId="0">
      <selection activeCell="A57"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2016-079 The Pines Apartments, St. Marys, Camden County</v>
      </c>
      <c r="B1" s="1561"/>
      <c r="C1" s="1561"/>
      <c r="D1" s="1561"/>
      <c r="E1" s="1561"/>
      <c r="F1" s="1561"/>
      <c r="G1" s="1561"/>
      <c r="H1" s="1561"/>
      <c r="I1" s="1561"/>
      <c r="J1" s="1561"/>
      <c r="K1" s="1561"/>
      <c r="L1" s="1561"/>
      <c r="M1" s="1561"/>
      <c r="N1" s="1561"/>
      <c r="O1" s="1561"/>
      <c r="P1" s="1562"/>
      <c r="U1" s="1687" t="str">
        <f>A1</f>
        <v>PART SIX - PROJECTED REVENUES &amp; EXPENSES  -  2016-079 The Pines Apartments, St. Marys, Camden County</v>
      </c>
      <c r="V1" s="168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0" t="s">
        <v>3663</v>
      </c>
      <c r="JD3" s="1680" t="s">
        <v>3664</v>
      </c>
      <c r="JE3" s="1680" t="s">
        <v>3665</v>
      </c>
      <c r="JF3" s="1680" t="s">
        <v>3666</v>
      </c>
      <c r="JG3" s="1680"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88" t="s">
        <v>4152</v>
      </c>
      <c r="Q4" s="1413"/>
      <c r="R4" s="467"/>
      <c r="S4" s="467"/>
      <c r="T4" s="467"/>
      <c r="U4" s="467"/>
      <c r="V4" s="468"/>
      <c r="W4" s="1686" t="s">
        <v>952</v>
      </c>
      <c r="X4" s="1686" t="s">
        <v>786</v>
      </c>
      <c r="Y4" s="1686" t="s">
        <v>787</v>
      </c>
      <c r="Z4" s="1686" t="s">
        <v>788</v>
      </c>
      <c r="AA4" s="1686" t="s">
        <v>789</v>
      </c>
      <c r="AB4" s="1686" t="s">
        <v>953</v>
      </c>
      <c r="AC4" s="1686" t="s">
        <v>2390</v>
      </c>
      <c r="AD4" s="1686" t="s">
        <v>2391</v>
      </c>
      <c r="AE4" s="1686" t="s">
        <v>2392</v>
      </c>
      <c r="AF4" s="1686" t="s">
        <v>2393</v>
      </c>
      <c r="AG4" s="1686" t="s">
        <v>954</v>
      </c>
      <c r="AH4" s="1686" t="s">
        <v>2394</v>
      </c>
      <c r="AI4" s="1686" t="s">
        <v>2395</v>
      </c>
      <c r="AJ4" s="1686" t="s">
        <v>2396</v>
      </c>
      <c r="AK4" s="1686" t="s">
        <v>2397</v>
      </c>
      <c r="AL4" s="1686" t="s">
        <v>131</v>
      </c>
      <c r="AM4" s="1686" t="s">
        <v>2398</v>
      </c>
      <c r="AN4" s="1686" t="s">
        <v>2399</v>
      </c>
      <c r="AO4" s="1686" t="s">
        <v>2400</v>
      </c>
      <c r="AP4" s="1686" t="s">
        <v>1190</v>
      </c>
      <c r="AQ4" s="1686" t="s">
        <v>575</v>
      </c>
      <c r="AR4" s="1686" t="s">
        <v>576</v>
      </c>
      <c r="AS4" s="1686" t="s">
        <v>598</v>
      </c>
      <c r="AT4" s="1686" t="s">
        <v>599</v>
      </c>
      <c r="AU4" s="1686" t="s">
        <v>600</v>
      </c>
      <c r="AV4" s="1686" t="s">
        <v>601</v>
      </c>
      <c r="AW4" s="1686" t="s">
        <v>602</v>
      </c>
      <c r="AX4" s="1686" t="s">
        <v>603</v>
      </c>
      <c r="AY4" s="1686" t="s">
        <v>604</v>
      </c>
      <c r="AZ4" s="1686" t="s">
        <v>605</v>
      </c>
      <c r="BA4" s="1686" t="s">
        <v>606</v>
      </c>
      <c r="BB4" s="1686" t="s">
        <v>607</v>
      </c>
      <c r="BC4" s="1686" t="s">
        <v>964</v>
      </c>
      <c r="BD4" s="1686" t="s">
        <v>965</v>
      </c>
      <c r="BE4" s="1686" t="s">
        <v>966</v>
      </c>
      <c r="BF4" s="1686" t="s">
        <v>514</v>
      </c>
      <c r="BG4" s="1686" t="s">
        <v>515</v>
      </c>
      <c r="BH4" s="1686" t="s">
        <v>516</v>
      </c>
      <c r="BI4" s="1686" t="s">
        <v>517</v>
      </c>
      <c r="BJ4" s="1686" t="s">
        <v>518</v>
      </c>
      <c r="BK4" s="1686" t="s">
        <v>913</v>
      </c>
      <c r="BL4" s="1686" t="s">
        <v>914</v>
      </c>
      <c r="BM4" s="1686" t="s">
        <v>915</v>
      </c>
      <c r="BN4" s="1686" t="s">
        <v>916</v>
      </c>
      <c r="BO4" s="1686" t="s">
        <v>917</v>
      </c>
      <c r="BP4" s="1686" t="s">
        <v>918</v>
      </c>
      <c r="BQ4" s="1686" t="s">
        <v>919</v>
      </c>
      <c r="BR4" s="1686" t="s">
        <v>920</v>
      </c>
      <c r="BS4" s="1686" t="s">
        <v>921</v>
      </c>
      <c r="BT4" s="1686" t="s">
        <v>922</v>
      </c>
      <c r="BU4" s="1686" t="s">
        <v>2515</v>
      </c>
      <c r="BV4" s="1686" t="s">
        <v>2516</v>
      </c>
      <c r="BW4" s="1686" t="s">
        <v>2517</v>
      </c>
      <c r="BX4" s="1686" t="s">
        <v>2518</v>
      </c>
      <c r="BY4" s="1686" t="s">
        <v>2519</v>
      </c>
      <c r="BZ4" s="1686" t="s">
        <v>119</v>
      </c>
      <c r="CA4" s="1686" t="s">
        <v>1193</v>
      </c>
      <c r="CB4" s="1686" t="s">
        <v>1194</v>
      </c>
      <c r="CC4" s="1686" t="s">
        <v>1259</v>
      </c>
      <c r="CD4" s="1686" t="s">
        <v>1260</v>
      </c>
      <c r="CE4" s="1681" t="s">
        <v>134</v>
      </c>
      <c r="CF4" s="1681" t="s">
        <v>1261</v>
      </c>
      <c r="CG4" s="1681" t="s">
        <v>1262</v>
      </c>
      <c r="CH4" s="1681" t="s">
        <v>1263</v>
      </c>
      <c r="CI4" s="1681" t="s">
        <v>1264</v>
      </c>
      <c r="CJ4" s="1681" t="s">
        <v>133</v>
      </c>
      <c r="CK4" s="1681" t="s">
        <v>944</v>
      </c>
      <c r="CL4" s="1681" t="s">
        <v>945</v>
      </c>
      <c r="CM4" s="1681" t="s">
        <v>946</v>
      </c>
      <c r="CN4" s="1681" t="s">
        <v>947</v>
      </c>
      <c r="CO4" s="1681" t="s">
        <v>132</v>
      </c>
      <c r="CP4" s="1681" t="s">
        <v>948</v>
      </c>
      <c r="CQ4" s="1681" t="s">
        <v>949</v>
      </c>
      <c r="CR4" s="1681" t="s">
        <v>950</v>
      </c>
      <c r="CS4" s="1681" t="s">
        <v>951</v>
      </c>
      <c r="CT4" s="1681" t="s">
        <v>841</v>
      </c>
      <c r="CU4" s="1681" t="s">
        <v>842</v>
      </c>
      <c r="CV4" s="1681" t="s">
        <v>843</v>
      </c>
      <c r="CW4" s="1681" t="s">
        <v>844</v>
      </c>
      <c r="CX4" s="1681" t="s">
        <v>845</v>
      </c>
      <c r="CY4" s="1681" t="s">
        <v>991</v>
      </c>
      <c r="CZ4" s="1681" t="s">
        <v>992</v>
      </c>
      <c r="DA4" s="1681" t="s">
        <v>993</v>
      </c>
      <c r="DB4" s="1681" t="s">
        <v>994</v>
      </c>
      <c r="DC4" s="1681" t="s">
        <v>2514</v>
      </c>
      <c r="DD4" s="1681" t="s">
        <v>1487</v>
      </c>
      <c r="DE4" s="1681" t="s">
        <v>1488</v>
      </c>
      <c r="DF4" s="1681" t="s">
        <v>1489</v>
      </c>
      <c r="DG4" s="1681" t="s">
        <v>1490</v>
      </c>
      <c r="DH4" s="1681" t="s">
        <v>1491</v>
      </c>
      <c r="DI4" s="1681" t="s">
        <v>451</v>
      </c>
      <c r="DJ4" s="1681" t="s">
        <v>452</v>
      </c>
      <c r="DK4" s="1681" t="s">
        <v>453</v>
      </c>
      <c r="DL4" s="1681" t="s">
        <v>454</v>
      </c>
      <c r="DM4" s="1681" t="s">
        <v>455</v>
      </c>
      <c r="DN4" s="1681" t="s">
        <v>18</v>
      </c>
      <c r="DO4" s="1681" t="s">
        <v>19</v>
      </c>
      <c r="DP4" s="1681" t="s">
        <v>20</v>
      </c>
      <c r="DQ4" s="1681" t="s">
        <v>21</v>
      </c>
      <c r="DR4" s="1681" t="s">
        <v>22</v>
      </c>
      <c r="DS4" s="1681" t="s">
        <v>231</v>
      </c>
      <c r="DT4" s="1681" t="s">
        <v>232</v>
      </c>
      <c r="DU4" s="1681" t="s">
        <v>233</v>
      </c>
      <c r="DV4" s="1681" t="s">
        <v>1879</v>
      </c>
      <c r="DW4" s="1681" t="s">
        <v>1880</v>
      </c>
      <c r="DX4" s="1681" t="s">
        <v>1881</v>
      </c>
      <c r="DY4" s="1681" t="s">
        <v>614</v>
      </c>
      <c r="DZ4" s="1681" t="s">
        <v>615</v>
      </c>
      <c r="EA4" s="1681" t="s">
        <v>616</v>
      </c>
      <c r="EB4" s="1681" t="s">
        <v>617</v>
      </c>
      <c r="EC4" s="1681" t="s">
        <v>23</v>
      </c>
      <c r="ED4" s="1681" t="s">
        <v>24</v>
      </c>
      <c r="EE4" s="1681" t="s">
        <v>25</v>
      </c>
      <c r="EF4" s="1681" t="s">
        <v>26</v>
      </c>
      <c r="EG4" s="1681" t="s">
        <v>27</v>
      </c>
      <c r="EH4" s="1681" t="s">
        <v>513</v>
      </c>
      <c r="EI4" s="1681" t="s">
        <v>447</v>
      </c>
      <c r="EJ4" s="1681" t="s">
        <v>448</v>
      </c>
      <c r="EK4" s="1681" t="s">
        <v>449</v>
      </c>
      <c r="EL4" s="1681" t="s">
        <v>450</v>
      </c>
      <c r="EM4" s="1681" t="s">
        <v>2287</v>
      </c>
      <c r="EN4" s="1681" t="s">
        <v>2288</v>
      </c>
      <c r="EO4" s="1681" t="s">
        <v>2289</v>
      </c>
      <c r="EP4" s="1681" t="s">
        <v>1536</v>
      </c>
      <c r="EQ4" s="1681" t="s">
        <v>1537</v>
      </c>
      <c r="ER4" s="1681" t="s">
        <v>28</v>
      </c>
      <c r="ES4" s="1681" t="s">
        <v>29</v>
      </c>
      <c r="ET4" s="1681" t="s">
        <v>30</v>
      </c>
      <c r="EU4" s="1681" t="s">
        <v>31</v>
      </c>
      <c r="EV4" s="1681"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0" t="s">
        <v>1683</v>
      </c>
      <c r="IE4" s="1680" t="s">
        <v>2611</v>
      </c>
      <c r="IF4" s="1680" t="s">
        <v>2612</v>
      </c>
      <c r="IG4" s="1680" t="s">
        <v>400</v>
      </c>
      <c r="IH4" s="1680" t="s">
        <v>401</v>
      </c>
      <c r="II4" s="1680" t="s">
        <v>402</v>
      </c>
      <c r="IJ4" s="1680" t="s">
        <v>403</v>
      </c>
      <c r="IK4" s="1680" t="s">
        <v>404</v>
      </c>
      <c r="IL4" s="1680" t="s">
        <v>405</v>
      </c>
      <c r="IM4" s="1680" t="s">
        <v>406</v>
      </c>
      <c r="IN4" s="1680" t="s">
        <v>208</v>
      </c>
      <c r="IO4" s="1680" t="s">
        <v>209</v>
      </c>
      <c r="IP4" s="1680" t="s">
        <v>210</v>
      </c>
      <c r="IQ4" s="1680" t="s">
        <v>211</v>
      </c>
      <c r="IR4" s="1680" t="s">
        <v>212</v>
      </c>
      <c r="IS4" s="1680" t="s">
        <v>213</v>
      </c>
      <c r="IT4" s="1680" t="s">
        <v>214</v>
      </c>
      <c r="IU4" s="1680" t="s">
        <v>215</v>
      </c>
      <c r="IV4" s="1680" t="s">
        <v>216</v>
      </c>
      <c r="IW4" s="1680" t="s">
        <v>217</v>
      </c>
      <c r="IX4" s="1680" t="s">
        <v>218</v>
      </c>
      <c r="IY4" s="1680" t="s">
        <v>219</v>
      </c>
      <c r="IZ4" s="1680" t="s">
        <v>220</v>
      </c>
      <c r="JA4" s="1680" t="s">
        <v>221</v>
      </c>
      <c r="JB4" s="1680" t="s">
        <v>222</v>
      </c>
      <c r="JC4" s="1680"/>
      <c r="JD4" s="1680"/>
      <c r="JE4" s="1680"/>
      <c r="JF4" s="1680"/>
      <c r="JG4" s="168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90" t="str">
        <f>IF(A48&gt;0,"Finish Row!","")</f>
        <v/>
      </c>
      <c r="B5" s="4" t="s">
        <v>1916</v>
      </c>
      <c r="D5" s="1"/>
      <c r="E5" s="4"/>
      <c r="F5" s="1"/>
      <c r="G5" s="2968"/>
      <c r="J5" s="1414" t="s">
        <v>3849</v>
      </c>
      <c r="M5" s="1428" t="s">
        <v>597</v>
      </c>
      <c r="O5" s="1416" t="s">
        <v>1072</v>
      </c>
      <c r="P5" s="1688"/>
      <c r="Q5" s="1413"/>
      <c r="R5" s="100"/>
      <c r="S5" s="100"/>
      <c r="T5" s="100"/>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c r="BD5" s="1686"/>
      <c r="BE5" s="1686"/>
      <c r="BF5" s="1686"/>
      <c r="BG5" s="1686"/>
      <c r="BH5" s="1686"/>
      <c r="BI5" s="1686"/>
      <c r="BJ5" s="1686"/>
      <c r="BK5" s="1686"/>
      <c r="BL5" s="1686"/>
      <c r="BM5" s="1686"/>
      <c r="BN5" s="1686"/>
      <c r="BO5" s="1686"/>
      <c r="BP5" s="1686"/>
      <c r="BQ5" s="1686"/>
      <c r="BR5" s="1686"/>
      <c r="BS5" s="1686"/>
      <c r="BT5" s="1686"/>
      <c r="BU5" s="1686"/>
      <c r="BV5" s="1686"/>
      <c r="BW5" s="1686"/>
      <c r="BX5" s="1686"/>
      <c r="BY5" s="1686"/>
      <c r="BZ5" s="1686"/>
      <c r="CA5" s="1686"/>
      <c r="CB5" s="1686"/>
      <c r="CC5" s="1686"/>
      <c r="CD5" s="1686"/>
      <c r="CE5" s="1681"/>
      <c r="CF5" s="1681"/>
      <c r="CG5" s="1681"/>
      <c r="CH5" s="1681"/>
      <c r="CI5" s="1681"/>
      <c r="CJ5" s="1681"/>
      <c r="CK5" s="1681"/>
      <c r="CL5" s="1681"/>
      <c r="CM5" s="1681"/>
      <c r="CN5" s="1681"/>
      <c r="CO5" s="1681"/>
      <c r="CP5" s="1681"/>
      <c r="CQ5" s="1681"/>
      <c r="CR5" s="1681"/>
      <c r="CS5" s="1681"/>
      <c r="CT5" s="1681"/>
      <c r="CU5" s="1681"/>
      <c r="CV5" s="1681"/>
      <c r="CW5" s="1681"/>
      <c r="CX5" s="1681"/>
      <c r="CY5" s="1681"/>
      <c r="CZ5" s="1681"/>
      <c r="DA5" s="1681"/>
      <c r="DB5" s="1681"/>
      <c r="DC5" s="1681"/>
      <c r="DD5" s="1681"/>
      <c r="DE5" s="1681"/>
      <c r="DF5" s="1681"/>
      <c r="DG5" s="1681"/>
      <c r="DH5" s="1681"/>
      <c r="DI5" s="1681"/>
      <c r="DJ5" s="1681"/>
      <c r="DK5" s="1681"/>
      <c r="DL5" s="1681"/>
      <c r="DM5" s="1681"/>
      <c r="DN5" s="1681"/>
      <c r="DO5" s="1681"/>
      <c r="DP5" s="1681"/>
      <c r="DQ5" s="1681"/>
      <c r="DR5" s="1681"/>
      <c r="DS5" s="1681"/>
      <c r="DT5" s="1681"/>
      <c r="DU5" s="1681"/>
      <c r="DV5" s="1681"/>
      <c r="DW5" s="1681"/>
      <c r="DX5" s="1681"/>
      <c r="DY5" s="1681"/>
      <c r="DZ5" s="1681"/>
      <c r="EA5" s="1681"/>
      <c r="EB5" s="1681"/>
      <c r="EC5" s="1681"/>
      <c r="ED5" s="1681"/>
      <c r="EE5" s="1681"/>
      <c r="EF5" s="1681"/>
      <c r="EG5" s="1681"/>
      <c r="EH5" s="1681"/>
      <c r="EI5" s="1681"/>
      <c r="EJ5" s="1681"/>
      <c r="EK5" s="1681"/>
      <c r="EL5" s="1681"/>
      <c r="EM5" s="1681"/>
      <c r="EN5" s="1681"/>
      <c r="EO5" s="1681"/>
      <c r="EP5" s="1681"/>
      <c r="EQ5" s="1681"/>
      <c r="ER5" s="1681"/>
      <c r="ES5" s="1681"/>
      <c r="ET5" s="1681"/>
      <c r="EU5" s="1681"/>
      <c r="EV5" s="1681"/>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0"/>
      <c r="IE5" s="1680"/>
      <c r="IF5" s="1680"/>
      <c r="IG5" s="1680"/>
      <c r="IH5" s="1680"/>
      <c r="II5" s="1680"/>
      <c r="IJ5" s="1680"/>
      <c r="IK5" s="1680"/>
      <c r="IL5" s="1680"/>
      <c r="IM5" s="1680"/>
      <c r="IN5" s="1680"/>
      <c r="IO5" s="1680"/>
      <c r="IP5" s="1680"/>
      <c r="IQ5" s="1680"/>
      <c r="IR5" s="1680"/>
      <c r="IS5" s="1680"/>
      <c r="IT5" s="1680"/>
      <c r="IU5" s="1680"/>
      <c r="IV5" s="1680"/>
      <c r="IW5" s="1680"/>
      <c r="IX5" s="1680"/>
      <c r="IY5" s="1680"/>
      <c r="IZ5" s="1680"/>
      <c r="JA5" s="1680"/>
      <c r="JB5" s="1680"/>
      <c r="JC5" s="1680"/>
      <c r="JD5" s="1680"/>
      <c r="JE5" s="1680"/>
      <c r="JF5" s="1680"/>
      <c r="JG5" s="1680"/>
      <c r="JH5" s="1685" t="s">
        <v>3658</v>
      </c>
      <c r="JI5" s="1685" t="s">
        <v>3659</v>
      </c>
      <c r="JJ5" s="1685" t="s">
        <v>3660</v>
      </c>
      <c r="JK5" s="1685" t="s">
        <v>3661</v>
      </c>
      <c r="JL5" s="1685" t="s">
        <v>3662</v>
      </c>
      <c r="JM5" s="1680" t="s">
        <v>3672</v>
      </c>
      <c r="JN5" s="1680" t="s">
        <v>3674</v>
      </c>
      <c r="JO5" s="1680" t="s">
        <v>3675</v>
      </c>
      <c r="JP5" s="1680" t="s">
        <v>3676</v>
      </c>
      <c r="JQ5" s="1680"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0"/>
      <c r="B6" s="30" t="s">
        <v>1872</v>
      </c>
      <c r="D6" s="1"/>
      <c r="E6" s="4"/>
      <c r="F6" s="2969"/>
      <c r="G6" s="1414" t="s">
        <v>4099</v>
      </c>
      <c r="H6" s="1691" t="s">
        <v>4102</v>
      </c>
      <c r="J6" s="1414" t="s">
        <v>4104</v>
      </c>
      <c r="M6" s="1682" t="str">
        <f>'Part I-Project Information'!$O$30</f>
        <v>Camden Co.</v>
      </c>
      <c r="N6" s="1682"/>
      <c r="O6" s="1168">
        <f>VLOOKUP('Part I-Project Information'!$O$30,'DCA Underwriting Assumptions'!$C$141:$D$251,2)</f>
        <v>65400</v>
      </c>
      <c r="P6" s="1688"/>
      <c r="Q6" s="1413"/>
      <c r="R6" s="100"/>
      <c r="S6" s="1683" t="s">
        <v>2801</v>
      </c>
      <c r="T6" s="1683"/>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c r="BD6" s="1686"/>
      <c r="BE6" s="1686"/>
      <c r="BF6" s="1686"/>
      <c r="BG6" s="1686"/>
      <c r="BH6" s="1686"/>
      <c r="BI6" s="1686"/>
      <c r="BJ6" s="1686"/>
      <c r="BK6" s="1686"/>
      <c r="BL6" s="1686"/>
      <c r="BM6" s="1686"/>
      <c r="BN6" s="1686"/>
      <c r="BO6" s="1686"/>
      <c r="BP6" s="1686"/>
      <c r="BQ6" s="1686"/>
      <c r="BR6" s="1686"/>
      <c r="BS6" s="1686"/>
      <c r="BT6" s="1686"/>
      <c r="BU6" s="1686"/>
      <c r="BV6" s="1686"/>
      <c r="BW6" s="1686"/>
      <c r="BX6" s="1686"/>
      <c r="BY6" s="1686"/>
      <c r="BZ6" s="1686"/>
      <c r="CA6" s="1686"/>
      <c r="CB6" s="1686"/>
      <c r="CC6" s="1686"/>
      <c r="CD6" s="1686"/>
      <c r="CE6" s="1681"/>
      <c r="CF6" s="1681"/>
      <c r="CG6" s="1681"/>
      <c r="CH6" s="1681"/>
      <c r="CI6" s="1681"/>
      <c r="CJ6" s="1681"/>
      <c r="CK6" s="1681"/>
      <c r="CL6" s="1681"/>
      <c r="CM6" s="1681"/>
      <c r="CN6" s="1681"/>
      <c r="CO6" s="1681"/>
      <c r="CP6" s="1681"/>
      <c r="CQ6" s="1681"/>
      <c r="CR6" s="1681"/>
      <c r="CS6" s="1681"/>
      <c r="CT6" s="1681"/>
      <c r="CU6" s="1681"/>
      <c r="CV6" s="1681"/>
      <c r="CW6" s="1681"/>
      <c r="CX6" s="1681"/>
      <c r="CY6" s="1681"/>
      <c r="CZ6" s="1681"/>
      <c r="DA6" s="1681"/>
      <c r="DB6" s="1681"/>
      <c r="DC6" s="1681"/>
      <c r="DD6" s="1681"/>
      <c r="DE6" s="1681"/>
      <c r="DF6" s="1681"/>
      <c r="DG6" s="1681"/>
      <c r="DH6" s="1681"/>
      <c r="DI6" s="1681"/>
      <c r="DJ6" s="1681"/>
      <c r="DK6" s="1681"/>
      <c r="DL6" s="1681"/>
      <c r="DM6" s="1681"/>
      <c r="DN6" s="1681"/>
      <c r="DO6" s="1681"/>
      <c r="DP6" s="1681"/>
      <c r="DQ6" s="1681"/>
      <c r="DR6" s="1681"/>
      <c r="DS6" s="1681"/>
      <c r="DT6" s="1681"/>
      <c r="DU6" s="1681"/>
      <c r="DV6" s="1681"/>
      <c r="DW6" s="1681"/>
      <c r="DX6" s="1681"/>
      <c r="DY6" s="1681"/>
      <c r="DZ6" s="1681"/>
      <c r="EA6" s="1681"/>
      <c r="EB6" s="1681"/>
      <c r="EC6" s="1681"/>
      <c r="ED6" s="1681"/>
      <c r="EE6" s="1681"/>
      <c r="EF6" s="1681"/>
      <c r="EG6" s="1681"/>
      <c r="EH6" s="1681"/>
      <c r="EI6" s="1681"/>
      <c r="EJ6" s="1681"/>
      <c r="EK6" s="1681"/>
      <c r="EL6" s="1681"/>
      <c r="EM6" s="1681"/>
      <c r="EN6" s="1681"/>
      <c r="EO6" s="1681"/>
      <c r="EP6" s="1681"/>
      <c r="EQ6" s="1681"/>
      <c r="ER6" s="1681"/>
      <c r="ES6" s="1681"/>
      <c r="ET6" s="1681"/>
      <c r="EU6" s="1681"/>
      <c r="EV6" s="1681"/>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0"/>
      <c r="IE6" s="1680"/>
      <c r="IF6" s="1680"/>
      <c r="IG6" s="1680"/>
      <c r="IH6" s="1680"/>
      <c r="II6" s="1680"/>
      <c r="IJ6" s="1680"/>
      <c r="IK6" s="1680"/>
      <c r="IL6" s="1680"/>
      <c r="IM6" s="1680"/>
      <c r="IN6" s="1680"/>
      <c r="IO6" s="1680"/>
      <c r="IP6" s="1680"/>
      <c r="IQ6" s="1680"/>
      <c r="IR6" s="1680"/>
      <c r="IS6" s="1680"/>
      <c r="IT6" s="1680"/>
      <c r="IU6" s="1680"/>
      <c r="IV6" s="1680"/>
      <c r="IW6" s="1680"/>
      <c r="IX6" s="1680"/>
      <c r="IY6" s="1680"/>
      <c r="IZ6" s="1680"/>
      <c r="JA6" s="1680"/>
      <c r="JB6" s="1680"/>
      <c r="JC6" s="1680"/>
      <c r="JD6" s="1680"/>
      <c r="JE6" s="1680"/>
      <c r="JF6" s="1680"/>
      <c r="JG6" s="1680"/>
      <c r="JH6" s="1685"/>
      <c r="JI6" s="1685"/>
      <c r="JJ6" s="1685"/>
      <c r="JK6" s="1685"/>
      <c r="JL6" s="1685"/>
      <c r="JM6" s="1680"/>
      <c r="JN6" s="1680"/>
      <c r="JO6" s="1680"/>
      <c r="JP6" s="1680"/>
      <c r="JQ6" s="168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0"/>
      <c r="B7" s="4"/>
      <c r="C7" s="1"/>
      <c r="D7" s="4"/>
      <c r="E7" s="1"/>
      <c r="F7" s="1"/>
      <c r="G7" s="1414" t="s">
        <v>4100</v>
      </c>
      <c r="H7" s="1691"/>
      <c r="J7" s="1414" t="s">
        <v>4105</v>
      </c>
      <c r="M7" s="1"/>
      <c r="P7" s="1688"/>
      <c r="Q7" s="1413"/>
      <c r="R7" s="1159"/>
      <c r="S7" s="1160"/>
      <c r="T7" s="1165" t="s">
        <v>2798</v>
      </c>
      <c r="U7" s="467"/>
      <c r="V7" s="468"/>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686"/>
      <c r="CE7" s="1681"/>
      <c r="CF7" s="1681"/>
      <c r="CG7" s="1681"/>
      <c r="CH7" s="1681"/>
      <c r="CI7" s="1681"/>
      <c r="CJ7" s="1681"/>
      <c r="CK7" s="1681"/>
      <c r="CL7" s="1681"/>
      <c r="CM7" s="1681"/>
      <c r="CN7" s="1681"/>
      <c r="CO7" s="1681"/>
      <c r="CP7" s="1681"/>
      <c r="CQ7" s="1681"/>
      <c r="CR7" s="1681"/>
      <c r="CS7" s="1681"/>
      <c r="CT7" s="1681"/>
      <c r="CU7" s="1681"/>
      <c r="CV7" s="1681"/>
      <c r="CW7" s="1681"/>
      <c r="CX7" s="1681"/>
      <c r="CY7" s="1681"/>
      <c r="CZ7" s="1681"/>
      <c r="DA7" s="1681"/>
      <c r="DB7" s="1681"/>
      <c r="DC7" s="1681"/>
      <c r="DD7" s="1681"/>
      <c r="DE7" s="1681"/>
      <c r="DF7" s="1681"/>
      <c r="DG7" s="1681"/>
      <c r="DH7" s="1681"/>
      <c r="DI7" s="1681"/>
      <c r="DJ7" s="1681"/>
      <c r="DK7" s="1681"/>
      <c r="DL7" s="1681"/>
      <c r="DM7" s="1681"/>
      <c r="DN7" s="1681"/>
      <c r="DO7" s="1681"/>
      <c r="DP7" s="1681"/>
      <c r="DQ7" s="1681"/>
      <c r="DR7" s="1681"/>
      <c r="DS7" s="1681"/>
      <c r="DT7" s="1681"/>
      <c r="DU7" s="1681"/>
      <c r="DV7" s="1681"/>
      <c r="DW7" s="1681"/>
      <c r="DX7" s="1681"/>
      <c r="DY7" s="1681"/>
      <c r="DZ7" s="1681"/>
      <c r="EA7" s="1681"/>
      <c r="EB7" s="1681"/>
      <c r="EC7" s="1681"/>
      <c r="ED7" s="1681"/>
      <c r="EE7" s="1681"/>
      <c r="EF7" s="1681"/>
      <c r="EG7" s="1681"/>
      <c r="EH7" s="1681"/>
      <c r="EI7" s="1681"/>
      <c r="EJ7" s="1681"/>
      <c r="EK7" s="1681"/>
      <c r="EL7" s="1681"/>
      <c r="EM7" s="1681"/>
      <c r="EN7" s="1681"/>
      <c r="EO7" s="1681"/>
      <c r="EP7" s="1681"/>
      <c r="EQ7" s="1681"/>
      <c r="ER7" s="1681"/>
      <c r="ES7" s="1681"/>
      <c r="ET7" s="1681"/>
      <c r="EU7" s="1681"/>
      <c r="EV7" s="1681"/>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0"/>
      <c r="IE7" s="1680"/>
      <c r="IF7" s="1680"/>
      <c r="IG7" s="1680"/>
      <c r="IH7" s="1680"/>
      <c r="II7" s="1680"/>
      <c r="IJ7" s="1680"/>
      <c r="IK7" s="1680"/>
      <c r="IL7" s="1680"/>
      <c r="IM7" s="1680"/>
      <c r="IN7" s="1680"/>
      <c r="IO7" s="1680"/>
      <c r="IP7" s="1680"/>
      <c r="IQ7" s="1680"/>
      <c r="IR7" s="1680"/>
      <c r="IS7" s="1680"/>
      <c r="IT7" s="1680"/>
      <c r="IU7" s="1680"/>
      <c r="IV7" s="1680"/>
      <c r="IW7" s="1680"/>
      <c r="IX7" s="1680"/>
      <c r="IY7" s="1680"/>
      <c r="IZ7" s="1680"/>
      <c r="JA7" s="1680"/>
      <c r="JB7" s="1680"/>
      <c r="JC7" s="1680"/>
      <c r="JD7" s="1680"/>
      <c r="JE7" s="1680"/>
      <c r="JF7" s="1680"/>
      <c r="JG7" s="1680"/>
      <c r="JH7" s="1685"/>
      <c r="JI7" s="1685"/>
      <c r="JJ7" s="1685"/>
      <c r="JK7" s="1685"/>
      <c r="JL7" s="1685"/>
      <c r="JM7" s="1680"/>
      <c r="JN7" s="1680"/>
      <c r="JO7" s="1680"/>
      <c r="JP7" s="1680"/>
      <c r="JQ7" s="168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0"/>
      <c r="B8" s="1415" t="s">
        <v>1535</v>
      </c>
      <c r="C8" s="1414" t="s">
        <v>177</v>
      </c>
      <c r="D8" s="1414" t="s">
        <v>564</v>
      </c>
      <c r="E8" s="1414" t="s">
        <v>1533</v>
      </c>
      <c r="F8" s="1414" t="s">
        <v>1533</v>
      </c>
      <c r="G8" s="1414" t="s">
        <v>1535</v>
      </c>
      <c r="H8" s="1414" t="s">
        <v>4100</v>
      </c>
      <c r="I8" s="1414" t="s">
        <v>830</v>
      </c>
      <c r="J8" s="1414" t="s">
        <v>2491</v>
      </c>
      <c r="K8" s="1684" t="s">
        <v>147</v>
      </c>
      <c r="L8" s="1684"/>
      <c r="M8" s="1414" t="s">
        <v>2450</v>
      </c>
      <c r="N8" s="1414" t="s">
        <v>551</v>
      </c>
      <c r="O8" s="1414" t="s">
        <v>397</v>
      </c>
      <c r="P8" s="1688"/>
      <c r="Q8" s="1684" t="s">
        <v>3860</v>
      </c>
      <c r="R8" s="1684"/>
      <c r="S8" s="1414" t="s">
        <v>2797</v>
      </c>
      <c r="T8" s="1414" t="s">
        <v>2799</v>
      </c>
      <c r="U8" s="469"/>
      <c r="V8" s="470"/>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86"/>
      <c r="CE8" s="1681"/>
      <c r="CF8" s="1681"/>
      <c r="CG8" s="1681"/>
      <c r="CH8" s="1681"/>
      <c r="CI8" s="1681"/>
      <c r="CJ8" s="1681"/>
      <c r="CK8" s="1681"/>
      <c r="CL8" s="1681"/>
      <c r="CM8" s="1681"/>
      <c r="CN8" s="1681"/>
      <c r="CO8" s="1681"/>
      <c r="CP8" s="1681"/>
      <c r="CQ8" s="1681"/>
      <c r="CR8" s="1681"/>
      <c r="CS8" s="1681"/>
      <c r="CT8" s="1681"/>
      <c r="CU8" s="1681"/>
      <c r="CV8" s="1681"/>
      <c r="CW8" s="1681"/>
      <c r="CX8" s="1681"/>
      <c r="CY8" s="1681"/>
      <c r="CZ8" s="1681"/>
      <c r="DA8" s="1681"/>
      <c r="DB8" s="1681"/>
      <c r="DC8" s="1681"/>
      <c r="DD8" s="1681"/>
      <c r="DE8" s="1681"/>
      <c r="DF8" s="1681"/>
      <c r="DG8" s="1681"/>
      <c r="DH8" s="1681"/>
      <c r="DI8" s="1681"/>
      <c r="DJ8" s="1681"/>
      <c r="DK8" s="1681"/>
      <c r="DL8" s="1681"/>
      <c r="DM8" s="1681"/>
      <c r="DN8" s="1681"/>
      <c r="DO8" s="1681"/>
      <c r="DP8" s="1681"/>
      <c r="DQ8" s="1681"/>
      <c r="DR8" s="1681"/>
      <c r="DS8" s="1681"/>
      <c r="DT8" s="1681"/>
      <c r="DU8" s="1681"/>
      <c r="DV8" s="1681"/>
      <c r="DW8" s="1681"/>
      <c r="DX8" s="1681"/>
      <c r="DY8" s="1681"/>
      <c r="DZ8" s="1681"/>
      <c r="EA8" s="1681"/>
      <c r="EB8" s="1681"/>
      <c r="EC8" s="1681"/>
      <c r="ED8" s="1681"/>
      <c r="EE8" s="1681"/>
      <c r="EF8" s="1681"/>
      <c r="EG8" s="1681"/>
      <c r="EH8" s="1681"/>
      <c r="EI8" s="1681"/>
      <c r="EJ8" s="1681"/>
      <c r="EK8" s="1681"/>
      <c r="EL8" s="1681"/>
      <c r="EM8" s="1681"/>
      <c r="EN8" s="1681"/>
      <c r="EO8" s="1681"/>
      <c r="EP8" s="1681"/>
      <c r="EQ8" s="1681"/>
      <c r="ER8" s="1681"/>
      <c r="ES8" s="1681"/>
      <c r="ET8" s="1681"/>
      <c r="EU8" s="1681"/>
      <c r="EV8" s="1681"/>
      <c r="EW8" s="1681" t="s">
        <v>1518</v>
      </c>
      <c r="EX8" s="514" t="s">
        <v>2525</v>
      </c>
      <c r="EY8" s="514" t="s">
        <v>2526</v>
      </c>
      <c r="EZ8" s="514" t="s">
        <v>2527</v>
      </c>
      <c r="FA8" s="514" t="s">
        <v>2528</v>
      </c>
      <c r="FB8" s="1680" t="s">
        <v>2583</v>
      </c>
      <c r="FC8" s="1680" t="s">
        <v>2583</v>
      </c>
      <c r="FD8" s="1680" t="s">
        <v>2583</v>
      </c>
      <c r="FE8" s="1680" t="s">
        <v>2583</v>
      </c>
      <c r="FF8" s="1680" t="s">
        <v>2583</v>
      </c>
      <c r="FG8" s="1680" t="s">
        <v>3554</v>
      </c>
      <c r="FH8" s="1680" t="s">
        <v>3554</v>
      </c>
      <c r="FI8" s="1680" t="s">
        <v>3554</v>
      </c>
      <c r="FJ8" s="1680" t="s">
        <v>3554</v>
      </c>
      <c r="FK8" s="1680" t="s">
        <v>3554</v>
      </c>
      <c r="FL8" s="514" t="s">
        <v>587</v>
      </c>
      <c r="FM8" s="514" t="s">
        <v>2525</v>
      </c>
      <c r="FN8" s="514" t="s">
        <v>2526</v>
      </c>
      <c r="FO8" s="514" t="s">
        <v>2527</v>
      </c>
      <c r="FP8" s="514" t="s">
        <v>2528</v>
      </c>
      <c r="FQ8" s="514" t="s">
        <v>587</v>
      </c>
      <c r="FR8" s="514" t="s">
        <v>2525</v>
      </c>
      <c r="FS8" s="514" t="s">
        <v>2526</v>
      </c>
      <c r="FT8" s="514" t="s">
        <v>2527</v>
      </c>
      <c r="FU8" s="514" t="s">
        <v>2528</v>
      </c>
      <c r="FV8" s="1680" t="s">
        <v>2585</v>
      </c>
      <c r="FW8" s="1680" t="s">
        <v>2585</v>
      </c>
      <c r="FX8" s="1680" t="s">
        <v>2585</v>
      </c>
      <c r="FY8" s="1680" t="s">
        <v>2585</v>
      </c>
      <c r="FZ8" s="1680" t="s">
        <v>2585</v>
      </c>
      <c r="GA8" s="1680" t="s">
        <v>3550</v>
      </c>
      <c r="GB8" s="1680" t="s">
        <v>3550</v>
      </c>
      <c r="GC8" s="1680" t="s">
        <v>3550</v>
      </c>
      <c r="GD8" s="1680" t="s">
        <v>3550</v>
      </c>
      <c r="GE8" s="1680" t="s">
        <v>3550</v>
      </c>
      <c r="GF8" s="1680" t="s">
        <v>372</v>
      </c>
      <c r="GG8" s="1680" t="s">
        <v>372</v>
      </c>
      <c r="GH8" s="1680" t="s">
        <v>372</v>
      </c>
      <c r="GI8" s="1680" t="s">
        <v>372</v>
      </c>
      <c r="GJ8" s="1680" t="s">
        <v>372</v>
      </c>
      <c r="GK8" s="1680" t="s">
        <v>3549</v>
      </c>
      <c r="GL8" s="1680" t="s">
        <v>3549</v>
      </c>
      <c r="GM8" s="1680" t="s">
        <v>3549</v>
      </c>
      <c r="GN8" s="1680" t="s">
        <v>3549</v>
      </c>
      <c r="GO8" s="1680" t="s">
        <v>3549</v>
      </c>
      <c r="GP8" s="1680" t="s">
        <v>373</v>
      </c>
      <c r="GQ8" s="1680" t="s">
        <v>373</v>
      </c>
      <c r="GR8" s="1680" t="s">
        <v>373</v>
      </c>
      <c r="GS8" s="1680" t="s">
        <v>373</v>
      </c>
      <c r="GT8" s="1680" t="s">
        <v>373</v>
      </c>
      <c r="GU8" s="1680" t="s">
        <v>3548</v>
      </c>
      <c r="GV8" s="1680" t="s">
        <v>3548</v>
      </c>
      <c r="GW8" s="1680" t="s">
        <v>3548</v>
      </c>
      <c r="GX8" s="1680" t="s">
        <v>3548</v>
      </c>
      <c r="GY8" s="1680" t="s">
        <v>3548</v>
      </c>
      <c r="GZ8" s="1680" t="s">
        <v>374</v>
      </c>
      <c r="HA8" s="1680" t="s">
        <v>374</v>
      </c>
      <c r="HB8" s="1680" t="s">
        <v>374</v>
      </c>
      <c r="HC8" s="1680" t="s">
        <v>374</v>
      </c>
      <c r="HD8" s="1680" t="s">
        <v>374</v>
      </c>
      <c r="HE8" s="1680" t="s">
        <v>3551</v>
      </c>
      <c r="HF8" s="1680" t="s">
        <v>3551</v>
      </c>
      <c r="HG8" s="1680" t="s">
        <v>3551</v>
      </c>
      <c r="HH8" s="1680" t="s">
        <v>3551</v>
      </c>
      <c r="HI8" s="1680" t="s">
        <v>3551</v>
      </c>
      <c r="HJ8" s="1680" t="s">
        <v>375</v>
      </c>
      <c r="HK8" s="1680" t="s">
        <v>375</v>
      </c>
      <c r="HL8" s="1680" t="s">
        <v>375</v>
      </c>
      <c r="HM8" s="1680" t="s">
        <v>375</v>
      </c>
      <c r="HN8" s="1680" t="s">
        <v>375</v>
      </c>
      <c r="HO8" s="1680" t="s">
        <v>3552</v>
      </c>
      <c r="HP8" s="1680" t="s">
        <v>3552</v>
      </c>
      <c r="HQ8" s="1680" t="s">
        <v>3552</v>
      </c>
      <c r="HR8" s="1680" t="s">
        <v>3552</v>
      </c>
      <c r="HS8" s="1680" t="s">
        <v>3552</v>
      </c>
      <c r="HT8" s="1680" t="s">
        <v>1517</v>
      </c>
      <c r="HU8" s="1680" t="s">
        <v>1517</v>
      </c>
      <c r="HV8" s="1680" t="s">
        <v>1517</v>
      </c>
      <c r="HW8" s="1680" t="s">
        <v>1517</v>
      </c>
      <c r="HX8" s="1680" t="s">
        <v>1517</v>
      </c>
      <c r="HY8" s="1680" t="s">
        <v>3553</v>
      </c>
      <c r="HZ8" s="1680" t="s">
        <v>3553</v>
      </c>
      <c r="IA8" s="1680" t="s">
        <v>3553</v>
      </c>
      <c r="IB8" s="1680" t="s">
        <v>3553</v>
      </c>
      <c r="IC8" s="1680" t="s">
        <v>3553</v>
      </c>
      <c r="ID8" s="1680"/>
      <c r="IE8" s="1680"/>
      <c r="IF8" s="1680"/>
      <c r="IG8" s="1680"/>
      <c r="IH8" s="1680"/>
      <c r="II8" s="1680"/>
      <c r="IJ8" s="1680"/>
      <c r="IK8" s="1680"/>
      <c r="IL8" s="1680"/>
      <c r="IM8" s="1680"/>
      <c r="IN8" s="1680"/>
      <c r="IO8" s="1680"/>
      <c r="IP8" s="1680"/>
      <c r="IQ8" s="1680"/>
      <c r="IR8" s="1680"/>
      <c r="IS8" s="1680"/>
      <c r="IT8" s="1680"/>
      <c r="IU8" s="1680"/>
      <c r="IV8" s="1680"/>
      <c r="IW8" s="1680"/>
      <c r="IX8" s="1680"/>
      <c r="IY8" s="1680"/>
      <c r="IZ8" s="1680"/>
      <c r="JA8" s="1680"/>
      <c r="JB8" s="1680"/>
      <c r="JC8" s="1680"/>
      <c r="JD8" s="1680"/>
      <c r="JE8" s="1680"/>
      <c r="JF8" s="1680"/>
      <c r="JG8" s="1680"/>
      <c r="JH8" s="1685"/>
      <c r="JI8" s="1685"/>
      <c r="JJ8" s="1685"/>
      <c r="JK8" s="1685"/>
      <c r="JL8" s="1685"/>
      <c r="JM8" s="1680"/>
      <c r="JN8" s="1680"/>
      <c r="JO8" s="1680"/>
      <c r="JP8" s="1680"/>
      <c r="JQ8" s="168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0"/>
      <c r="B9" s="1415" t="s">
        <v>1345</v>
      </c>
      <c r="C9" s="1414" t="s">
        <v>176</v>
      </c>
      <c r="D9" s="1414" t="s">
        <v>178</v>
      </c>
      <c r="E9" s="1414" t="s">
        <v>1534</v>
      </c>
      <c r="F9" s="1414" t="s">
        <v>1326</v>
      </c>
      <c r="G9" s="1414" t="s">
        <v>4101</v>
      </c>
      <c r="H9" s="1414" t="s">
        <v>1535</v>
      </c>
      <c r="I9" s="1414" t="s">
        <v>831</v>
      </c>
      <c r="J9" s="506" t="s">
        <v>363</v>
      </c>
      <c r="K9" s="1414" t="s">
        <v>1587</v>
      </c>
      <c r="L9" s="1414" t="s">
        <v>558</v>
      </c>
      <c r="M9" s="1414" t="s">
        <v>1533</v>
      </c>
      <c r="N9" s="1414" t="s">
        <v>3498</v>
      </c>
      <c r="O9" s="1414" t="s">
        <v>398</v>
      </c>
      <c r="P9" s="1689"/>
      <c r="Q9" s="1414" t="s">
        <v>3861</v>
      </c>
      <c r="R9" s="1414" t="s">
        <v>1077</v>
      </c>
      <c r="S9" s="1414" t="s">
        <v>1535</v>
      </c>
      <c r="T9" s="1414" t="s">
        <v>2800</v>
      </c>
      <c r="U9" s="1520" t="s">
        <v>1915</v>
      </c>
      <c r="V9" s="1520"/>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86"/>
      <c r="CE9" s="1681"/>
      <c r="CF9" s="1681"/>
      <c r="CG9" s="1681"/>
      <c r="CH9" s="1681"/>
      <c r="CI9" s="1681"/>
      <c r="CJ9" s="1681"/>
      <c r="CK9" s="1681"/>
      <c r="CL9" s="1681"/>
      <c r="CM9" s="1681"/>
      <c r="CN9" s="1681"/>
      <c r="CO9" s="1681"/>
      <c r="CP9" s="1681"/>
      <c r="CQ9" s="1681"/>
      <c r="CR9" s="1681"/>
      <c r="CS9" s="1681"/>
      <c r="CT9" s="1681"/>
      <c r="CU9" s="1681"/>
      <c r="CV9" s="1681"/>
      <c r="CW9" s="1681"/>
      <c r="CX9" s="1681"/>
      <c r="CY9" s="1681"/>
      <c r="CZ9" s="1681"/>
      <c r="DA9" s="1681"/>
      <c r="DB9" s="1681"/>
      <c r="DC9" s="1681"/>
      <c r="DD9" s="1681"/>
      <c r="DE9" s="1681"/>
      <c r="DF9" s="1681"/>
      <c r="DG9" s="1681"/>
      <c r="DH9" s="1681"/>
      <c r="DI9" s="1681"/>
      <c r="DJ9" s="1681"/>
      <c r="DK9" s="1681"/>
      <c r="DL9" s="1681"/>
      <c r="DM9" s="1681"/>
      <c r="DN9" s="1681"/>
      <c r="DO9" s="1681"/>
      <c r="DP9" s="1681"/>
      <c r="DQ9" s="1681"/>
      <c r="DR9" s="1681"/>
      <c r="DS9" s="1681"/>
      <c r="DT9" s="1681"/>
      <c r="DU9" s="1681"/>
      <c r="DV9" s="1681"/>
      <c r="DW9" s="1681"/>
      <c r="DX9" s="1681"/>
      <c r="DY9" s="1681"/>
      <c r="DZ9" s="1681"/>
      <c r="EA9" s="1681"/>
      <c r="EB9" s="1681"/>
      <c r="EC9" s="1681"/>
      <c r="ED9" s="1681"/>
      <c r="EE9" s="1681"/>
      <c r="EF9" s="1681"/>
      <c r="EG9" s="1681"/>
      <c r="EH9" s="1681"/>
      <c r="EI9" s="1681"/>
      <c r="EJ9" s="1681"/>
      <c r="EK9" s="1681"/>
      <c r="EL9" s="1681"/>
      <c r="EM9" s="1681"/>
      <c r="EN9" s="1681"/>
      <c r="EO9" s="1681"/>
      <c r="EP9" s="1681"/>
      <c r="EQ9" s="1681"/>
      <c r="ER9" s="1681"/>
      <c r="ES9" s="1681"/>
      <c r="ET9" s="1681"/>
      <c r="EU9" s="1681"/>
      <c r="EV9" s="1681"/>
      <c r="EW9" s="1681"/>
      <c r="EX9" s="514" t="s">
        <v>2582</v>
      </c>
      <c r="EY9" s="514" t="s">
        <v>2582</v>
      </c>
      <c r="EZ9" s="514" t="s">
        <v>2582</v>
      </c>
      <c r="FA9" s="514" t="s">
        <v>2582</v>
      </c>
      <c r="FB9" s="1680"/>
      <c r="FC9" s="1680"/>
      <c r="FD9" s="1680"/>
      <c r="FE9" s="1680"/>
      <c r="FF9" s="1680"/>
      <c r="FG9" s="1680"/>
      <c r="FH9" s="1680"/>
      <c r="FI9" s="1680"/>
      <c r="FJ9" s="1680"/>
      <c r="FK9" s="1680"/>
      <c r="FL9" s="514" t="s">
        <v>2584</v>
      </c>
      <c r="FM9" s="514" t="s">
        <v>2584</v>
      </c>
      <c r="FN9" s="514" t="s">
        <v>2584</v>
      </c>
      <c r="FO9" s="514" t="s">
        <v>2584</v>
      </c>
      <c r="FP9" s="514" t="s">
        <v>2584</v>
      </c>
      <c r="FQ9" s="514" t="s">
        <v>3555</v>
      </c>
      <c r="FR9" s="514" t="s">
        <v>3555</v>
      </c>
      <c r="FS9" s="514" t="s">
        <v>3555</v>
      </c>
      <c r="FT9" s="514" t="s">
        <v>3555</v>
      </c>
      <c r="FU9" s="514" t="s">
        <v>3555</v>
      </c>
      <c r="FV9" s="1680"/>
      <c r="FW9" s="1680"/>
      <c r="FX9" s="1680"/>
      <c r="FY9" s="1680"/>
      <c r="FZ9" s="1680"/>
      <c r="GA9" s="1680"/>
      <c r="GB9" s="1680"/>
      <c r="GC9" s="1680"/>
      <c r="GD9" s="1680"/>
      <c r="GE9" s="1680"/>
      <c r="GF9" s="1680"/>
      <c r="GG9" s="1680"/>
      <c r="GH9" s="1680"/>
      <c r="GI9" s="1680"/>
      <c r="GJ9" s="1680"/>
      <c r="GK9" s="1680"/>
      <c r="GL9" s="1680"/>
      <c r="GM9" s="1680"/>
      <c r="GN9" s="1680"/>
      <c r="GO9" s="1680"/>
      <c r="GP9" s="1680"/>
      <c r="GQ9" s="1680"/>
      <c r="GR9" s="1680"/>
      <c r="GS9" s="1680"/>
      <c r="GT9" s="1680"/>
      <c r="GU9" s="1680"/>
      <c r="GV9" s="1680"/>
      <c r="GW9" s="1680"/>
      <c r="GX9" s="1680"/>
      <c r="GY9" s="1680"/>
      <c r="GZ9" s="1680"/>
      <c r="HA9" s="1680"/>
      <c r="HB9" s="1680"/>
      <c r="HC9" s="1680"/>
      <c r="HD9" s="1680"/>
      <c r="HE9" s="1680"/>
      <c r="HF9" s="1680"/>
      <c r="HG9" s="1680"/>
      <c r="HH9" s="1680"/>
      <c r="HI9" s="1680"/>
      <c r="HJ9" s="1680"/>
      <c r="HK9" s="1680"/>
      <c r="HL9" s="1680"/>
      <c r="HM9" s="1680"/>
      <c r="HN9" s="1680"/>
      <c r="HO9" s="1680"/>
      <c r="HP9" s="1680"/>
      <c r="HQ9" s="1680"/>
      <c r="HR9" s="1680"/>
      <c r="HS9" s="1680"/>
      <c r="HT9" s="1680"/>
      <c r="HU9" s="1680"/>
      <c r="HV9" s="1680"/>
      <c r="HW9" s="1680"/>
      <c r="HX9" s="1680"/>
      <c r="HY9" s="1680"/>
      <c r="HZ9" s="1680"/>
      <c r="IA9" s="1680"/>
      <c r="IB9" s="1680"/>
      <c r="IC9" s="1680"/>
      <c r="ID9" s="1680"/>
      <c r="IE9" s="1680"/>
      <c r="IF9" s="1680"/>
      <c r="IG9" s="1680"/>
      <c r="IH9" s="1680"/>
      <c r="II9" s="1680"/>
      <c r="IJ9" s="1680"/>
      <c r="IK9" s="1680"/>
      <c r="IL9" s="1680"/>
      <c r="IM9" s="1680"/>
      <c r="IN9" s="1680"/>
      <c r="IO9" s="1680"/>
      <c r="IP9" s="1680"/>
      <c r="IQ9" s="1680"/>
      <c r="IR9" s="1680"/>
      <c r="IS9" s="1680"/>
      <c r="IT9" s="1680"/>
      <c r="IU9" s="1680"/>
      <c r="IV9" s="1680"/>
      <c r="IW9" s="1680"/>
      <c r="IX9" s="1680"/>
      <c r="IY9" s="1680"/>
      <c r="IZ9" s="1680"/>
      <c r="JA9" s="1680"/>
      <c r="JB9" s="1680"/>
      <c r="JC9" s="1680"/>
      <c r="JD9" s="1680"/>
      <c r="JE9" s="1680"/>
      <c r="JF9" s="1680"/>
      <c r="JG9" s="1680"/>
      <c r="JH9" s="1685"/>
      <c r="JI9" s="1685"/>
      <c r="JJ9" s="1685"/>
      <c r="JK9" s="1685"/>
      <c r="JL9" s="1685"/>
      <c r="JM9" s="1680"/>
      <c r="JN9" s="1680"/>
      <c r="JO9" s="1680"/>
      <c r="JP9" s="1680"/>
      <c r="JQ9" s="168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0" t="s">
        <v>120</v>
      </c>
      <c r="C10" s="2971">
        <v>1</v>
      </c>
      <c r="D10" s="2972">
        <v>1</v>
      </c>
      <c r="E10" s="2973">
        <v>2</v>
      </c>
      <c r="F10" s="2973">
        <v>566</v>
      </c>
      <c r="G10" s="2973">
        <v>583</v>
      </c>
      <c r="H10" s="2973">
        <v>174</v>
      </c>
      <c r="I10" s="2973">
        <v>82</v>
      </c>
      <c r="J10" s="2974" t="s">
        <v>4353</v>
      </c>
      <c r="K10" s="792">
        <f t="shared" ref="K10:K47" si="1">MAX(0,H10-I10)</f>
        <v>92</v>
      </c>
      <c r="L10" s="792">
        <f t="shared" ref="L10:L47" si="2">MAX(0,E10*K10)</f>
        <v>184</v>
      </c>
      <c r="M10" s="2975" t="s">
        <v>3156</v>
      </c>
      <c r="N10" s="2975" t="s">
        <v>2693</v>
      </c>
      <c r="O10" s="2975" t="s">
        <v>4267</v>
      </c>
      <c r="P10" s="2976" t="s">
        <v>3156</v>
      </c>
      <c r="Q10" s="1259">
        <f t="shared" ref="Q10:Q47" si="3">IF(H10="","",H10*12/0.3)</f>
        <v>6960</v>
      </c>
      <c r="R10" s="1260">
        <f>IF(H10="","",IF(C10="Efficiency",Q10/($O$6*VLOOKUP(0,'DCA Underwriting Assumptions'!$J$132:$K$137,2,FALSE)),Q10/($O$6*VLOOKUP(C10,'DCA Underwriting Assumptions'!$J$132:$K$137,2,FALSE))))</f>
        <v>0.14189602446483179</v>
      </c>
      <c r="S10" s="2977"/>
      <c r="T10" s="2978"/>
      <c r="U10" s="2979"/>
      <c r="V10" s="290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2</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1132</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1132</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2</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2</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f t="shared" ref="HA10:HA47" si="190">IF(AND($C10=1, $N10="2-Story",NOT($P10="Yes")),$E10,"")</f>
        <v>2</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2</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0" t="s">
        <v>120</v>
      </c>
      <c r="C11" s="2981">
        <v>2</v>
      </c>
      <c r="D11" s="2982">
        <v>1</v>
      </c>
      <c r="E11" s="2983">
        <v>10</v>
      </c>
      <c r="F11" s="2983">
        <v>749</v>
      </c>
      <c r="G11" s="2983">
        <v>700</v>
      </c>
      <c r="H11" s="2983">
        <v>210</v>
      </c>
      <c r="I11" s="2983">
        <v>113</v>
      </c>
      <c r="J11" s="2984" t="s">
        <v>4353</v>
      </c>
      <c r="K11" s="793">
        <f t="shared" si="1"/>
        <v>97</v>
      </c>
      <c r="L11" s="793">
        <f t="shared" si="2"/>
        <v>970</v>
      </c>
      <c r="M11" s="2985" t="s">
        <v>3156</v>
      </c>
      <c r="N11" s="2985" t="s">
        <v>2693</v>
      </c>
      <c r="O11" s="2985" t="s">
        <v>4267</v>
      </c>
      <c r="P11" s="2986" t="s">
        <v>3156</v>
      </c>
      <c r="Q11" s="1261">
        <f t="shared" si="3"/>
        <v>8400</v>
      </c>
      <c r="R11" s="1262">
        <f>IF(H11="","",IF(C11="Efficiency",Q11/($O$6*VLOOKUP(0,'DCA Underwriting Assumptions'!$J$132:$K$137,2,FALSE)),Q11/($O$6*VLOOKUP(C11,'DCA Underwriting Assumptions'!$J$132:$K$137,2,FALSE))))</f>
        <v>0.14271151885830785</v>
      </c>
      <c r="S11" s="2987"/>
      <c r="T11" s="2988"/>
      <c r="U11" s="2989"/>
      <c r="V11" s="2904"/>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10</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f t="shared" si="31"/>
        <v>10</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7490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7490</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f t="shared" si="106"/>
        <v>10</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t="str">
        <f t="shared" si="135"/>
        <v/>
      </c>
      <c r="EY11" s="515">
        <f t="shared" si="136"/>
        <v>10</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f t="shared" si="191"/>
        <v>10</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10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0" t="s">
        <v>120</v>
      </c>
      <c r="C12" s="2981">
        <v>3</v>
      </c>
      <c r="D12" s="2982">
        <v>1</v>
      </c>
      <c r="E12" s="2983">
        <v>3</v>
      </c>
      <c r="F12" s="2983">
        <v>1029</v>
      </c>
      <c r="G12" s="2983">
        <v>808</v>
      </c>
      <c r="H12" s="2983">
        <v>242</v>
      </c>
      <c r="I12" s="2983">
        <v>134</v>
      </c>
      <c r="J12" s="2984" t="s">
        <v>4353</v>
      </c>
      <c r="K12" s="793">
        <f t="shared" si="1"/>
        <v>108</v>
      </c>
      <c r="L12" s="793">
        <f t="shared" si="2"/>
        <v>324</v>
      </c>
      <c r="M12" s="2985" t="s">
        <v>3156</v>
      </c>
      <c r="N12" s="2985" t="s">
        <v>2693</v>
      </c>
      <c r="O12" s="2985" t="s">
        <v>4267</v>
      </c>
      <c r="P12" s="2986" t="s">
        <v>3156</v>
      </c>
      <c r="Q12" s="1261">
        <f t="shared" si="3"/>
        <v>9680</v>
      </c>
      <c r="R12" s="1262">
        <f>IF(H12="","",IF(C12="Efficiency",Q12/($O$6*VLOOKUP(0,'DCA Underwriting Assumptions'!$J$132:$K$137,2,FALSE)),Q12/($O$6*VLOOKUP(C12,'DCA Underwriting Assumptions'!$J$132:$K$137,2,FALSE))))</f>
        <v>0.14231945424605974</v>
      </c>
      <c r="S12" s="2987"/>
      <c r="T12" s="2988"/>
      <c r="U12" s="2989"/>
      <c r="V12" s="2904"/>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3</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f t="shared" si="32"/>
        <v>3</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3087</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f t="shared" si="82"/>
        <v>3087</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f t="shared" si="107"/>
        <v>3</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t="str">
        <f t="shared" si="135"/>
        <v/>
      </c>
      <c r="EY12" s="515" t="str">
        <f t="shared" si="136"/>
        <v/>
      </c>
      <c r="EZ12" s="515">
        <f t="shared" si="137"/>
        <v>3</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f t="shared" si="192"/>
        <v>3</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3</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0" t="s">
        <v>1191</v>
      </c>
      <c r="C13" s="2981">
        <v>1</v>
      </c>
      <c r="D13" s="2982">
        <v>1</v>
      </c>
      <c r="E13" s="2983">
        <v>8</v>
      </c>
      <c r="F13" s="2983">
        <v>566</v>
      </c>
      <c r="G13" s="2983">
        <v>700</v>
      </c>
      <c r="H13" s="2983">
        <v>700</v>
      </c>
      <c r="I13" s="2983">
        <v>82</v>
      </c>
      <c r="J13" s="2984" t="s">
        <v>4353</v>
      </c>
      <c r="K13" s="793">
        <f t="shared" si="1"/>
        <v>618</v>
      </c>
      <c r="L13" s="793">
        <f t="shared" si="2"/>
        <v>4944</v>
      </c>
      <c r="M13" s="2985" t="s">
        <v>3156</v>
      </c>
      <c r="N13" s="2985" t="s">
        <v>2693</v>
      </c>
      <c r="O13" s="2985" t="s">
        <v>4267</v>
      </c>
      <c r="P13" s="2986" t="s">
        <v>3156</v>
      </c>
      <c r="Q13" s="1261">
        <f t="shared" si="3"/>
        <v>28000</v>
      </c>
      <c r="R13" s="1262">
        <f>IF(H13="","",IF(C13="Efficiency",Q13/($O$6*VLOOKUP(0,'DCA Underwriting Assumptions'!$J$132:$K$137,2,FALSE)),Q13/($O$6*VLOOKUP(C13,'DCA Underwriting Assumptions'!$J$132:$K$137,2,FALSE))))</f>
        <v>0.5708460754332314</v>
      </c>
      <c r="S13" s="2987"/>
      <c r="T13" s="2988"/>
      <c r="U13" s="2989"/>
      <c r="V13" s="2904"/>
      <c r="W13" s="158" t="str">
        <f t="shared" si="4"/>
        <v/>
      </c>
      <c r="X13" s="158">
        <f t="shared" si="5"/>
        <v>8</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f t="shared" si="35"/>
        <v>8</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4528</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f t="shared" si="80"/>
        <v>4528</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f t="shared" si="105"/>
        <v>8</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f t="shared" si="135"/>
        <v>8</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f t="shared" si="190"/>
        <v>8</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8</v>
      </c>
      <c r="JE13" s="514">
        <f t="shared" si="246"/>
        <v>0</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0" t="s">
        <v>1191</v>
      </c>
      <c r="C14" s="2981">
        <v>2</v>
      </c>
      <c r="D14" s="2982">
        <v>1</v>
      </c>
      <c r="E14" s="2983">
        <v>38</v>
      </c>
      <c r="F14" s="2983">
        <v>749</v>
      </c>
      <c r="G14" s="2983">
        <v>840</v>
      </c>
      <c r="H14" s="2983">
        <v>840</v>
      </c>
      <c r="I14" s="2983">
        <v>113</v>
      </c>
      <c r="J14" s="2984" t="s">
        <v>4353</v>
      </c>
      <c r="K14" s="793">
        <f t="shared" si="1"/>
        <v>727</v>
      </c>
      <c r="L14" s="793">
        <f t="shared" si="2"/>
        <v>27626</v>
      </c>
      <c r="M14" s="2985" t="s">
        <v>3156</v>
      </c>
      <c r="N14" s="2985" t="s">
        <v>2693</v>
      </c>
      <c r="O14" s="2985" t="s">
        <v>4267</v>
      </c>
      <c r="P14" s="2986" t="s">
        <v>3156</v>
      </c>
      <c r="Q14" s="1261">
        <f t="shared" si="3"/>
        <v>33600</v>
      </c>
      <c r="R14" s="1262">
        <f>IF(H14="","",IF(C14="Efficiency",Q14/($O$6*VLOOKUP(0,'DCA Underwriting Assumptions'!$J$132:$K$137,2,FALSE)),Q14/($O$6*VLOOKUP(C14,'DCA Underwriting Assumptions'!$J$132:$K$137,2,FALSE))))</f>
        <v>0.5708460754332314</v>
      </c>
      <c r="S14" s="2987"/>
      <c r="T14" s="2988"/>
      <c r="U14" s="2989"/>
      <c r="V14" s="2904"/>
      <c r="W14" s="158" t="str">
        <f t="shared" si="4"/>
        <v/>
      </c>
      <c r="X14" s="158" t="str">
        <f t="shared" si="5"/>
        <v/>
      </c>
      <c r="Y14" s="158">
        <f t="shared" si="6"/>
        <v>38</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f t="shared" si="36"/>
        <v>38</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28462</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f t="shared" si="81"/>
        <v>28462</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f t="shared" si="106"/>
        <v>38</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38</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f t="shared" si="191"/>
        <v>38</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38</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0" t="s">
        <v>1191</v>
      </c>
      <c r="C15" s="2981">
        <v>3</v>
      </c>
      <c r="D15" s="2982">
        <v>1</v>
      </c>
      <c r="E15" s="2983">
        <v>9</v>
      </c>
      <c r="F15" s="2983">
        <v>1029</v>
      </c>
      <c r="G15" s="2983">
        <v>970</v>
      </c>
      <c r="H15" s="2983">
        <v>970</v>
      </c>
      <c r="I15" s="2983">
        <v>134</v>
      </c>
      <c r="J15" s="2984" t="s">
        <v>4353</v>
      </c>
      <c r="K15" s="793">
        <f t="shared" si="1"/>
        <v>836</v>
      </c>
      <c r="L15" s="793">
        <f t="shared" si="2"/>
        <v>7524</v>
      </c>
      <c r="M15" s="2985" t="s">
        <v>3156</v>
      </c>
      <c r="N15" s="2985" t="s">
        <v>2693</v>
      </c>
      <c r="O15" s="2985" t="s">
        <v>4267</v>
      </c>
      <c r="P15" s="2986" t="s">
        <v>3156</v>
      </c>
      <c r="Q15" s="1261">
        <f t="shared" si="3"/>
        <v>38800</v>
      </c>
      <c r="R15" s="1262">
        <f>IF(H15="","",IF(C15="Efficiency",Q15/($O$6*VLOOKUP(0,'DCA Underwriting Assumptions'!$J$132:$K$137,2,FALSE)),Q15/($O$6*VLOOKUP(C15,'DCA Underwriting Assumptions'!$J$132:$K$137,2,FALSE))))</f>
        <v>0.57045401082098335</v>
      </c>
      <c r="S15" s="2987"/>
      <c r="T15" s="2988"/>
      <c r="U15" s="2989"/>
      <c r="V15" s="2904"/>
      <c r="W15" s="158" t="str">
        <f t="shared" si="4"/>
        <v/>
      </c>
      <c r="X15" s="158" t="str">
        <f t="shared" si="5"/>
        <v/>
      </c>
      <c r="Y15" s="158" t="str">
        <f t="shared" si="6"/>
        <v/>
      </c>
      <c r="Z15" s="158">
        <f t="shared" si="7"/>
        <v>9</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f t="shared" si="37"/>
        <v>9</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9261</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f t="shared" si="82"/>
        <v>9261</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f t="shared" si="107"/>
        <v>9</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t="str">
        <f t="shared" si="136"/>
        <v/>
      </c>
      <c r="EZ15" s="515">
        <f t="shared" si="137"/>
        <v>9</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f t="shared" si="192"/>
        <v>9</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9</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0" t="s">
        <v>1837</v>
      </c>
      <c r="C16" s="2981"/>
      <c r="D16" s="2982"/>
      <c r="E16" s="2983"/>
      <c r="F16" s="2983"/>
      <c r="G16" s="2983"/>
      <c r="H16" s="2983"/>
      <c r="I16" s="2983"/>
      <c r="J16" s="2984"/>
      <c r="K16" s="793">
        <f t="shared" si="1"/>
        <v>0</v>
      </c>
      <c r="L16" s="793">
        <f t="shared" si="2"/>
        <v>0</v>
      </c>
      <c r="M16" s="2985"/>
      <c r="N16" s="2985"/>
      <c r="O16" s="2985"/>
      <c r="P16" s="2986"/>
      <c r="Q16" s="1261" t="str">
        <f t="shared" si="3"/>
        <v/>
      </c>
      <c r="R16" s="1262" t="str">
        <f>IF(H16="","",IF(C16="Efficiency",Q16/($O$6*VLOOKUP(0,'DCA Underwriting Assumptions'!$J$132:$K$137,2,FALSE)),Q16/($O$6*VLOOKUP(C16,'DCA Underwriting Assumptions'!$J$132:$K$137,2,FALSE))))</f>
        <v/>
      </c>
      <c r="S16" s="2987"/>
      <c r="T16" s="2988"/>
      <c r="U16" s="2989"/>
      <c r="V16" s="290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0" t="s">
        <v>1837</v>
      </c>
      <c r="C17" s="2981"/>
      <c r="D17" s="2982"/>
      <c r="E17" s="2983"/>
      <c r="F17" s="2983"/>
      <c r="G17" s="2983"/>
      <c r="H17" s="2983"/>
      <c r="I17" s="2983"/>
      <c r="J17" s="2984"/>
      <c r="K17" s="793">
        <f t="shared" si="1"/>
        <v>0</v>
      </c>
      <c r="L17" s="793">
        <f t="shared" si="2"/>
        <v>0</v>
      </c>
      <c r="M17" s="2985"/>
      <c r="N17" s="2985"/>
      <c r="O17" s="2985"/>
      <c r="P17" s="2986"/>
      <c r="Q17" s="1261" t="str">
        <f t="shared" si="3"/>
        <v/>
      </c>
      <c r="R17" s="1262" t="str">
        <f>IF(H17="","",IF(C17="Efficiency",Q17/($O$6*VLOOKUP(0,'DCA Underwriting Assumptions'!$J$132:$K$137,2,FALSE)),Q17/($O$6*VLOOKUP(C17,'DCA Underwriting Assumptions'!$J$132:$K$137,2,FALSE))))</f>
        <v/>
      </c>
      <c r="S17" s="2987"/>
      <c r="T17" s="2988"/>
      <c r="U17" s="2989"/>
      <c r="V17" s="290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0" t="s">
        <v>1837</v>
      </c>
      <c r="C18" s="2981"/>
      <c r="D18" s="2982"/>
      <c r="E18" s="2983"/>
      <c r="F18" s="2983"/>
      <c r="G18" s="2983"/>
      <c r="H18" s="2983"/>
      <c r="I18" s="2983"/>
      <c r="J18" s="2984"/>
      <c r="K18" s="793">
        <f t="shared" si="1"/>
        <v>0</v>
      </c>
      <c r="L18" s="793">
        <f t="shared" si="2"/>
        <v>0</v>
      </c>
      <c r="M18" s="2985"/>
      <c r="N18" s="2985"/>
      <c r="O18" s="2985"/>
      <c r="P18" s="2986"/>
      <c r="Q18" s="1261" t="str">
        <f t="shared" si="3"/>
        <v/>
      </c>
      <c r="R18" s="1262" t="str">
        <f>IF(H18="","",IF(C18="Efficiency",Q18/($O$6*VLOOKUP(0,'DCA Underwriting Assumptions'!$J$132:$K$137,2,FALSE)),Q18/($O$6*VLOOKUP(C18,'DCA Underwriting Assumptions'!$J$132:$K$137,2,FALSE))))</f>
        <v/>
      </c>
      <c r="S18" s="2987"/>
      <c r="T18" s="2988"/>
      <c r="U18" s="2989"/>
      <c r="V18" s="290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0" t="s">
        <v>1837</v>
      </c>
      <c r="C19" s="2981"/>
      <c r="D19" s="2982"/>
      <c r="E19" s="2983"/>
      <c r="F19" s="2983"/>
      <c r="G19" s="2983"/>
      <c r="H19" s="2983"/>
      <c r="I19" s="2983"/>
      <c r="J19" s="2984"/>
      <c r="K19" s="793">
        <f t="shared" si="1"/>
        <v>0</v>
      </c>
      <c r="L19" s="793">
        <f t="shared" si="2"/>
        <v>0</v>
      </c>
      <c r="M19" s="2985"/>
      <c r="N19" s="2985"/>
      <c r="O19" s="2985"/>
      <c r="P19" s="2986"/>
      <c r="Q19" s="1261" t="str">
        <f t="shared" si="3"/>
        <v/>
      </c>
      <c r="R19" s="1262" t="str">
        <f>IF(H19="","",IF(C19="Efficiency",Q19/($O$6*VLOOKUP(0,'DCA Underwriting Assumptions'!$J$132:$K$137,2,FALSE)),Q19/($O$6*VLOOKUP(C19,'DCA Underwriting Assumptions'!$J$132:$K$137,2,FALSE))))</f>
        <v/>
      </c>
      <c r="S19" s="2987"/>
      <c r="T19" s="2988"/>
      <c r="U19" s="2989"/>
      <c r="V19" s="290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0" t="s">
        <v>1837</v>
      </c>
      <c r="C20" s="2981"/>
      <c r="D20" s="2982"/>
      <c r="E20" s="2983"/>
      <c r="F20" s="2983"/>
      <c r="G20" s="2983"/>
      <c r="H20" s="2983"/>
      <c r="I20" s="2983"/>
      <c r="J20" s="2984"/>
      <c r="K20" s="793">
        <f t="shared" si="1"/>
        <v>0</v>
      </c>
      <c r="L20" s="793">
        <f t="shared" si="2"/>
        <v>0</v>
      </c>
      <c r="M20" s="2985"/>
      <c r="N20" s="2985"/>
      <c r="O20" s="2985"/>
      <c r="P20" s="2986"/>
      <c r="Q20" s="1261" t="str">
        <f t="shared" si="3"/>
        <v/>
      </c>
      <c r="R20" s="1262" t="str">
        <f>IF(H20="","",IF(C20="Efficiency",Q20/($O$6*VLOOKUP(0,'DCA Underwriting Assumptions'!$J$132:$K$137,2,FALSE)),Q20/($O$6*VLOOKUP(C20,'DCA Underwriting Assumptions'!$J$132:$K$137,2,FALSE))))</f>
        <v/>
      </c>
      <c r="S20" s="2987"/>
      <c r="T20" s="2988"/>
      <c r="U20" s="2989"/>
      <c r="V20" s="290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0" t="s">
        <v>1837</v>
      </c>
      <c r="C21" s="2981"/>
      <c r="D21" s="2982"/>
      <c r="E21" s="2983"/>
      <c r="F21" s="2983"/>
      <c r="G21" s="2983"/>
      <c r="H21" s="2983"/>
      <c r="I21" s="2983"/>
      <c r="J21" s="2984"/>
      <c r="K21" s="793">
        <f t="shared" si="1"/>
        <v>0</v>
      </c>
      <c r="L21" s="793">
        <f t="shared" si="2"/>
        <v>0</v>
      </c>
      <c r="M21" s="2985"/>
      <c r="N21" s="2985"/>
      <c r="O21" s="2985"/>
      <c r="P21" s="2986"/>
      <c r="Q21" s="1261" t="str">
        <f t="shared" si="3"/>
        <v/>
      </c>
      <c r="R21" s="1262" t="str">
        <f>IF(H21="","",IF(C21="Efficiency",Q21/($O$6*VLOOKUP(0,'DCA Underwriting Assumptions'!$J$132:$K$137,2,FALSE)),Q21/($O$6*VLOOKUP(C21,'DCA Underwriting Assumptions'!$J$132:$K$137,2,FALSE))))</f>
        <v/>
      </c>
      <c r="S21" s="2987"/>
      <c r="T21" s="2988"/>
      <c r="U21" s="2989"/>
      <c r="V21" s="290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0" t="s">
        <v>1837</v>
      </c>
      <c r="C22" s="2981"/>
      <c r="D22" s="2982"/>
      <c r="E22" s="2983"/>
      <c r="F22" s="2983"/>
      <c r="G22" s="2983"/>
      <c r="H22" s="2983"/>
      <c r="I22" s="2983"/>
      <c r="J22" s="2984"/>
      <c r="K22" s="793">
        <f t="shared" si="1"/>
        <v>0</v>
      </c>
      <c r="L22" s="793">
        <f t="shared" si="2"/>
        <v>0</v>
      </c>
      <c r="M22" s="2985"/>
      <c r="N22" s="2985"/>
      <c r="O22" s="2985"/>
      <c r="P22" s="2986"/>
      <c r="Q22" s="1261" t="str">
        <f t="shared" si="3"/>
        <v/>
      </c>
      <c r="R22" s="1262" t="str">
        <f>IF(H22="","",IF(C22="Efficiency",Q22/($O$6*VLOOKUP(0,'DCA Underwriting Assumptions'!$J$132:$K$137,2,FALSE)),Q22/($O$6*VLOOKUP(C22,'DCA Underwriting Assumptions'!$J$132:$K$137,2,FALSE))))</f>
        <v/>
      </c>
      <c r="S22" s="2987"/>
      <c r="T22" s="2988"/>
      <c r="U22" s="2989"/>
      <c r="V22" s="290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0" t="s">
        <v>1837</v>
      </c>
      <c r="C23" s="2981"/>
      <c r="D23" s="2982"/>
      <c r="E23" s="2983"/>
      <c r="F23" s="2983"/>
      <c r="G23" s="2983"/>
      <c r="H23" s="2983"/>
      <c r="I23" s="2983"/>
      <c r="J23" s="2984"/>
      <c r="K23" s="793">
        <f t="shared" si="1"/>
        <v>0</v>
      </c>
      <c r="L23" s="793">
        <f t="shared" si="2"/>
        <v>0</v>
      </c>
      <c r="M23" s="2985"/>
      <c r="N23" s="2985"/>
      <c r="O23" s="2985"/>
      <c r="P23" s="2986"/>
      <c r="Q23" s="1261" t="str">
        <f t="shared" si="3"/>
        <v/>
      </c>
      <c r="R23" s="1262" t="str">
        <f>IF(H23="","",IF(C23="Efficiency",Q23/($O$6*VLOOKUP(0,'DCA Underwriting Assumptions'!$J$132:$K$137,2,FALSE)),Q23/($O$6*VLOOKUP(C23,'DCA Underwriting Assumptions'!$J$132:$K$137,2,FALSE))))</f>
        <v/>
      </c>
      <c r="S23" s="2987"/>
      <c r="T23" s="2988"/>
      <c r="U23" s="2989"/>
      <c r="V23" s="290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0" t="s">
        <v>1837</v>
      </c>
      <c r="C24" s="2981"/>
      <c r="D24" s="2982"/>
      <c r="E24" s="2983"/>
      <c r="F24" s="2983"/>
      <c r="G24" s="2983"/>
      <c r="H24" s="2983"/>
      <c r="I24" s="2983"/>
      <c r="J24" s="2984"/>
      <c r="K24" s="793">
        <f t="shared" si="1"/>
        <v>0</v>
      </c>
      <c r="L24" s="793">
        <f t="shared" si="2"/>
        <v>0</v>
      </c>
      <c r="M24" s="2985"/>
      <c r="N24" s="2985"/>
      <c r="O24" s="2985"/>
      <c r="P24" s="2986"/>
      <c r="Q24" s="1261" t="str">
        <f t="shared" si="3"/>
        <v/>
      </c>
      <c r="R24" s="1262" t="str">
        <f>IF(H24="","",IF(C24="Efficiency",Q24/($O$6*VLOOKUP(0,'DCA Underwriting Assumptions'!$J$132:$K$137,2,FALSE)),Q24/($O$6*VLOOKUP(C24,'DCA Underwriting Assumptions'!$J$132:$K$137,2,FALSE))))</f>
        <v/>
      </c>
      <c r="S24" s="2987"/>
      <c r="T24" s="2988"/>
      <c r="U24" s="2989"/>
      <c r="V24" s="290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0" t="s">
        <v>1837</v>
      </c>
      <c r="C25" s="2981"/>
      <c r="D25" s="2982"/>
      <c r="E25" s="2983"/>
      <c r="F25" s="2983"/>
      <c r="G25" s="2983"/>
      <c r="H25" s="2983"/>
      <c r="I25" s="2983"/>
      <c r="J25" s="2984"/>
      <c r="K25" s="793">
        <f t="shared" si="1"/>
        <v>0</v>
      </c>
      <c r="L25" s="793">
        <f t="shared" si="2"/>
        <v>0</v>
      </c>
      <c r="M25" s="2985"/>
      <c r="N25" s="2985"/>
      <c r="O25" s="2985"/>
      <c r="P25" s="2986"/>
      <c r="Q25" s="1261" t="str">
        <f t="shared" si="3"/>
        <v/>
      </c>
      <c r="R25" s="1262" t="str">
        <f>IF(H25="","",IF(C25="Efficiency",Q25/($O$6*VLOOKUP(0,'DCA Underwriting Assumptions'!$J$132:$K$137,2,FALSE)),Q25/($O$6*VLOOKUP(C25,'DCA Underwriting Assumptions'!$J$132:$K$137,2,FALSE))))</f>
        <v/>
      </c>
      <c r="S25" s="2987"/>
      <c r="T25" s="2988"/>
      <c r="U25" s="2989"/>
      <c r="V25" s="290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0" t="s">
        <v>1837</v>
      </c>
      <c r="C26" s="2981"/>
      <c r="D26" s="2982"/>
      <c r="E26" s="2983"/>
      <c r="F26" s="2983"/>
      <c r="G26" s="2983"/>
      <c r="H26" s="2983"/>
      <c r="I26" s="2983"/>
      <c r="J26" s="2984"/>
      <c r="K26" s="793">
        <f t="shared" si="1"/>
        <v>0</v>
      </c>
      <c r="L26" s="793">
        <f t="shared" si="2"/>
        <v>0</v>
      </c>
      <c r="M26" s="2985"/>
      <c r="N26" s="2985"/>
      <c r="O26" s="2985"/>
      <c r="P26" s="2986"/>
      <c r="Q26" s="1261" t="str">
        <f t="shared" si="3"/>
        <v/>
      </c>
      <c r="R26" s="1262" t="str">
        <f>IF(H26="","",IF(C26="Efficiency",Q26/($O$6*VLOOKUP(0,'DCA Underwriting Assumptions'!$J$132:$K$137,2,FALSE)),Q26/($O$6*VLOOKUP(C26,'DCA Underwriting Assumptions'!$J$132:$K$137,2,FALSE))))</f>
        <v/>
      </c>
      <c r="S26" s="2987"/>
      <c r="T26" s="2988"/>
      <c r="U26" s="2989"/>
      <c r="V26" s="290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0" t="s">
        <v>1837</v>
      </c>
      <c r="C27" s="2981"/>
      <c r="D27" s="2982"/>
      <c r="E27" s="2983"/>
      <c r="F27" s="2983"/>
      <c r="G27" s="2983"/>
      <c r="H27" s="2983"/>
      <c r="I27" s="2983"/>
      <c r="J27" s="2984"/>
      <c r="K27" s="793">
        <f t="shared" si="1"/>
        <v>0</v>
      </c>
      <c r="L27" s="793">
        <f t="shared" si="2"/>
        <v>0</v>
      </c>
      <c r="M27" s="2985"/>
      <c r="N27" s="2985"/>
      <c r="O27" s="2985"/>
      <c r="P27" s="2986"/>
      <c r="Q27" s="1261" t="str">
        <f t="shared" si="3"/>
        <v/>
      </c>
      <c r="R27" s="1262" t="str">
        <f>IF(H27="","",IF(C27="Efficiency",Q27/($O$6*VLOOKUP(0,'DCA Underwriting Assumptions'!$J$132:$K$137,2,FALSE)),Q27/($O$6*VLOOKUP(C27,'DCA Underwriting Assumptions'!$J$132:$K$137,2,FALSE))))</f>
        <v/>
      </c>
      <c r="S27" s="2987"/>
      <c r="T27" s="2988"/>
      <c r="U27" s="2989"/>
      <c r="V27" s="290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0" t="s">
        <v>1837</v>
      </c>
      <c r="C28" s="2981"/>
      <c r="D28" s="2982"/>
      <c r="E28" s="2983"/>
      <c r="F28" s="2983"/>
      <c r="G28" s="2983"/>
      <c r="H28" s="2983"/>
      <c r="I28" s="2983"/>
      <c r="J28" s="2984"/>
      <c r="K28" s="793">
        <f t="shared" si="1"/>
        <v>0</v>
      </c>
      <c r="L28" s="793">
        <f t="shared" si="2"/>
        <v>0</v>
      </c>
      <c r="M28" s="2985"/>
      <c r="N28" s="2985"/>
      <c r="O28" s="2985"/>
      <c r="P28" s="2986"/>
      <c r="Q28" s="1261" t="str">
        <f t="shared" si="3"/>
        <v/>
      </c>
      <c r="R28" s="1262" t="str">
        <f>IF(H28="","",IF(C28="Efficiency",Q28/($O$6*VLOOKUP(0,'DCA Underwriting Assumptions'!$J$132:$K$137,2,FALSE)),Q28/($O$6*VLOOKUP(C28,'DCA Underwriting Assumptions'!$J$132:$K$137,2,FALSE))))</f>
        <v/>
      </c>
      <c r="S28" s="2987"/>
      <c r="T28" s="2988"/>
      <c r="U28" s="2989"/>
      <c r="V28" s="290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0" t="s">
        <v>1837</v>
      </c>
      <c r="C29" s="2981"/>
      <c r="D29" s="2982"/>
      <c r="E29" s="2983"/>
      <c r="F29" s="2983"/>
      <c r="G29" s="2983"/>
      <c r="H29" s="2983"/>
      <c r="I29" s="2983"/>
      <c r="J29" s="2984"/>
      <c r="K29" s="793">
        <f t="shared" si="1"/>
        <v>0</v>
      </c>
      <c r="L29" s="793">
        <f t="shared" si="2"/>
        <v>0</v>
      </c>
      <c r="M29" s="2985"/>
      <c r="N29" s="2985"/>
      <c r="O29" s="2985"/>
      <c r="P29" s="2986"/>
      <c r="Q29" s="1261" t="str">
        <f t="shared" si="3"/>
        <v/>
      </c>
      <c r="R29" s="1262" t="str">
        <f>IF(H29="","",IF(C29="Efficiency",Q29/($O$6*VLOOKUP(0,'DCA Underwriting Assumptions'!$J$132:$K$137,2,FALSE)),Q29/($O$6*VLOOKUP(C29,'DCA Underwriting Assumptions'!$J$132:$K$137,2,FALSE))))</f>
        <v/>
      </c>
      <c r="S29" s="2987"/>
      <c r="T29" s="2988"/>
      <c r="U29" s="2989"/>
      <c r="V29" s="290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0" t="s">
        <v>1837</v>
      </c>
      <c r="C30" s="2981"/>
      <c r="D30" s="2982"/>
      <c r="E30" s="2983"/>
      <c r="F30" s="2983"/>
      <c r="G30" s="2983"/>
      <c r="H30" s="2983"/>
      <c r="I30" s="2983"/>
      <c r="J30" s="2984"/>
      <c r="K30" s="793">
        <f t="shared" si="1"/>
        <v>0</v>
      </c>
      <c r="L30" s="793">
        <f t="shared" si="2"/>
        <v>0</v>
      </c>
      <c r="M30" s="2985"/>
      <c r="N30" s="2985"/>
      <c r="O30" s="2985"/>
      <c r="P30" s="2986"/>
      <c r="Q30" s="1261" t="str">
        <f t="shared" si="3"/>
        <v/>
      </c>
      <c r="R30" s="1262" t="str">
        <f>IF(H30="","",IF(C30="Efficiency",Q30/($O$6*VLOOKUP(0,'DCA Underwriting Assumptions'!$J$132:$K$137,2,FALSE)),Q30/($O$6*VLOOKUP(C30,'DCA Underwriting Assumptions'!$J$132:$K$137,2,FALSE))))</f>
        <v/>
      </c>
      <c r="S30" s="2987"/>
      <c r="T30" s="2988"/>
      <c r="U30" s="2989"/>
      <c r="V30" s="290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0" t="s">
        <v>1837</v>
      </c>
      <c r="C31" s="2981"/>
      <c r="D31" s="2982"/>
      <c r="E31" s="2983"/>
      <c r="F31" s="2983"/>
      <c r="G31" s="2983"/>
      <c r="H31" s="2983"/>
      <c r="I31" s="2983"/>
      <c r="J31" s="2984"/>
      <c r="K31" s="793">
        <f t="shared" si="1"/>
        <v>0</v>
      </c>
      <c r="L31" s="793">
        <f t="shared" si="2"/>
        <v>0</v>
      </c>
      <c r="M31" s="2985"/>
      <c r="N31" s="2985"/>
      <c r="O31" s="2985"/>
      <c r="P31" s="2986"/>
      <c r="Q31" s="1261" t="str">
        <f t="shared" si="3"/>
        <v/>
      </c>
      <c r="R31" s="1262" t="str">
        <f>IF(H31="","",IF(C31="Efficiency",Q31/($O$6*VLOOKUP(0,'DCA Underwriting Assumptions'!$J$132:$K$137,2,FALSE)),Q31/($O$6*VLOOKUP(C31,'DCA Underwriting Assumptions'!$J$132:$K$137,2,FALSE))))</f>
        <v/>
      </c>
      <c r="S31" s="2987"/>
      <c r="T31" s="2988"/>
      <c r="U31" s="2989"/>
      <c r="V31" s="290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0" t="s">
        <v>1837</v>
      </c>
      <c r="C32" s="2981"/>
      <c r="D32" s="2982"/>
      <c r="E32" s="2983"/>
      <c r="F32" s="2983"/>
      <c r="G32" s="2983"/>
      <c r="H32" s="2983"/>
      <c r="I32" s="2983"/>
      <c r="J32" s="2984"/>
      <c r="K32" s="793">
        <f t="shared" si="1"/>
        <v>0</v>
      </c>
      <c r="L32" s="793">
        <f t="shared" si="2"/>
        <v>0</v>
      </c>
      <c r="M32" s="2985"/>
      <c r="N32" s="2985"/>
      <c r="O32" s="2985"/>
      <c r="P32" s="2986"/>
      <c r="Q32" s="1261" t="str">
        <f t="shared" si="3"/>
        <v/>
      </c>
      <c r="R32" s="1262" t="str">
        <f>IF(H32="","",IF(C32="Efficiency",Q32/($O$6*VLOOKUP(0,'DCA Underwriting Assumptions'!$J$132:$K$137,2,FALSE)),Q32/($O$6*VLOOKUP(C32,'DCA Underwriting Assumptions'!$J$132:$K$137,2,FALSE))))</f>
        <v/>
      </c>
      <c r="S32" s="2987"/>
      <c r="T32" s="2988"/>
      <c r="U32" s="2989"/>
      <c r="V32" s="290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0" t="s">
        <v>1837</v>
      </c>
      <c r="C33" s="2981"/>
      <c r="D33" s="2982"/>
      <c r="E33" s="2983"/>
      <c r="F33" s="2983"/>
      <c r="G33" s="2983"/>
      <c r="H33" s="2983"/>
      <c r="I33" s="2983"/>
      <c r="J33" s="2984"/>
      <c r="K33" s="793">
        <f t="shared" si="1"/>
        <v>0</v>
      </c>
      <c r="L33" s="793">
        <f t="shared" si="2"/>
        <v>0</v>
      </c>
      <c r="M33" s="2985"/>
      <c r="N33" s="2985"/>
      <c r="O33" s="2985"/>
      <c r="P33" s="2986"/>
      <c r="Q33" s="1261" t="str">
        <f t="shared" si="3"/>
        <v/>
      </c>
      <c r="R33" s="1262" t="str">
        <f>IF(H33="","",IF(C33="Efficiency",Q33/($O$6*VLOOKUP(0,'DCA Underwriting Assumptions'!$J$132:$K$137,2,FALSE)),Q33/($O$6*VLOOKUP(C33,'DCA Underwriting Assumptions'!$J$132:$K$137,2,FALSE))))</f>
        <v/>
      </c>
      <c r="S33" s="2987"/>
      <c r="T33" s="2988"/>
      <c r="U33" s="2989"/>
      <c r="V33" s="290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0" t="s">
        <v>1837</v>
      </c>
      <c r="C34" s="2981"/>
      <c r="D34" s="2982"/>
      <c r="E34" s="2983"/>
      <c r="F34" s="2983"/>
      <c r="G34" s="2983"/>
      <c r="H34" s="2983"/>
      <c r="I34" s="2983"/>
      <c r="J34" s="2984"/>
      <c r="K34" s="793">
        <f t="shared" si="1"/>
        <v>0</v>
      </c>
      <c r="L34" s="793">
        <f t="shared" si="2"/>
        <v>0</v>
      </c>
      <c r="M34" s="2985"/>
      <c r="N34" s="2985"/>
      <c r="O34" s="2985"/>
      <c r="P34" s="2986"/>
      <c r="Q34" s="1261" t="str">
        <f t="shared" si="3"/>
        <v/>
      </c>
      <c r="R34" s="1262" t="str">
        <f>IF(H34="","",IF(C34="Efficiency",Q34/($O$6*VLOOKUP(0,'DCA Underwriting Assumptions'!$J$132:$K$137,2,FALSE)),Q34/($O$6*VLOOKUP(C34,'DCA Underwriting Assumptions'!$J$132:$K$137,2,FALSE))))</f>
        <v/>
      </c>
      <c r="S34" s="2987"/>
      <c r="T34" s="2988"/>
      <c r="U34" s="2989"/>
      <c r="V34" s="290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0" t="s">
        <v>1837</v>
      </c>
      <c r="C35" s="2981"/>
      <c r="D35" s="2982"/>
      <c r="E35" s="2983"/>
      <c r="F35" s="2983"/>
      <c r="G35" s="2983"/>
      <c r="H35" s="2983"/>
      <c r="I35" s="2983"/>
      <c r="J35" s="2984"/>
      <c r="K35" s="793">
        <f t="shared" si="1"/>
        <v>0</v>
      </c>
      <c r="L35" s="793">
        <f t="shared" si="2"/>
        <v>0</v>
      </c>
      <c r="M35" s="2985"/>
      <c r="N35" s="2985"/>
      <c r="O35" s="2985"/>
      <c r="P35" s="2986"/>
      <c r="Q35" s="1261" t="str">
        <f t="shared" si="3"/>
        <v/>
      </c>
      <c r="R35" s="1262" t="str">
        <f>IF(H35="","",IF(C35="Efficiency",Q35/($O$6*VLOOKUP(0,'DCA Underwriting Assumptions'!$J$132:$K$137,2,FALSE)),Q35/($O$6*VLOOKUP(C35,'DCA Underwriting Assumptions'!$J$132:$K$137,2,FALSE))))</f>
        <v/>
      </c>
      <c r="S35" s="2987"/>
      <c r="T35" s="2988"/>
      <c r="U35" s="2989"/>
      <c r="V35" s="290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0" t="s">
        <v>1837</v>
      </c>
      <c r="C36" s="2981"/>
      <c r="D36" s="2982"/>
      <c r="E36" s="2983"/>
      <c r="F36" s="2983"/>
      <c r="G36" s="2983"/>
      <c r="H36" s="2983"/>
      <c r="I36" s="2983"/>
      <c r="J36" s="2984"/>
      <c r="K36" s="793">
        <f t="shared" si="1"/>
        <v>0</v>
      </c>
      <c r="L36" s="793">
        <f t="shared" si="2"/>
        <v>0</v>
      </c>
      <c r="M36" s="2985"/>
      <c r="N36" s="2985"/>
      <c r="O36" s="2985"/>
      <c r="P36" s="2986"/>
      <c r="Q36" s="1261" t="str">
        <f t="shared" si="3"/>
        <v/>
      </c>
      <c r="R36" s="1262" t="str">
        <f>IF(H36="","",IF(C36="Efficiency",Q36/($O$6*VLOOKUP(0,'DCA Underwriting Assumptions'!$J$132:$K$137,2,FALSE)),Q36/($O$6*VLOOKUP(C36,'DCA Underwriting Assumptions'!$J$132:$K$137,2,FALSE))))</f>
        <v/>
      </c>
      <c r="S36" s="2987"/>
      <c r="T36" s="2988"/>
      <c r="U36" s="2989"/>
      <c r="V36" s="290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0" t="s">
        <v>1837</v>
      </c>
      <c r="C37" s="2981"/>
      <c r="D37" s="2982"/>
      <c r="E37" s="2983"/>
      <c r="F37" s="2983"/>
      <c r="G37" s="2983"/>
      <c r="H37" s="2983"/>
      <c r="I37" s="2983"/>
      <c r="J37" s="2984"/>
      <c r="K37" s="793">
        <f t="shared" si="1"/>
        <v>0</v>
      </c>
      <c r="L37" s="793">
        <f t="shared" si="2"/>
        <v>0</v>
      </c>
      <c r="M37" s="2985"/>
      <c r="N37" s="2985"/>
      <c r="O37" s="2985"/>
      <c r="P37" s="2986"/>
      <c r="Q37" s="1261" t="str">
        <f t="shared" si="3"/>
        <v/>
      </c>
      <c r="R37" s="1262" t="str">
        <f>IF(H37="","",IF(C37="Efficiency",Q37/($O$6*VLOOKUP(0,'DCA Underwriting Assumptions'!$J$132:$K$137,2,FALSE)),Q37/($O$6*VLOOKUP(C37,'DCA Underwriting Assumptions'!$J$132:$K$137,2,FALSE))))</f>
        <v/>
      </c>
      <c r="S37" s="2987"/>
      <c r="T37" s="2988"/>
      <c r="U37" s="2989"/>
      <c r="V37" s="290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0" t="s">
        <v>1837</v>
      </c>
      <c r="C38" s="2981"/>
      <c r="D38" s="2982"/>
      <c r="E38" s="2983"/>
      <c r="F38" s="2983"/>
      <c r="G38" s="2983"/>
      <c r="H38" s="2983"/>
      <c r="I38" s="2983"/>
      <c r="J38" s="2984"/>
      <c r="K38" s="793">
        <f t="shared" si="1"/>
        <v>0</v>
      </c>
      <c r="L38" s="793">
        <f t="shared" si="2"/>
        <v>0</v>
      </c>
      <c r="M38" s="2985"/>
      <c r="N38" s="2985"/>
      <c r="O38" s="2985"/>
      <c r="P38" s="2986"/>
      <c r="Q38" s="1261" t="str">
        <f t="shared" si="3"/>
        <v/>
      </c>
      <c r="R38" s="1262" t="str">
        <f>IF(H38="","",IF(C38="Efficiency",Q38/($O$6*VLOOKUP(0,'DCA Underwriting Assumptions'!$J$132:$K$137,2,FALSE)),Q38/($O$6*VLOOKUP(C38,'DCA Underwriting Assumptions'!$J$132:$K$137,2,FALSE))))</f>
        <v/>
      </c>
      <c r="S38" s="2987"/>
      <c r="T38" s="2988"/>
      <c r="U38" s="2989"/>
      <c r="V38" s="290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0" t="s">
        <v>1837</v>
      </c>
      <c r="C39" s="2981"/>
      <c r="D39" s="2982"/>
      <c r="E39" s="2983"/>
      <c r="F39" s="2983"/>
      <c r="G39" s="2983"/>
      <c r="H39" s="2983"/>
      <c r="I39" s="2983"/>
      <c r="J39" s="2984"/>
      <c r="K39" s="793">
        <f t="shared" si="1"/>
        <v>0</v>
      </c>
      <c r="L39" s="793">
        <f t="shared" si="2"/>
        <v>0</v>
      </c>
      <c r="M39" s="2985"/>
      <c r="N39" s="2985"/>
      <c r="O39" s="2985"/>
      <c r="P39" s="2986"/>
      <c r="Q39" s="1261" t="str">
        <f t="shared" si="3"/>
        <v/>
      </c>
      <c r="R39" s="1262" t="str">
        <f>IF(H39="","",IF(C39="Efficiency",Q39/($O$6*VLOOKUP(0,'DCA Underwriting Assumptions'!$J$132:$K$137,2,FALSE)),Q39/($O$6*VLOOKUP(C39,'DCA Underwriting Assumptions'!$J$132:$K$137,2,FALSE))))</f>
        <v/>
      </c>
      <c r="S39" s="2987"/>
      <c r="T39" s="2988"/>
      <c r="U39" s="2989"/>
      <c r="V39" s="290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0" t="s">
        <v>1837</v>
      </c>
      <c r="C40" s="2981"/>
      <c r="D40" s="2982"/>
      <c r="E40" s="2983"/>
      <c r="F40" s="2983"/>
      <c r="G40" s="2983"/>
      <c r="H40" s="2983"/>
      <c r="I40" s="2983"/>
      <c r="J40" s="2984"/>
      <c r="K40" s="793">
        <f t="shared" si="1"/>
        <v>0</v>
      </c>
      <c r="L40" s="793">
        <f t="shared" si="2"/>
        <v>0</v>
      </c>
      <c r="M40" s="2985"/>
      <c r="N40" s="2985"/>
      <c r="O40" s="2985"/>
      <c r="P40" s="2986"/>
      <c r="Q40" s="1261" t="str">
        <f t="shared" si="3"/>
        <v/>
      </c>
      <c r="R40" s="1262" t="str">
        <f>IF(H40="","",IF(C40="Efficiency",Q40/($O$6*VLOOKUP(0,'DCA Underwriting Assumptions'!$J$132:$K$137,2,FALSE)),Q40/($O$6*VLOOKUP(C40,'DCA Underwriting Assumptions'!$J$132:$K$137,2,FALSE))))</f>
        <v/>
      </c>
      <c r="S40" s="2987"/>
      <c r="T40" s="2988"/>
      <c r="U40" s="2989"/>
      <c r="V40" s="290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0" t="s">
        <v>1837</v>
      </c>
      <c r="C41" s="2981"/>
      <c r="D41" s="2982"/>
      <c r="E41" s="2983"/>
      <c r="F41" s="2983"/>
      <c r="G41" s="2983"/>
      <c r="H41" s="2983"/>
      <c r="I41" s="2983"/>
      <c r="J41" s="2984"/>
      <c r="K41" s="793">
        <f t="shared" si="1"/>
        <v>0</v>
      </c>
      <c r="L41" s="793">
        <f t="shared" si="2"/>
        <v>0</v>
      </c>
      <c r="M41" s="2985"/>
      <c r="N41" s="2985"/>
      <c r="O41" s="2985"/>
      <c r="P41" s="2986"/>
      <c r="Q41" s="1261" t="str">
        <f t="shared" si="3"/>
        <v/>
      </c>
      <c r="R41" s="1262" t="str">
        <f>IF(H41="","",IF(C41="Efficiency",Q41/($O$6*VLOOKUP(0,'DCA Underwriting Assumptions'!$J$132:$K$137,2,FALSE)),Q41/($O$6*VLOOKUP(C41,'DCA Underwriting Assumptions'!$J$132:$K$137,2,FALSE))))</f>
        <v/>
      </c>
      <c r="S41" s="2987"/>
      <c r="T41" s="2988"/>
      <c r="U41" s="2989"/>
      <c r="V41" s="290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0" t="s">
        <v>1837</v>
      </c>
      <c r="C42" s="2981"/>
      <c r="D42" s="2982"/>
      <c r="E42" s="2983"/>
      <c r="F42" s="2983"/>
      <c r="G42" s="2983"/>
      <c r="H42" s="2983"/>
      <c r="I42" s="2983"/>
      <c r="J42" s="2984"/>
      <c r="K42" s="793">
        <f t="shared" si="1"/>
        <v>0</v>
      </c>
      <c r="L42" s="793">
        <f t="shared" si="2"/>
        <v>0</v>
      </c>
      <c r="M42" s="2985"/>
      <c r="N42" s="2985"/>
      <c r="O42" s="2985"/>
      <c r="P42" s="2986"/>
      <c r="Q42" s="1261" t="str">
        <f t="shared" si="3"/>
        <v/>
      </c>
      <c r="R42" s="1262" t="str">
        <f>IF(H42="","",IF(C42="Efficiency",Q42/($O$6*VLOOKUP(0,'DCA Underwriting Assumptions'!$J$132:$K$137,2,FALSE)),Q42/($O$6*VLOOKUP(C42,'DCA Underwriting Assumptions'!$J$132:$K$137,2,FALSE))))</f>
        <v/>
      </c>
      <c r="S42" s="2987"/>
      <c r="T42" s="2988"/>
      <c r="U42" s="2989"/>
      <c r="V42" s="290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0" t="s">
        <v>1837</v>
      </c>
      <c r="C43" s="2981"/>
      <c r="D43" s="2982"/>
      <c r="E43" s="2983"/>
      <c r="F43" s="2983"/>
      <c r="G43" s="2983"/>
      <c r="H43" s="2983"/>
      <c r="I43" s="2983"/>
      <c r="J43" s="2984"/>
      <c r="K43" s="793">
        <f t="shared" si="1"/>
        <v>0</v>
      </c>
      <c r="L43" s="793">
        <f t="shared" si="2"/>
        <v>0</v>
      </c>
      <c r="M43" s="2985"/>
      <c r="N43" s="2985"/>
      <c r="O43" s="2985"/>
      <c r="P43" s="2986"/>
      <c r="Q43" s="1261" t="str">
        <f t="shared" si="3"/>
        <v/>
      </c>
      <c r="R43" s="1262" t="str">
        <f>IF(H43="","",IF(C43="Efficiency",Q43/($O$6*VLOOKUP(0,'DCA Underwriting Assumptions'!$J$132:$K$137,2,FALSE)),Q43/($O$6*VLOOKUP(C43,'DCA Underwriting Assumptions'!$J$132:$K$137,2,FALSE))))</f>
        <v/>
      </c>
      <c r="S43" s="2987"/>
      <c r="T43" s="2988"/>
      <c r="U43" s="2989"/>
      <c r="V43" s="290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0" t="s">
        <v>1837</v>
      </c>
      <c r="C44" s="2981"/>
      <c r="D44" s="2982"/>
      <c r="E44" s="2983"/>
      <c r="F44" s="2983"/>
      <c r="G44" s="2983"/>
      <c r="H44" s="2983"/>
      <c r="I44" s="2983"/>
      <c r="J44" s="2984"/>
      <c r="K44" s="793">
        <f t="shared" si="1"/>
        <v>0</v>
      </c>
      <c r="L44" s="793">
        <f t="shared" si="2"/>
        <v>0</v>
      </c>
      <c r="M44" s="2985"/>
      <c r="N44" s="2985"/>
      <c r="O44" s="2985"/>
      <c r="P44" s="2986"/>
      <c r="Q44" s="1261" t="str">
        <f t="shared" si="3"/>
        <v/>
      </c>
      <c r="R44" s="1262" t="str">
        <f>IF(H44="","",IF(C44="Efficiency",Q44/($O$6*VLOOKUP(0,'DCA Underwriting Assumptions'!$J$132:$K$137,2,FALSE)),Q44/($O$6*VLOOKUP(C44,'DCA Underwriting Assumptions'!$J$132:$K$137,2,FALSE))))</f>
        <v/>
      </c>
      <c r="S44" s="2987"/>
      <c r="T44" s="2988"/>
      <c r="U44" s="2989"/>
      <c r="V44" s="290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0" t="s">
        <v>1837</v>
      </c>
      <c r="C45" s="2981"/>
      <c r="D45" s="2982"/>
      <c r="E45" s="2983"/>
      <c r="F45" s="2983"/>
      <c r="G45" s="2983"/>
      <c r="H45" s="2983"/>
      <c r="I45" s="2983"/>
      <c r="J45" s="2984"/>
      <c r="K45" s="793">
        <f t="shared" si="1"/>
        <v>0</v>
      </c>
      <c r="L45" s="793">
        <f t="shared" si="2"/>
        <v>0</v>
      </c>
      <c r="M45" s="2985"/>
      <c r="N45" s="2985"/>
      <c r="O45" s="2985"/>
      <c r="P45" s="2986"/>
      <c r="Q45" s="1261" t="str">
        <f t="shared" si="3"/>
        <v/>
      </c>
      <c r="R45" s="1262" t="str">
        <f>IF(H45="","",IF(C45="Efficiency",Q45/($O$6*VLOOKUP(0,'DCA Underwriting Assumptions'!$J$132:$K$137,2,FALSE)),Q45/($O$6*VLOOKUP(C45,'DCA Underwriting Assumptions'!$J$132:$K$137,2,FALSE))))</f>
        <v/>
      </c>
      <c r="S45" s="2987"/>
      <c r="T45" s="2988"/>
      <c r="U45" s="2989"/>
      <c r="V45" s="290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0" t="s">
        <v>1837</v>
      </c>
      <c r="C46" s="2981"/>
      <c r="D46" s="2982"/>
      <c r="E46" s="2983"/>
      <c r="F46" s="2983"/>
      <c r="G46" s="2983"/>
      <c r="H46" s="2983"/>
      <c r="I46" s="2983"/>
      <c r="J46" s="2984"/>
      <c r="K46" s="793">
        <f t="shared" si="1"/>
        <v>0</v>
      </c>
      <c r="L46" s="793">
        <f t="shared" si="2"/>
        <v>0</v>
      </c>
      <c r="M46" s="2985"/>
      <c r="N46" s="2985"/>
      <c r="O46" s="2985"/>
      <c r="P46" s="2986"/>
      <c r="Q46" s="1261" t="str">
        <f t="shared" si="3"/>
        <v/>
      </c>
      <c r="R46" s="1262" t="str">
        <f>IF(H46="","",IF(C46="Efficiency",Q46/($O$6*VLOOKUP(0,'DCA Underwriting Assumptions'!$J$132:$K$137,2,FALSE)),Q46/($O$6*VLOOKUP(C46,'DCA Underwriting Assumptions'!$J$132:$K$137,2,FALSE))))</f>
        <v/>
      </c>
      <c r="S46" s="2987"/>
      <c r="T46" s="2988"/>
      <c r="U46" s="2989"/>
      <c r="V46" s="290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0" t="s">
        <v>1837</v>
      </c>
      <c r="C47" s="2991"/>
      <c r="D47" s="2992"/>
      <c r="E47" s="2993"/>
      <c r="F47" s="2993"/>
      <c r="G47" s="2993"/>
      <c r="H47" s="2993"/>
      <c r="I47" s="2993"/>
      <c r="J47" s="2994"/>
      <c r="K47" s="794">
        <f t="shared" si="1"/>
        <v>0</v>
      </c>
      <c r="L47" s="794">
        <f t="shared" si="2"/>
        <v>0</v>
      </c>
      <c r="M47" s="2995"/>
      <c r="N47" s="2995"/>
      <c r="O47" s="2995"/>
      <c r="P47" s="2996"/>
      <c r="Q47" s="1263" t="str">
        <f t="shared" si="3"/>
        <v/>
      </c>
      <c r="R47" s="1264" t="str">
        <f>IF(H47="","",IF(C47="Efficiency",Q47/($O$6*VLOOKUP(0,'DCA Underwriting Assumptions'!$J$132:$K$137,2,FALSE)),Q47/($O$6*VLOOKUP(C47,'DCA Underwriting Assumptions'!$J$132:$K$137,2,FALSE))))</f>
        <v/>
      </c>
      <c r="S47" s="2997"/>
      <c r="T47" s="2998"/>
      <c r="U47" s="2909"/>
      <c r="V47" s="290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70</v>
      </c>
      <c r="F48" s="1309">
        <f>(E10*F10+E11*F11+E12*F12+E13*F13+E14*F14+E15*F15+E16*F16+E17*F17+E18*F18+E19*F19+E20*F20+E21*F21+E22*F22+E23*F23+E24*F24+E25*F25+E26*F26+E27*F27+E28*F28+E29*F29+E30*F30+E31*F31+E32*F32+E33*F33+E34*F34+E35*F35+E36*F36+E37*F37+E38*F38+E39*F39+E40*F40+E41*F41+E42*F42+E43*F43+E44*F44+E45*F45+E46*F46+E47*F47)</f>
        <v>53960</v>
      </c>
      <c r="G48" s="754"/>
      <c r="H48" s="755"/>
      <c r="I48" s="755"/>
      <c r="J48" s="755"/>
      <c r="K48" s="1312" t="s">
        <v>1351</v>
      </c>
      <c r="L48" s="133">
        <f>SUM(L10:L47)</f>
        <v>41572</v>
      </c>
      <c r="M48" s="100"/>
      <c r="N48" s="756"/>
      <c r="O48" s="100"/>
      <c r="P48" s="531"/>
      <c r="Q48" s="531"/>
      <c r="R48" s="531"/>
      <c r="S48" s="531"/>
      <c r="T48" s="531"/>
      <c r="U48" s="1222"/>
      <c r="V48" s="757"/>
      <c r="W48" s="758">
        <f t="shared" ref="W48:CH48" si="259">SUM(W10:W47)</f>
        <v>0</v>
      </c>
      <c r="X48" s="758">
        <f t="shared" si="259"/>
        <v>8</v>
      </c>
      <c r="Y48" s="758">
        <f t="shared" si="259"/>
        <v>38</v>
      </c>
      <c r="Z48" s="758">
        <f t="shared" si="259"/>
        <v>9</v>
      </c>
      <c r="AA48" s="758">
        <f t="shared" si="259"/>
        <v>0</v>
      </c>
      <c r="AB48" s="758">
        <f t="shared" si="259"/>
        <v>0</v>
      </c>
      <c r="AC48" s="758">
        <f t="shared" si="259"/>
        <v>2</v>
      </c>
      <c r="AD48" s="758">
        <f t="shared" si="259"/>
        <v>10</v>
      </c>
      <c r="AE48" s="758">
        <f t="shared" si="259"/>
        <v>3</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2</v>
      </c>
      <c r="AX48" s="758">
        <f t="shared" si="259"/>
        <v>10</v>
      </c>
      <c r="AY48" s="758">
        <f t="shared" si="259"/>
        <v>3</v>
      </c>
      <c r="AZ48" s="758">
        <f t="shared" si="259"/>
        <v>0</v>
      </c>
      <c r="BA48" s="758">
        <f t="shared" si="259"/>
        <v>0</v>
      </c>
      <c r="BB48" s="758">
        <f t="shared" si="259"/>
        <v>8</v>
      </c>
      <c r="BC48" s="758">
        <f t="shared" si="259"/>
        <v>38</v>
      </c>
      <c r="BD48" s="758">
        <f t="shared" si="259"/>
        <v>9</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4528</v>
      </c>
      <c r="CB48" s="758">
        <f t="shared" si="259"/>
        <v>28462</v>
      </c>
      <c r="CC48" s="758">
        <f t="shared" si="259"/>
        <v>9261</v>
      </c>
      <c r="CD48" s="758">
        <f t="shared" si="259"/>
        <v>0</v>
      </c>
      <c r="CE48" s="758">
        <f t="shared" si="259"/>
        <v>0</v>
      </c>
      <c r="CF48" s="758">
        <f t="shared" si="259"/>
        <v>1132</v>
      </c>
      <c r="CG48" s="758">
        <f t="shared" si="259"/>
        <v>7490</v>
      </c>
      <c r="CH48" s="758">
        <f t="shared" si="259"/>
        <v>3087</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0</v>
      </c>
      <c r="CU48" s="758">
        <f t="shared" si="260"/>
        <v>5660</v>
      </c>
      <c r="CV48" s="758">
        <f t="shared" si="260"/>
        <v>35952</v>
      </c>
      <c r="CW48" s="758">
        <f t="shared" si="260"/>
        <v>12348</v>
      </c>
      <c r="CX48" s="758">
        <f t="shared" si="260"/>
        <v>0</v>
      </c>
      <c r="CY48" s="758">
        <f t="shared" si="260"/>
        <v>0</v>
      </c>
      <c r="CZ48" s="758">
        <f t="shared" si="260"/>
        <v>0</v>
      </c>
      <c r="DA48" s="758">
        <f t="shared" si="260"/>
        <v>0</v>
      </c>
      <c r="DB48" s="758">
        <f t="shared" si="260"/>
        <v>0</v>
      </c>
      <c r="DC48" s="758">
        <f t="shared" si="260"/>
        <v>0</v>
      </c>
      <c r="DD48" s="758">
        <f t="shared" si="260"/>
        <v>0</v>
      </c>
      <c r="DE48" s="758">
        <f t="shared" si="260"/>
        <v>0</v>
      </c>
      <c r="DF48" s="758">
        <f t="shared" si="260"/>
        <v>0</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10</v>
      </c>
      <c r="DU48" s="758">
        <f t="shared" si="260"/>
        <v>48</v>
      </c>
      <c r="DV48" s="758">
        <f t="shared" si="260"/>
        <v>12</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10</v>
      </c>
      <c r="EY48" s="517">
        <f t="shared" si="261"/>
        <v>48</v>
      </c>
      <c r="EZ48" s="517">
        <f t="shared" si="261"/>
        <v>12</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10</v>
      </c>
      <c r="HB48" s="517">
        <f t="shared" si="261"/>
        <v>48</v>
      </c>
      <c r="HC48" s="517">
        <f t="shared" si="261"/>
        <v>12</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10</v>
      </c>
      <c r="JE48" s="517">
        <f t="shared" si="262"/>
        <v>48</v>
      </c>
      <c r="JF48" s="517">
        <f t="shared" si="262"/>
        <v>12</v>
      </c>
      <c r="JG48" s="517">
        <f t="shared" si="262"/>
        <v>0</v>
      </c>
      <c r="JH48" s="517">
        <f t="shared" si="262"/>
        <v>0</v>
      </c>
      <c r="JI48" s="517">
        <f t="shared" si="262"/>
        <v>0</v>
      </c>
      <c r="JJ48" s="517">
        <f t="shared" si="262"/>
        <v>0</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498864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2709</v>
      </c>
      <c r="B51" s="2999"/>
      <c r="C51" s="2999"/>
      <c r="D51" s="2999"/>
      <c r="E51" s="2999"/>
      <c r="F51" s="2999"/>
      <c r="G51" s="2999"/>
      <c r="H51" s="2999"/>
      <c r="I51" s="2999"/>
      <c r="J51" s="2999"/>
      <c r="K51" s="2999"/>
      <c r="L51" s="2999"/>
      <c r="M51" s="2999"/>
      <c r="N51" s="2999"/>
      <c r="O51" s="2999"/>
      <c r="P51" s="2999"/>
      <c r="Q51" s="3000"/>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9"/>
      <c r="B52" s="2999"/>
      <c r="C52" s="2999"/>
      <c r="D52" s="2999"/>
      <c r="E52" s="2999"/>
      <c r="F52" s="2999"/>
      <c r="G52" s="2999"/>
      <c r="H52" s="2999"/>
      <c r="I52" s="2999"/>
      <c r="J52" s="2999"/>
      <c r="K52" s="2999"/>
      <c r="L52" s="2999"/>
      <c r="M52" s="2999"/>
      <c r="N52" s="2999"/>
      <c r="O52" s="2999"/>
      <c r="P52" s="2999"/>
      <c r="Q52" s="3000"/>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9"/>
      <c r="S55" s="535"/>
      <c r="T55" s="535"/>
      <c r="U55" s="1520" t="s">
        <v>1915</v>
      </c>
      <c r="V55" s="1520"/>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8</v>
      </c>
      <c r="L56" s="795">
        <f>Y48</f>
        <v>38</v>
      </c>
      <c r="M56" s="795">
        <f>Z48</f>
        <v>9</v>
      </c>
      <c r="N56" s="795">
        <f>AA48</f>
        <v>0</v>
      </c>
      <c r="O56" s="795">
        <f t="shared" ref="O56:O62" si="263">SUM(J56:N56)</f>
        <v>55</v>
      </c>
      <c r="P56" s="1676" t="s">
        <v>4106</v>
      </c>
      <c r="Q56" s="1426"/>
      <c r="R56" s="457"/>
      <c r="S56" s="457"/>
      <c r="T56" s="457"/>
      <c r="U56" s="2901"/>
      <c r="V56" s="2902"/>
      <c r="W56" s="531"/>
      <c r="X56" s="531"/>
      <c r="Y56" s="531"/>
      <c r="Z56" s="531"/>
      <c r="AA56" s="54"/>
      <c r="AB56" s="755"/>
      <c r="AC56" s="755"/>
      <c r="AD56" s="755"/>
      <c r="AE56" s="755"/>
      <c r="AF56" s="755"/>
      <c r="AG56" s="755"/>
      <c r="AH56" s="54"/>
      <c r="AI56" s="100"/>
      <c r="IL56" s="518"/>
      <c r="JA56" s="505"/>
    </row>
    <row r="57" spans="1:296" ht="12" customHeight="1">
      <c r="A57" s="1664" t="s">
        <v>457</v>
      </c>
      <c r="B57" s="1664"/>
      <c r="C57" s="4"/>
      <c r="D57" s="1"/>
      <c r="E57" s="1"/>
      <c r="F57" s="1"/>
      <c r="G57" s="87"/>
      <c r="H57" s="37" t="s">
        <v>120</v>
      </c>
      <c r="I57" s="87"/>
      <c r="J57" s="796">
        <f>AB48</f>
        <v>0</v>
      </c>
      <c r="K57" s="796">
        <f>AC48</f>
        <v>2</v>
      </c>
      <c r="L57" s="796">
        <f>AD48</f>
        <v>10</v>
      </c>
      <c r="M57" s="796">
        <f>AE48</f>
        <v>3</v>
      </c>
      <c r="N57" s="796">
        <f>AF48</f>
        <v>0</v>
      </c>
      <c r="O57" s="796">
        <f t="shared" si="263"/>
        <v>15</v>
      </c>
      <c r="P57" s="1676"/>
      <c r="Q57" s="1426"/>
      <c r="R57" s="457"/>
      <c r="S57" s="457"/>
      <c r="T57" s="457"/>
      <c r="U57" s="2903"/>
      <c r="V57" s="2904"/>
      <c r="W57" s="10"/>
      <c r="X57" s="531"/>
      <c r="Y57" s="531"/>
      <c r="Z57" s="531"/>
      <c r="AA57" s="54"/>
      <c r="AB57" s="755"/>
      <c r="AC57" s="755"/>
      <c r="AD57" s="755"/>
      <c r="AE57" s="755"/>
      <c r="AF57" s="755"/>
      <c r="AG57" s="755"/>
      <c r="AH57" s="54"/>
      <c r="AI57" s="100"/>
      <c r="IL57" s="518"/>
      <c r="JA57" s="505"/>
    </row>
    <row r="58" spans="1:296" ht="12" customHeight="1">
      <c r="A58" s="1664"/>
      <c r="B58" s="1664"/>
      <c r="C58" s="4"/>
      <c r="D58" s="1"/>
      <c r="E58" s="1"/>
      <c r="F58" s="1"/>
      <c r="G58" s="87"/>
      <c r="H58" s="37" t="s">
        <v>558</v>
      </c>
      <c r="I58" s="87"/>
      <c r="J58" s="795">
        <f>SUM(J56:J57)</f>
        <v>0</v>
      </c>
      <c r="K58" s="795">
        <f>SUM(K56:K57)</f>
        <v>10</v>
      </c>
      <c r="L58" s="795">
        <f>SUM(L56:L57)</f>
        <v>48</v>
      </c>
      <c r="M58" s="795">
        <f>SUM(M56:M57)</f>
        <v>12</v>
      </c>
      <c r="N58" s="795">
        <f>SUM(N56:N57)</f>
        <v>0</v>
      </c>
      <c r="O58" s="795">
        <f t="shared" si="263"/>
        <v>70</v>
      </c>
      <c r="P58" s="1676"/>
      <c r="R58" s="457"/>
      <c r="S58" s="457"/>
      <c r="T58" s="457"/>
      <c r="U58" s="2903"/>
      <c r="V58" s="2904"/>
      <c r="W58" s="10"/>
      <c r="X58" s="531"/>
      <c r="Y58" s="531"/>
      <c r="Z58" s="531"/>
      <c r="AA58" s="54"/>
      <c r="AB58" s="755"/>
      <c r="AC58" s="755"/>
      <c r="AD58" s="755"/>
      <c r="AE58" s="755"/>
      <c r="AF58" s="755"/>
      <c r="AG58" s="755"/>
      <c r="AH58" s="54"/>
      <c r="AI58" s="100"/>
      <c r="IL58" s="518"/>
      <c r="JA58" s="505"/>
    </row>
    <row r="59" spans="1:296" ht="12" customHeight="1">
      <c r="A59" s="1664"/>
      <c r="B59" s="1664"/>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903"/>
      <c r="V59" s="2904"/>
      <c r="W59" s="100"/>
      <c r="X59" s="531"/>
      <c r="Y59" s="531"/>
      <c r="Z59" s="531"/>
      <c r="AA59" s="54"/>
      <c r="AB59" s="755"/>
      <c r="AC59" s="755"/>
      <c r="AD59" s="755"/>
      <c r="AE59" s="755"/>
      <c r="AF59" s="755"/>
      <c r="AG59" s="755"/>
      <c r="AH59" s="466"/>
      <c r="AI59" s="100"/>
      <c r="IL59" s="518"/>
      <c r="JA59" s="505"/>
    </row>
    <row r="60" spans="1:296" ht="12" customHeight="1">
      <c r="A60" s="1664"/>
      <c r="B60" s="1664"/>
      <c r="C60" s="100" t="s">
        <v>1180</v>
      </c>
      <c r="D60" s="1"/>
      <c r="E60" s="1"/>
      <c r="F60" s="1"/>
      <c r="G60" s="87"/>
      <c r="H60" s="37"/>
      <c r="I60" s="87"/>
      <c r="J60" s="795">
        <f>SUM(J58:J59)</f>
        <v>0</v>
      </c>
      <c r="K60" s="795">
        <f>SUM(K58:K59)</f>
        <v>10</v>
      </c>
      <c r="L60" s="795">
        <f>SUM(L58:L59)</f>
        <v>48</v>
      </c>
      <c r="M60" s="795">
        <f>SUM(M58:M59)</f>
        <v>12</v>
      </c>
      <c r="N60" s="795">
        <f>SUM(N58:N59)</f>
        <v>0</v>
      </c>
      <c r="O60" s="795">
        <f t="shared" si="263"/>
        <v>70</v>
      </c>
      <c r="R60" s="457"/>
      <c r="S60" s="457"/>
      <c r="T60" s="457"/>
      <c r="U60" s="2903"/>
      <c r="V60" s="2904"/>
      <c r="W60" s="531"/>
      <c r="X60" s="531"/>
      <c r="Y60" s="531"/>
      <c r="Z60" s="531"/>
      <c r="AA60" s="54"/>
      <c r="AB60" s="755"/>
      <c r="AC60" s="755"/>
      <c r="AD60" s="755"/>
      <c r="AE60" s="755"/>
      <c r="AF60" s="755"/>
      <c r="AG60" s="755"/>
      <c r="AH60" s="466"/>
      <c r="AI60" s="100"/>
      <c r="IL60" s="518"/>
      <c r="JA60" s="505"/>
    </row>
    <row r="61" spans="1:296" ht="12" customHeight="1">
      <c r="A61" s="1664"/>
      <c r="B61" s="1664"/>
      <c r="C61" s="100" t="s">
        <v>2598</v>
      </c>
      <c r="D61" s="1"/>
      <c r="E61" s="1"/>
      <c r="F61" s="1"/>
      <c r="G61" s="87"/>
      <c r="H61" s="37"/>
      <c r="I61" s="87"/>
      <c r="J61" s="797">
        <f>BU48</f>
        <v>0</v>
      </c>
      <c r="K61" s="797">
        <f>BV48</f>
        <v>0</v>
      </c>
      <c r="L61" s="797">
        <f>BW48</f>
        <v>0</v>
      </c>
      <c r="M61" s="797">
        <f>BX48</f>
        <v>0</v>
      </c>
      <c r="N61" s="797">
        <f>BY48</f>
        <v>0</v>
      </c>
      <c r="O61" s="797">
        <f t="shared" si="263"/>
        <v>0</v>
      </c>
      <c r="P61" s="571" t="s">
        <v>4107</v>
      </c>
      <c r="R61" s="457"/>
      <c r="S61" s="457"/>
      <c r="T61" s="457"/>
      <c r="U61" s="2903"/>
      <c r="V61" s="2904"/>
      <c r="W61" s="531"/>
      <c r="X61" s="531"/>
      <c r="Y61" s="531"/>
      <c r="Z61" s="531"/>
      <c r="AA61" s="54"/>
      <c r="AB61" s="755"/>
      <c r="AC61" s="755"/>
      <c r="AD61" s="755"/>
      <c r="AE61" s="755"/>
      <c r="AF61" s="755"/>
      <c r="AG61" s="755"/>
      <c r="AH61" s="54"/>
      <c r="AI61" s="100"/>
      <c r="IL61" s="518"/>
      <c r="JA61" s="505"/>
    </row>
    <row r="62" spans="1:296" ht="12" customHeight="1">
      <c r="A62" s="1664"/>
      <c r="B62" s="1664"/>
      <c r="C62" s="100" t="s">
        <v>558</v>
      </c>
      <c r="D62" s="1"/>
      <c r="E62" s="1"/>
      <c r="F62" s="1"/>
      <c r="G62" s="87"/>
      <c r="H62" s="37"/>
      <c r="I62" s="87"/>
      <c r="J62" s="798">
        <f>SUM(J60:J61)</f>
        <v>0</v>
      </c>
      <c r="K62" s="798">
        <f>SUM(K60:K61)</f>
        <v>10</v>
      </c>
      <c r="L62" s="798">
        <f>SUM(L60:L61)</f>
        <v>48</v>
      </c>
      <c r="M62" s="798">
        <f>SUM(M60:M61)</f>
        <v>12</v>
      </c>
      <c r="N62" s="798">
        <f>SUM(N60:N61)</f>
        <v>0</v>
      </c>
      <c r="O62" s="798">
        <f t="shared" si="263"/>
        <v>70</v>
      </c>
      <c r="R62" s="457"/>
      <c r="S62" s="457"/>
      <c r="T62" s="457"/>
      <c r="U62" s="2906"/>
      <c r="V62" s="2907"/>
      <c r="W62" s="531"/>
      <c r="X62" s="531"/>
      <c r="Y62" s="531"/>
      <c r="Z62" s="531"/>
      <c r="AA62" s="54"/>
      <c r="AB62" s="755"/>
      <c r="AC62" s="755"/>
      <c r="AD62" s="755"/>
      <c r="AE62" s="755"/>
      <c r="AF62" s="755"/>
      <c r="AG62" s="755"/>
      <c r="AH62" s="529"/>
      <c r="AI62" s="100"/>
      <c r="IL62" s="518"/>
      <c r="JA62" s="505"/>
    </row>
    <row r="63" spans="1:296" ht="9" customHeight="1">
      <c r="A63" s="1664"/>
      <c r="B63" s="1664"/>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4"/>
      <c r="B64" s="1664"/>
      <c r="C64" s="100" t="s">
        <v>967</v>
      </c>
      <c r="D64" s="1"/>
      <c r="E64" s="116"/>
      <c r="F64" s="1"/>
      <c r="G64" s="87"/>
      <c r="H64" s="37" t="s">
        <v>1191</v>
      </c>
      <c r="I64" s="87"/>
      <c r="J64" s="795">
        <f>BA48</f>
        <v>0</v>
      </c>
      <c r="K64" s="795">
        <f>BB48</f>
        <v>8</v>
      </c>
      <c r="L64" s="795">
        <f>BC48</f>
        <v>38</v>
      </c>
      <c r="M64" s="795">
        <f>BD48</f>
        <v>9</v>
      </c>
      <c r="N64" s="795">
        <f>BE48</f>
        <v>0</v>
      </c>
      <c r="O64" s="795">
        <f>SUM(J64:N64)</f>
        <v>55</v>
      </c>
      <c r="R64" s="457"/>
      <c r="S64" s="457"/>
      <c r="T64" s="457"/>
      <c r="U64" s="2901"/>
      <c r="V64" s="2902"/>
      <c r="W64" s="531"/>
      <c r="X64" s="531"/>
      <c r="Y64" s="109"/>
      <c r="Z64" s="531"/>
      <c r="AA64" s="54"/>
      <c r="AB64" s="755"/>
      <c r="AC64" s="755"/>
      <c r="AD64" s="755"/>
      <c r="AE64" s="755"/>
      <c r="AF64" s="755"/>
      <c r="AG64" s="755"/>
      <c r="AH64" s="54"/>
      <c r="AI64" s="100"/>
      <c r="IL64" s="518"/>
      <c r="JA64" s="505"/>
    </row>
    <row r="65" spans="1:261" ht="12" customHeight="1">
      <c r="A65" s="1664"/>
      <c r="B65" s="1664"/>
      <c r="C65" s="37" t="s">
        <v>2599</v>
      </c>
      <c r="D65" s="1"/>
      <c r="E65" s="116"/>
      <c r="F65" s="1"/>
      <c r="G65" s="87"/>
      <c r="H65" s="37" t="s">
        <v>120</v>
      </c>
      <c r="I65" s="87"/>
      <c r="J65" s="796">
        <f>AV48</f>
        <v>0</v>
      </c>
      <c r="K65" s="796">
        <f>AW48</f>
        <v>2</v>
      </c>
      <c r="L65" s="796">
        <f>AX48</f>
        <v>10</v>
      </c>
      <c r="M65" s="796">
        <f>AY48</f>
        <v>3</v>
      </c>
      <c r="N65" s="796">
        <f>AZ48</f>
        <v>0</v>
      </c>
      <c r="O65" s="800">
        <f>SUM(J65:N65)</f>
        <v>15</v>
      </c>
      <c r="R65" s="457"/>
      <c r="S65" s="457"/>
      <c r="T65" s="457"/>
      <c r="U65" s="2903"/>
      <c r="V65" s="2904"/>
      <c r="W65" s="54"/>
      <c r="X65" s="531"/>
      <c r="Y65" s="109"/>
      <c r="Z65" s="531"/>
      <c r="AA65" s="54"/>
      <c r="AB65" s="755"/>
      <c r="AC65" s="755"/>
      <c r="AD65" s="755"/>
      <c r="AE65" s="755"/>
      <c r="AF65" s="755"/>
      <c r="AG65" s="755"/>
      <c r="AH65" s="54"/>
      <c r="AI65" s="100"/>
      <c r="IL65" s="518"/>
      <c r="JA65" s="505"/>
    </row>
    <row r="66" spans="1:261" ht="12" customHeight="1">
      <c r="A66" s="1664"/>
      <c r="B66" s="1664"/>
      <c r="C66" s="4"/>
      <c r="D66" s="1"/>
      <c r="E66" s="116"/>
      <c r="F66" s="1"/>
      <c r="G66" s="87"/>
      <c r="H66" s="37" t="s">
        <v>558</v>
      </c>
      <c r="I66" s="87"/>
      <c r="J66" s="798">
        <f>SUM(J64:J65)</f>
        <v>0</v>
      </c>
      <c r="K66" s="798">
        <f>SUM(K64:K65)</f>
        <v>10</v>
      </c>
      <c r="L66" s="798">
        <f>SUM(L64:L65)</f>
        <v>48</v>
      </c>
      <c r="M66" s="798">
        <f>SUM(M64:M65)</f>
        <v>12</v>
      </c>
      <c r="N66" s="798">
        <f>SUM(N64:N65)</f>
        <v>0</v>
      </c>
      <c r="O66" s="798">
        <f>SUM(J66:N66)</f>
        <v>70</v>
      </c>
      <c r="R66" s="457"/>
      <c r="S66" s="457"/>
      <c r="T66" s="457"/>
      <c r="U66" s="2906"/>
      <c r="V66" s="2907"/>
      <c r="W66" s="10"/>
      <c r="X66" s="531"/>
      <c r="Y66" s="109"/>
      <c r="Z66" s="531"/>
      <c r="AA66" s="54"/>
      <c r="AB66" s="755"/>
      <c r="AC66" s="755"/>
      <c r="AD66" s="755"/>
      <c r="AE66" s="755"/>
      <c r="AF66" s="755"/>
      <c r="AG66" s="755"/>
      <c r="AH66" s="54"/>
      <c r="AI66" s="100"/>
      <c r="IL66" s="518"/>
      <c r="JA66" s="505"/>
    </row>
    <row r="67" spans="1:261" ht="9" customHeight="1">
      <c r="A67" s="1664"/>
      <c r="B67" s="1664"/>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4"/>
      <c r="B68" s="1664"/>
      <c r="C68" s="1665" t="s">
        <v>923</v>
      </c>
      <c r="D68" s="1665"/>
      <c r="E68" s="1665"/>
      <c r="F68" s="1"/>
      <c r="G68" s="87"/>
      <c r="H68" s="37" t="s">
        <v>1191</v>
      </c>
      <c r="I68" s="87"/>
      <c r="J68" s="795">
        <f>BP48</f>
        <v>0</v>
      </c>
      <c r="K68" s="795">
        <f>BQ48</f>
        <v>0</v>
      </c>
      <c r="L68" s="795">
        <f>BR48</f>
        <v>0</v>
      </c>
      <c r="M68" s="795">
        <f>BS48</f>
        <v>0</v>
      </c>
      <c r="N68" s="795">
        <f>BT48</f>
        <v>0</v>
      </c>
      <c r="O68" s="795">
        <f>SUM(J68:N68)</f>
        <v>0</v>
      </c>
      <c r="R68" s="457"/>
      <c r="S68" s="457"/>
      <c r="T68" s="457"/>
      <c r="U68" s="2901"/>
      <c r="V68" s="2902"/>
      <c r="W68" s="100"/>
      <c r="X68" s="531"/>
      <c r="Y68" s="109"/>
      <c r="Z68" s="531"/>
      <c r="AA68" s="54"/>
      <c r="AB68" s="755"/>
      <c r="AC68" s="755"/>
      <c r="AD68" s="755"/>
      <c r="AE68" s="755"/>
      <c r="AF68" s="755"/>
      <c r="AG68" s="755"/>
      <c r="AH68" s="54"/>
      <c r="AI68" s="100"/>
      <c r="IL68" s="518"/>
      <c r="JA68" s="505"/>
    </row>
    <row r="69" spans="1:261" ht="12" customHeight="1">
      <c r="A69" s="1664"/>
      <c r="B69" s="1664"/>
      <c r="C69" s="1665"/>
      <c r="D69" s="1665"/>
      <c r="E69" s="1665"/>
      <c r="F69" s="1"/>
      <c r="G69" s="87"/>
      <c r="H69" s="37" t="s">
        <v>120</v>
      </c>
      <c r="I69" s="87"/>
      <c r="J69" s="796">
        <f>BK48</f>
        <v>0</v>
      </c>
      <c r="K69" s="796">
        <f>BL48</f>
        <v>0</v>
      </c>
      <c r="L69" s="796">
        <f>BM48</f>
        <v>0</v>
      </c>
      <c r="M69" s="796">
        <f>BN48</f>
        <v>0</v>
      </c>
      <c r="N69" s="796">
        <f>BO48</f>
        <v>0</v>
      </c>
      <c r="O69" s="800">
        <f>SUM(J69:N69)</f>
        <v>0</v>
      </c>
      <c r="R69" s="457"/>
      <c r="S69" s="457"/>
      <c r="T69" s="457"/>
      <c r="U69" s="2903"/>
      <c r="V69" s="2904"/>
      <c r="W69" s="37"/>
      <c r="X69" s="531"/>
      <c r="Y69" s="109"/>
      <c r="Z69" s="531"/>
      <c r="AA69" s="54"/>
      <c r="AB69" s="755"/>
      <c r="AC69" s="755"/>
      <c r="AD69" s="755"/>
      <c r="AE69" s="755"/>
      <c r="AF69" s="755"/>
      <c r="AG69" s="755"/>
      <c r="AH69" s="54"/>
      <c r="AI69" s="100"/>
      <c r="IL69" s="518"/>
      <c r="JA69" s="505"/>
    </row>
    <row r="70" spans="1:261" ht="12" customHeight="1">
      <c r="A70" s="1664"/>
      <c r="B70" s="1664"/>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6"/>
      <c r="V70" s="2907"/>
      <c r="W70" s="10"/>
      <c r="X70" s="531"/>
      <c r="Y70" s="109"/>
      <c r="Z70" s="531"/>
      <c r="AA70" s="54"/>
      <c r="AB70" s="755"/>
      <c r="AC70" s="755"/>
      <c r="AD70" s="755"/>
      <c r="AE70" s="755"/>
      <c r="AF70" s="755"/>
      <c r="AG70" s="755"/>
      <c r="AH70" s="54"/>
      <c r="AI70" s="100"/>
      <c r="IL70" s="518"/>
      <c r="JA70" s="505"/>
    </row>
    <row r="71" spans="1:261" ht="9" customHeight="1">
      <c r="A71" s="1664"/>
      <c r="B71" s="1664"/>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4"/>
      <c r="B72" s="1664"/>
      <c r="C72" s="1673" t="s">
        <v>40</v>
      </c>
      <c r="D72" s="1673"/>
      <c r="E72" s="109" t="s">
        <v>2375</v>
      </c>
      <c r="F72" s="1"/>
      <c r="G72" s="87"/>
      <c r="H72" s="37" t="s">
        <v>1486</v>
      </c>
      <c r="I72" s="87"/>
      <c r="J72" s="795">
        <f>DD48</f>
        <v>0</v>
      </c>
      <c r="K72" s="795">
        <f>DE48</f>
        <v>0</v>
      </c>
      <c r="L72" s="795">
        <f>DF48</f>
        <v>0</v>
      </c>
      <c r="M72" s="795">
        <f>DG48</f>
        <v>0</v>
      </c>
      <c r="N72" s="795">
        <f>DH48</f>
        <v>0</v>
      </c>
      <c r="O72" s="795">
        <f t="shared" ref="O72:O82" si="264">SUM(J72:N72)</f>
        <v>0</v>
      </c>
      <c r="R72" s="457"/>
      <c r="S72" s="457"/>
      <c r="T72" s="457"/>
      <c r="U72" s="3001"/>
      <c r="V72" s="3002"/>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4"/>
      <c r="B73" s="1664"/>
      <c r="C73" s="1673"/>
      <c r="D73" s="1673"/>
      <c r="E73" s="116"/>
      <c r="F73" s="1"/>
      <c r="G73" s="87"/>
      <c r="H73" s="37" t="s">
        <v>316</v>
      </c>
      <c r="I73" s="87"/>
      <c r="J73" s="797">
        <f>DI48</f>
        <v>0</v>
      </c>
      <c r="K73" s="797">
        <f>DJ48</f>
        <v>0</v>
      </c>
      <c r="L73" s="797">
        <f>DK48</f>
        <v>0</v>
      </c>
      <c r="M73" s="797">
        <f>DL48</f>
        <v>0</v>
      </c>
      <c r="N73" s="797">
        <f>DM48</f>
        <v>0</v>
      </c>
      <c r="O73" s="797">
        <f t="shared" si="264"/>
        <v>0</v>
      </c>
      <c r="R73" s="457"/>
      <c r="S73" s="457"/>
      <c r="T73" s="457"/>
      <c r="U73" s="3003"/>
      <c r="V73" s="3004"/>
      <c r="W73" s="531"/>
      <c r="X73" s="531"/>
      <c r="Y73" s="109"/>
      <c r="Z73" s="531"/>
      <c r="AA73" s="54"/>
      <c r="AB73" s="755"/>
      <c r="AC73" s="755"/>
      <c r="AD73" s="755"/>
      <c r="AE73" s="755"/>
      <c r="AF73" s="755"/>
      <c r="AG73" s="755"/>
      <c r="AH73" s="466"/>
      <c r="AI73" s="100"/>
      <c r="IL73" s="518"/>
      <c r="JA73" s="505"/>
    </row>
    <row r="74" spans="1:261" ht="12" customHeight="1">
      <c r="A74" s="1664"/>
      <c r="B74" s="1664"/>
      <c r="C74" s="1673"/>
      <c r="D74" s="1673"/>
      <c r="E74" s="116"/>
      <c r="F74" s="1"/>
      <c r="G74" s="87"/>
      <c r="H74" s="37" t="s">
        <v>33</v>
      </c>
      <c r="I74" s="87"/>
      <c r="J74" s="798">
        <f>SUM(J72:J73)+DN48</f>
        <v>0</v>
      </c>
      <c r="K74" s="798">
        <f>SUM(K72:K73)+DO48</f>
        <v>0</v>
      </c>
      <c r="L74" s="798">
        <f>SUM(L72:L73)+DP48</f>
        <v>0</v>
      </c>
      <c r="M74" s="798">
        <f>SUM(M72:M73)+DQ48</f>
        <v>0</v>
      </c>
      <c r="N74" s="798">
        <f>SUM(N72:N73)+DR48</f>
        <v>0</v>
      </c>
      <c r="O74" s="798">
        <f t="shared" si="264"/>
        <v>0</v>
      </c>
      <c r="R74" s="457"/>
      <c r="S74" s="457"/>
      <c r="T74" s="457"/>
      <c r="U74" s="3003"/>
      <c r="V74" s="3004"/>
      <c r="W74" s="10"/>
      <c r="X74" s="531"/>
      <c r="Y74" s="109"/>
      <c r="Z74" s="531"/>
      <c r="AA74" s="37"/>
      <c r="AB74" s="755"/>
      <c r="AC74" s="755"/>
      <c r="AD74" s="755"/>
      <c r="AE74" s="755"/>
      <c r="AF74" s="755"/>
      <c r="AG74" s="755"/>
      <c r="AH74" s="54"/>
      <c r="AI74" s="100"/>
      <c r="IL74" s="518"/>
      <c r="JA74" s="505"/>
    </row>
    <row r="75" spans="1:261" ht="12" customHeight="1">
      <c r="A75" s="1664"/>
      <c r="B75" s="1664"/>
      <c r="C75" s="1673"/>
      <c r="D75" s="1673"/>
      <c r="E75" s="109" t="s">
        <v>2215</v>
      </c>
      <c r="F75" s="1"/>
      <c r="G75" s="87"/>
      <c r="H75" s="37" t="s">
        <v>1486</v>
      </c>
      <c r="I75" s="87"/>
      <c r="J75" s="795">
        <f>DS48</f>
        <v>0</v>
      </c>
      <c r="K75" s="795">
        <f>DT48</f>
        <v>10</v>
      </c>
      <c r="L75" s="795">
        <f>DU48</f>
        <v>48</v>
      </c>
      <c r="M75" s="795">
        <f>DV48</f>
        <v>12</v>
      </c>
      <c r="N75" s="795">
        <f>DW48</f>
        <v>0</v>
      </c>
      <c r="O75" s="795">
        <f t="shared" si="264"/>
        <v>70</v>
      </c>
      <c r="R75" s="457"/>
      <c r="S75" s="457"/>
      <c r="T75" s="457"/>
      <c r="U75" s="3003"/>
      <c r="V75" s="3004"/>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4"/>
      <c r="B76" s="1664"/>
      <c r="C76" s="1673"/>
      <c r="D76" s="1673"/>
      <c r="E76" s="116"/>
      <c r="F76" s="1"/>
      <c r="G76" s="87"/>
      <c r="H76" s="37" t="s">
        <v>316</v>
      </c>
      <c r="I76" s="87"/>
      <c r="J76" s="797">
        <f>DX48</f>
        <v>0</v>
      </c>
      <c r="K76" s="797">
        <f>DY48</f>
        <v>0</v>
      </c>
      <c r="L76" s="797">
        <f>DZ48</f>
        <v>0</v>
      </c>
      <c r="M76" s="797">
        <f>EA48</f>
        <v>0</v>
      </c>
      <c r="N76" s="797">
        <f>EB48</f>
        <v>0</v>
      </c>
      <c r="O76" s="797">
        <f t="shared" si="264"/>
        <v>0</v>
      </c>
      <c r="R76" s="457"/>
      <c r="S76" s="457"/>
      <c r="T76" s="457"/>
      <c r="U76" s="3003"/>
      <c r="V76" s="3004"/>
      <c r="W76" s="531"/>
      <c r="X76" s="531"/>
      <c r="Y76" s="109"/>
      <c r="Z76" s="531"/>
      <c r="AA76" s="54"/>
      <c r="AB76" s="755"/>
      <c r="AC76" s="755"/>
      <c r="AD76" s="755"/>
      <c r="AE76" s="755"/>
      <c r="AF76" s="755"/>
      <c r="AG76" s="755"/>
      <c r="AH76" s="466"/>
      <c r="AI76" s="100"/>
      <c r="IL76" s="518"/>
      <c r="JA76" s="505"/>
    </row>
    <row r="77" spans="1:261" ht="12" customHeight="1">
      <c r="A77" s="1664"/>
      <c r="B77" s="1664"/>
      <c r="C77" s="1673"/>
      <c r="D77" s="1673"/>
      <c r="E77" s="116"/>
      <c r="F77" s="1"/>
      <c r="G77" s="87"/>
      <c r="H77" s="37" t="s">
        <v>33</v>
      </c>
      <c r="I77" s="87"/>
      <c r="J77" s="798">
        <f>SUM(J75:J76)+EC48</f>
        <v>0</v>
      </c>
      <c r="K77" s="798">
        <f>SUM(K75:K76)+ED48</f>
        <v>10</v>
      </c>
      <c r="L77" s="798">
        <f>SUM(L75:L76)+EE48</f>
        <v>48</v>
      </c>
      <c r="M77" s="798">
        <f>SUM(M75:M76)+EF48</f>
        <v>12</v>
      </c>
      <c r="N77" s="798">
        <f>SUM(N75:N76)+EG48</f>
        <v>0</v>
      </c>
      <c r="O77" s="798">
        <f t="shared" si="264"/>
        <v>70</v>
      </c>
      <c r="R77" s="457"/>
      <c r="S77" s="457"/>
      <c r="T77" s="457"/>
      <c r="U77" s="3003"/>
      <c r="V77" s="3004"/>
      <c r="W77" s="10"/>
      <c r="X77" s="531"/>
      <c r="Y77" s="109"/>
      <c r="Z77" s="531"/>
      <c r="AA77" s="37"/>
      <c r="AB77" s="755"/>
      <c r="AC77" s="755"/>
      <c r="AD77" s="755"/>
      <c r="AE77" s="755"/>
      <c r="AF77" s="755"/>
      <c r="AG77" s="755"/>
      <c r="AH77" s="54"/>
      <c r="AI77" s="100"/>
      <c r="IL77" s="518"/>
      <c r="JA77" s="505"/>
    </row>
    <row r="78" spans="1:261" ht="12" customHeight="1">
      <c r="A78" s="1664"/>
      <c r="B78" s="1664"/>
      <c r="C78" s="1310"/>
      <c r="D78" s="1"/>
      <c r="E78" s="1674" t="s">
        <v>1473</v>
      </c>
      <c r="F78" s="1674"/>
      <c r="G78" s="87"/>
      <c r="H78" s="37" t="s">
        <v>1486</v>
      </c>
      <c r="I78" s="87"/>
      <c r="J78" s="795">
        <f>EH48</f>
        <v>0</v>
      </c>
      <c r="K78" s="795">
        <f>EI48</f>
        <v>0</v>
      </c>
      <c r="L78" s="795">
        <f>EJ48</f>
        <v>0</v>
      </c>
      <c r="M78" s="795">
        <f>EK48</f>
        <v>0</v>
      </c>
      <c r="N78" s="795">
        <f>EL48</f>
        <v>0</v>
      </c>
      <c r="O78" s="795">
        <f t="shared" si="264"/>
        <v>0</v>
      </c>
      <c r="R78" s="457"/>
      <c r="S78" s="457"/>
      <c r="T78" s="457"/>
      <c r="U78" s="3003"/>
      <c r="V78" s="3004"/>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4"/>
      <c r="B79" s="1664"/>
      <c r="C79" s="1310"/>
      <c r="D79" s="1"/>
      <c r="E79" s="1674"/>
      <c r="F79" s="1674"/>
      <c r="G79" s="87"/>
      <c r="H79" s="37" t="s">
        <v>316</v>
      </c>
      <c r="I79" s="87"/>
      <c r="J79" s="797">
        <f>EM48</f>
        <v>0</v>
      </c>
      <c r="K79" s="797">
        <f>EN48</f>
        <v>0</v>
      </c>
      <c r="L79" s="797">
        <f>EO48</f>
        <v>0</v>
      </c>
      <c r="M79" s="797">
        <f>EP48</f>
        <v>0</v>
      </c>
      <c r="N79" s="797">
        <f>EQ48</f>
        <v>0</v>
      </c>
      <c r="O79" s="797">
        <f t="shared" si="264"/>
        <v>0</v>
      </c>
      <c r="R79" s="457"/>
      <c r="S79" s="457"/>
      <c r="T79" s="457"/>
      <c r="U79" s="3003"/>
      <c r="V79" s="3004"/>
      <c r="W79" s="531"/>
      <c r="X79" s="531"/>
      <c r="Y79" s="531"/>
      <c r="Z79" s="531"/>
      <c r="AA79" s="54"/>
      <c r="AB79" s="755"/>
      <c r="AC79" s="755"/>
      <c r="AD79" s="755"/>
      <c r="AE79" s="755"/>
      <c r="AF79" s="755"/>
      <c r="AG79" s="755"/>
      <c r="AH79" s="466"/>
      <c r="AI79" s="100"/>
      <c r="IL79" s="518"/>
      <c r="JA79" s="505"/>
    </row>
    <row r="80" spans="1:261" ht="12" customHeight="1">
      <c r="A80" s="1664"/>
      <c r="B80" s="1664"/>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3"/>
      <c r="V80" s="3004"/>
      <c r="W80" s="10"/>
      <c r="X80" s="531"/>
      <c r="Y80" s="109"/>
      <c r="Z80" s="531"/>
      <c r="AA80" s="37"/>
      <c r="AB80" s="755"/>
      <c r="AC80" s="755"/>
      <c r="AD80" s="755"/>
      <c r="AE80" s="755"/>
      <c r="AF80" s="755"/>
      <c r="AG80" s="755"/>
      <c r="AH80" s="54"/>
      <c r="AI80" s="100"/>
      <c r="IL80" s="518"/>
      <c r="JA80" s="505"/>
    </row>
    <row r="81" spans="1:261" ht="12" customHeight="1">
      <c r="A81" s="1664"/>
      <c r="B81" s="1664"/>
      <c r="C81" s="1310"/>
      <c r="D81" s="1"/>
      <c r="E81" s="116" t="s">
        <v>379</v>
      </c>
      <c r="F81" s="1"/>
      <c r="G81" s="188"/>
      <c r="H81" s="87"/>
      <c r="I81" s="87"/>
      <c r="J81" s="3005">
        <v>0</v>
      </c>
      <c r="K81" s="3005">
        <v>0</v>
      </c>
      <c r="L81" s="3005">
        <v>0</v>
      </c>
      <c r="M81" s="3005">
        <v>0</v>
      </c>
      <c r="N81" s="3005">
        <v>0</v>
      </c>
      <c r="O81" s="795">
        <f t="shared" si="264"/>
        <v>0</v>
      </c>
      <c r="U81" s="3003"/>
      <c r="V81" s="3004"/>
      <c r="W81" s="531"/>
      <c r="X81" s="531"/>
      <c r="Y81" s="531"/>
      <c r="Z81" s="531"/>
      <c r="AA81" s="54"/>
      <c r="AB81" s="755"/>
      <c r="AC81" s="755"/>
      <c r="AD81" s="755"/>
      <c r="AE81" s="755"/>
      <c r="AF81" s="755"/>
      <c r="AG81" s="755"/>
      <c r="AH81" s="466"/>
      <c r="AI81" s="100"/>
      <c r="IL81" s="518"/>
      <c r="JA81" s="505"/>
    </row>
    <row r="82" spans="1:261" ht="12" customHeight="1">
      <c r="A82" s="1675" t="str">
        <f>IF(AND('Part IV-Uses of Funds'!$T$164="Yes",'Part IX A-Scoring Criteria'!$O$314&gt;0,O82&lt;1),"SHOW HISTORIC UNITS HERE &gt;&gt;&gt;&gt;","")</f>
        <v/>
      </c>
      <c r="B82" s="1675"/>
      <c r="C82" s="1675"/>
      <c r="D82" s="1675"/>
      <c r="E82" s="566" t="s">
        <v>3609</v>
      </c>
      <c r="F82" s="1"/>
      <c r="G82" s="188"/>
      <c r="H82" s="87"/>
      <c r="I82" s="87"/>
      <c r="J82" s="3006">
        <v>0</v>
      </c>
      <c r="K82" s="3006">
        <v>0</v>
      </c>
      <c r="L82" s="3006">
        <v>0</v>
      </c>
      <c r="M82" s="3006">
        <v>0</v>
      </c>
      <c r="N82" s="3006">
        <v>0</v>
      </c>
      <c r="O82" s="797">
        <f t="shared" si="264"/>
        <v>0</v>
      </c>
      <c r="U82" s="3003"/>
      <c r="V82" s="3004"/>
      <c r="W82" s="531"/>
      <c r="X82" s="531"/>
      <c r="Y82" s="531"/>
      <c r="Z82" s="531"/>
      <c r="AA82" s="54"/>
      <c r="AB82" s="755"/>
      <c r="AC82" s="755"/>
      <c r="AD82" s="755"/>
      <c r="AE82" s="755"/>
      <c r="AF82" s="755"/>
      <c r="AG82" s="755"/>
      <c r="AH82" s="466"/>
      <c r="AI82" s="100"/>
      <c r="IL82" s="518"/>
      <c r="JA82" s="505"/>
    </row>
    <row r="83" spans="1:261" ht="9" customHeight="1">
      <c r="A83" s="1417"/>
      <c r="B83" s="1417"/>
      <c r="C83" s="1417"/>
      <c r="D83" s="1417"/>
      <c r="E83" s="566"/>
      <c r="F83" s="1"/>
      <c r="G83" s="188"/>
      <c r="H83" s="87"/>
      <c r="I83" s="87"/>
      <c r="J83" s="37"/>
      <c r="K83" s="37"/>
      <c r="L83" s="37"/>
      <c r="M83" s="37"/>
      <c r="N83" s="37"/>
      <c r="O83" s="37"/>
      <c r="U83" s="3003"/>
      <c r="V83" s="3004"/>
      <c r="W83" s="531"/>
      <c r="X83" s="531"/>
      <c r="Y83" s="531"/>
      <c r="Z83" s="531"/>
      <c r="AA83" s="54"/>
      <c r="AB83" s="755"/>
      <c r="AC83" s="755"/>
      <c r="AD83" s="755"/>
      <c r="AE83" s="755"/>
      <c r="AF83" s="755"/>
      <c r="AG83" s="755"/>
      <c r="AH83" s="466"/>
      <c r="AI83" s="100"/>
      <c r="IL83" s="518"/>
      <c r="JA83" s="505"/>
    </row>
    <row r="84" spans="1:261" ht="12" customHeight="1">
      <c r="A84" s="1417"/>
      <c r="B84" s="1417"/>
      <c r="C84" s="1417"/>
      <c r="D84" s="1417"/>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7"/>
      <c r="V84" s="3008"/>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3" t="s">
        <v>3838</v>
      </c>
      <c r="D86" s="1673"/>
      <c r="E86" s="109" t="s">
        <v>41</v>
      </c>
      <c r="F86" s="1"/>
      <c r="G86" s="188"/>
      <c r="H86" s="87"/>
      <c r="I86" s="87"/>
      <c r="J86" s="813">
        <f t="shared" ref="J86:O86" si="265">SUM(J87:J94)</f>
        <v>0</v>
      </c>
      <c r="K86" s="813">
        <f t="shared" si="265"/>
        <v>10</v>
      </c>
      <c r="L86" s="813">
        <f t="shared" si="265"/>
        <v>48</v>
      </c>
      <c r="M86" s="813">
        <f t="shared" si="265"/>
        <v>12</v>
      </c>
      <c r="N86" s="813">
        <f t="shared" si="265"/>
        <v>0</v>
      </c>
      <c r="O86" s="813">
        <f t="shared" si="265"/>
        <v>70</v>
      </c>
      <c r="R86" s="457"/>
      <c r="S86" s="457"/>
      <c r="T86" s="457"/>
      <c r="U86" s="3001"/>
      <c r="V86" s="3002"/>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3"/>
      <c r="D87" s="1673"/>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3"/>
      <c r="V87" s="3004"/>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3"/>
      <c r="D88" s="1673"/>
      <c r="E88" s="109"/>
      <c r="F88" s="1"/>
      <c r="G88" s="87"/>
      <c r="H88" s="1208" t="s">
        <v>3544</v>
      </c>
      <c r="I88" s="87"/>
      <c r="J88" s="800">
        <f>GU48</f>
        <v>0</v>
      </c>
      <c r="K88" s="800">
        <f>GV48</f>
        <v>0</v>
      </c>
      <c r="L88" s="800">
        <f>GW48</f>
        <v>0</v>
      </c>
      <c r="M88" s="800">
        <f>GX48</f>
        <v>0</v>
      </c>
      <c r="N88" s="800">
        <f>GY48</f>
        <v>0</v>
      </c>
      <c r="O88" s="796">
        <f t="shared" si="266"/>
        <v>0</v>
      </c>
      <c r="R88" s="457"/>
      <c r="S88" s="457"/>
      <c r="T88" s="457"/>
      <c r="U88" s="3003"/>
      <c r="V88" s="3004"/>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3"/>
      <c r="D89" s="1673"/>
      <c r="E89" s="109"/>
      <c r="F89" s="1"/>
      <c r="G89" s="87"/>
      <c r="H89" s="41" t="s">
        <v>2693</v>
      </c>
      <c r="I89" s="87"/>
      <c r="J89" s="800">
        <f>GZ48</f>
        <v>0</v>
      </c>
      <c r="K89" s="800">
        <f>HA48</f>
        <v>10</v>
      </c>
      <c r="L89" s="800">
        <f>HB48</f>
        <v>48</v>
      </c>
      <c r="M89" s="800">
        <f>HC48</f>
        <v>12</v>
      </c>
      <c r="N89" s="800">
        <f>HD48</f>
        <v>0</v>
      </c>
      <c r="O89" s="796">
        <f t="shared" si="266"/>
        <v>70</v>
      </c>
      <c r="R89" s="457"/>
      <c r="S89" s="457"/>
      <c r="T89" s="457"/>
      <c r="U89" s="3003"/>
      <c r="V89" s="3004"/>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3"/>
      <c r="D90" s="1673"/>
      <c r="E90" s="109"/>
      <c r="F90" s="1"/>
      <c r="G90" s="87"/>
      <c r="H90" s="1208" t="s">
        <v>3544</v>
      </c>
      <c r="I90" s="87"/>
      <c r="J90" s="800">
        <f>HE48</f>
        <v>0</v>
      </c>
      <c r="K90" s="800">
        <f>HF48</f>
        <v>0</v>
      </c>
      <c r="L90" s="800">
        <f>HG48</f>
        <v>0</v>
      </c>
      <c r="M90" s="800">
        <f>HH48</f>
        <v>0</v>
      </c>
      <c r="N90" s="800">
        <f>HI48</f>
        <v>0</v>
      </c>
      <c r="O90" s="796">
        <f t="shared" si="266"/>
        <v>0</v>
      </c>
      <c r="R90" s="457"/>
      <c r="S90" s="457"/>
      <c r="T90" s="457"/>
      <c r="U90" s="3003"/>
      <c r="V90" s="3004"/>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3"/>
      <c r="D91" s="1673"/>
      <c r="E91" s="109"/>
      <c r="F91" s="1"/>
      <c r="G91" s="87"/>
      <c r="H91" s="41" t="s">
        <v>2695</v>
      </c>
      <c r="I91" s="87"/>
      <c r="J91" s="800">
        <f>HJ48</f>
        <v>0</v>
      </c>
      <c r="K91" s="800">
        <f>HK48</f>
        <v>0</v>
      </c>
      <c r="L91" s="800">
        <f>HL48</f>
        <v>0</v>
      </c>
      <c r="M91" s="800">
        <f>HM48</f>
        <v>0</v>
      </c>
      <c r="N91" s="800">
        <f>HN48</f>
        <v>0</v>
      </c>
      <c r="O91" s="796">
        <f t="shared" si="266"/>
        <v>0</v>
      </c>
      <c r="R91" s="457"/>
      <c r="S91" s="457"/>
      <c r="T91" s="457"/>
      <c r="U91" s="3003"/>
      <c r="V91" s="3004"/>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3"/>
      <c r="D92" s="1673"/>
      <c r="E92" s="109"/>
      <c r="F92" s="1"/>
      <c r="G92" s="87"/>
      <c r="H92" s="1208" t="s">
        <v>3544</v>
      </c>
      <c r="I92" s="87"/>
      <c r="J92" s="800">
        <f>HO48</f>
        <v>0</v>
      </c>
      <c r="K92" s="800">
        <f>HP48</f>
        <v>0</v>
      </c>
      <c r="L92" s="800">
        <f>HQ48</f>
        <v>0</v>
      </c>
      <c r="M92" s="800">
        <f>HR48</f>
        <v>0</v>
      </c>
      <c r="N92" s="800">
        <f>HS48</f>
        <v>0</v>
      </c>
      <c r="O92" s="796">
        <f t="shared" si="266"/>
        <v>0</v>
      </c>
      <c r="R92" s="457"/>
      <c r="S92" s="457"/>
      <c r="T92" s="457"/>
      <c r="U92" s="3003"/>
      <c r="V92" s="3004"/>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03"/>
      <c r="V93" s="3004"/>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6"/>
        <v>0</v>
      </c>
      <c r="R94" s="457"/>
      <c r="S94" s="457"/>
      <c r="T94" s="457"/>
      <c r="U94" s="3003"/>
      <c r="V94" s="3004"/>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3"/>
      <c r="V95" s="3004"/>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6"/>
        <v>0</v>
      </c>
      <c r="R96" s="457"/>
      <c r="S96" s="457"/>
      <c r="T96" s="457"/>
      <c r="U96" s="3003"/>
      <c r="V96" s="3004"/>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3"/>
      <c r="V97" s="3004"/>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6"/>
        <v>0</v>
      </c>
      <c r="R98" s="457"/>
      <c r="S98" s="457"/>
      <c r="T98" s="457"/>
      <c r="U98" s="3003"/>
      <c r="V98" s="3004"/>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3"/>
      <c r="V99" s="3004"/>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6"/>
        <v>0</v>
      </c>
      <c r="R100" s="457"/>
      <c r="S100" s="457"/>
      <c r="T100" s="457"/>
      <c r="U100" s="3003"/>
      <c r="V100" s="3004"/>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3"/>
      <c r="V101" s="3004"/>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6"/>
        <v>0</v>
      </c>
      <c r="R102" s="457"/>
      <c r="S102" s="457"/>
      <c r="T102" s="457"/>
      <c r="U102" s="3007"/>
      <c r="V102" s="3008"/>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3" t="s">
        <v>4103</v>
      </c>
      <c r="D104" s="1673"/>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1"/>
      <c r="V104" s="3002"/>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3"/>
      <c r="D105" s="1673"/>
      <c r="E105" s="116"/>
      <c r="F105" s="188"/>
      <c r="G105" s="87"/>
      <c r="H105" s="1208"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3"/>
      <c r="V105" s="3004"/>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3"/>
      <c r="D106" s="1673"/>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3"/>
      <c r="V106" s="3004"/>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3"/>
      <c r="D107" s="1673"/>
      <c r="E107" s="116"/>
      <c r="F107" s="188"/>
      <c r="G107" s="87"/>
      <c r="H107" s="1208" t="s">
        <v>3544</v>
      </c>
      <c r="I107" s="87"/>
      <c r="J107" s="805">
        <f>J88+J98</f>
        <v>0</v>
      </c>
      <c r="K107" s="805">
        <f t="shared" si="269"/>
        <v>0</v>
      </c>
      <c r="L107" s="805">
        <f t="shared" si="269"/>
        <v>0</v>
      </c>
      <c r="M107" s="805">
        <f t="shared" si="269"/>
        <v>0</v>
      </c>
      <c r="N107" s="805">
        <f t="shared" si="269"/>
        <v>0</v>
      </c>
      <c r="O107" s="805">
        <f t="shared" si="268"/>
        <v>0</v>
      </c>
      <c r="R107" s="457"/>
      <c r="S107" s="457"/>
      <c r="T107" s="457"/>
      <c r="U107" s="3003"/>
      <c r="V107" s="3004"/>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3"/>
      <c r="D108" s="1673"/>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3"/>
      <c r="V108" s="3004"/>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3"/>
      <c r="D109" s="1673"/>
      <c r="E109" s="116"/>
      <c r="F109" s="188"/>
      <c r="G109" s="87"/>
      <c r="H109" s="1208" t="s">
        <v>3544</v>
      </c>
      <c r="I109" s="87"/>
      <c r="J109" s="805">
        <f>J92</f>
        <v>0</v>
      </c>
      <c r="K109" s="805">
        <f t="shared" si="270"/>
        <v>0</v>
      </c>
      <c r="L109" s="805">
        <f t="shared" si="270"/>
        <v>0</v>
      </c>
      <c r="M109" s="805">
        <f t="shared" si="270"/>
        <v>0</v>
      </c>
      <c r="N109" s="805">
        <f t="shared" si="270"/>
        <v>0</v>
      </c>
      <c r="O109" s="805">
        <f t="shared" si="268"/>
        <v>0</v>
      </c>
      <c r="R109" s="457"/>
      <c r="S109" s="457"/>
      <c r="T109" s="457"/>
      <c r="U109" s="3003"/>
      <c r="V109" s="3004"/>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3"/>
      <c r="D110" s="1673"/>
      <c r="E110" s="116" t="s">
        <v>3542</v>
      </c>
      <c r="F110" s="188"/>
      <c r="G110" s="87"/>
      <c r="H110" s="41"/>
      <c r="I110" s="87"/>
      <c r="J110" s="805">
        <f>J89+J93</f>
        <v>0</v>
      </c>
      <c r="K110" s="805">
        <f t="shared" ref="K110:N111" si="271">K89+K93</f>
        <v>10</v>
      </c>
      <c r="L110" s="805">
        <f t="shared" si="271"/>
        <v>48</v>
      </c>
      <c r="M110" s="805">
        <f t="shared" si="271"/>
        <v>12</v>
      </c>
      <c r="N110" s="805">
        <f t="shared" si="271"/>
        <v>0</v>
      </c>
      <c r="O110" s="805">
        <f t="shared" si="268"/>
        <v>70</v>
      </c>
      <c r="R110" s="457"/>
      <c r="S110" s="457"/>
      <c r="T110" s="457"/>
      <c r="U110" s="3003"/>
      <c r="V110" s="3004"/>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1"/>
        <v>0</v>
      </c>
      <c r="L111" s="806">
        <f t="shared" si="271"/>
        <v>0</v>
      </c>
      <c r="M111" s="806">
        <f t="shared" si="271"/>
        <v>0</v>
      </c>
      <c r="N111" s="806">
        <f t="shared" si="271"/>
        <v>0</v>
      </c>
      <c r="O111" s="806">
        <f t="shared" si="268"/>
        <v>0</v>
      </c>
      <c r="R111" s="457"/>
      <c r="S111" s="457"/>
      <c r="T111" s="457"/>
      <c r="U111" s="3007"/>
      <c r="V111" s="3008"/>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4528</v>
      </c>
      <c r="L113" s="808">
        <f>CB48</f>
        <v>28462</v>
      </c>
      <c r="M113" s="808">
        <f>CC48</f>
        <v>9261</v>
      </c>
      <c r="N113" s="808">
        <f>CD48</f>
        <v>0</v>
      </c>
      <c r="O113" s="808">
        <f t="shared" ref="O113:O119" si="272">SUM(J113:N113)</f>
        <v>42251</v>
      </c>
      <c r="R113" s="457"/>
      <c r="S113" s="457"/>
      <c r="T113" s="457"/>
      <c r="U113" s="2901"/>
      <c r="V113" s="2902"/>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1132</v>
      </c>
      <c r="L114" s="809">
        <f>CG48</f>
        <v>7490</v>
      </c>
      <c r="M114" s="809">
        <f>CH48</f>
        <v>3087</v>
      </c>
      <c r="N114" s="809">
        <f>CI48</f>
        <v>0</v>
      </c>
      <c r="O114" s="809">
        <f t="shared" si="272"/>
        <v>11709</v>
      </c>
      <c r="R114" s="457"/>
      <c r="S114" s="457"/>
      <c r="T114" s="457"/>
      <c r="U114" s="2903"/>
      <c r="V114" s="2904"/>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5660</v>
      </c>
      <c r="L115" s="808">
        <f>SUM(L113:L114)</f>
        <v>35952</v>
      </c>
      <c r="M115" s="808">
        <f>SUM(M113:M114)</f>
        <v>12348</v>
      </c>
      <c r="N115" s="808">
        <f>SUM(N113:N114)</f>
        <v>0</v>
      </c>
      <c r="O115" s="808">
        <f t="shared" si="272"/>
        <v>53960</v>
      </c>
      <c r="R115" s="457"/>
      <c r="S115" s="457"/>
      <c r="T115" s="457"/>
      <c r="U115" s="2903"/>
      <c r="V115" s="2904"/>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03"/>
      <c r="V116" s="2904"/>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5660</v>
      </c>
      <c r="L117" s="808">
        <f>SUM(L115:L116)</f>
        <v>35952</v>
      </c>
      <c r="M117" s="808">
        <f>SUM(M115:M116)</f>
        <v>12348</v>
      </c>
      <c r="N117" s="808">
        <f>SUM(N115:N116)</f>
        <v>0</v>
      </c>
      <c r="O117" s="808">
        <f t="shared" si="272"/>
        <v>53960</v>
      </c>
      <c r="R117" s="457"/>
      <c r="S117" s="457"/>
      <c r="T117" s="457"/>
      <c r="U117" s="2903"/>
      <c r="V117" s="2904"/>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3"/>
      <c r="V118" s="2904"/>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5660</v>
      </c>
      <c r="L119" s="811">
        <f>SUM(L117:L118)</f>
        <v>35952</v>
      </c>
      <c r="M119" s="811">
        <f>SUM(M117:M118)</f>
        <v>12348</v>
      </c>
      <c r="N119" s="811">
        <f>SUM(N117:N118)</f>
        <v>0</v>
      </c>
      <c r="O119" s="811">
        <f t="shared" si="272"/>
        <v>53960</v>
      </c>
      <c r="R119" s="457"/>
      <c r="S119" s="457"/>
      <c r="T119" s="457"/>
      <c r="U119" s="2906"/>
      <c r="V119" s="2907"/>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09">
        <f>'Part VII-Pro Forma'!B9*L49</f>
        <v>9977.2800000000007</v>
      </c>
      <c r="I122" s="3010"/>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1"/>
      <c r="H126" s="3011"/>
      <c r="I126" s="3011"/>
      <c r="J126" s="3011"/>
      <c r="K126" s="3012"/>
      <c r="L126" s="3011"/>
      <c r="M126" s="3011"/>
      <c r="N126" s="3011"/>
      <c r="O126" s="3011"/>
      <c r="P126" s="3011"/>
      <c r="Q126" s="1166"/>
      <c r="U126" s="2901"/>
      <c r="V126" s="2902"/>
    </row>
    <row r="127" spans="1:263" ht="11.25" customHeight="1">
      <c r="B127" s="116" t="s">
        <v>771</v>
      </c>
      <c r="C127" s="3013"/>
      <c r="D127" s="3014"/>
      <c r="E127" s="3014"/>
      <c r="F127" s="3015"/>
      <c r="G127" s="3016"/>
      <c r="H127" s="3016"/>
      <c r="I127" s="3016"/>
      <c r="J127" s="3016"/>
      <c r="K127" s="3017"/>
      <c r="L127" s="3016"/>
      <c r="M127" s="3016"/>
      <c r="N127" s="3016"/>
      <c r="O127" s="3016"/>
      <c r="P127" s="3016"/>
      <c r="Q127" s="1166"/>
      <c r="U127" s="2903"/>
      <c r="V127" s="2904"/>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6"/>
      <c r="V128" s="2907"/>
    </row>
    <row r="129" spans="2:22" ht="11.25" customHeight="1">
      <c r="B129" s="1323" t="s">
        <v>4108</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1"/>
      <c r="H130" s="3011"/>
      <c r="I130" s="3011"/>
      <c r="J130" s="3011"/>
      <c r="K130" s="3012"/>
      <c r="L130" s="3011"/>
      <c r="M130" s="3011"/>
      <c r="N130" s="3011"/>
      <c r="O130" s="3011"/>
      <c r="P130" s="3011"/>
      <c r="Q130" s="1166"/>
      <c r="U130" s="2901"/>
      <c r="V130" s="2902"/>
    </row>
    <row r="131" spans="2:22" ht="11.25" customHeight="1">
      <c r="B131" s="116" t="s">
        <v>771</v>
      </c>
      <c r="C131" s="3013"/>
      <c r="D131" s="3014"/>
      <c r="E131" s="3014"/>
      <c r="F131" s="3015"/>
      <c r="G131" s="3016"/>
      <c r="H131" s="3016"/>
      <c r="I131" s="3016"/>
      <c r="J131" s="3016"/>
      <c r="K131" s="3017"/>
      <c r="L131" s="3016"/>
      <c r="M131" s="3016"/>
      <c r="N131" s="3016"/>
      <c r="O131" s="3016"/>
      <c r="P131" s="3016"/>
      <c r="Q131" s="1166"/>
      <c r="U131" s="2903"/>
      <c r="V131" s="2904"/>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6"/>
      <c r="V132" s="2907"/>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1"/>
      <c r="H135" s="3011"/>
      <c r="I135" s="3011"/>
      <c r="J135" s="3011"/>
      <c r="K135" s="3012"/>
      <c r="L135" s="3011"/>
      <c r="M135" s="3011"/>
      <c r="N135" s="3011"/>
      <c r="O135" s="3011"/>
      <c r="P135" s="3011"/>
      <c r="Q135" s="1166"/>
      <c r="U135" s="2901"/>
      <c r="V135" s="2902"/>
    </row>
    <row r="136" spans="2:22" ht="11.25" customHeight="1">
      <c r="B136" s="116" t="s">
        <v>771</v>
      </c>
      <c r="C136" s="3013"/>
      <c r="D136" s="3014"/>
      <c r="E136" s="3014"/>
      <c r="F136" s="3015"/>
      <c r="G136" s="3016"/>
      <c r="H136" s="3016"/>
      <c r="I136" s="3016"/>
      <c r="J136" s="3016"/>
      <c r="K136" s="3017"/>
      <c r="L136" s="3016"/>
      <c r="M136" s="3016"/>
      <c r="N136" s="3016"/>
      <c r="O136" s="3016"/>
      <c r="P136" s="3016"/>
      <c r="Q136" s="1166"/>
      <c r="U136" s="2903"/>
      <c r="V136" s="2904"/>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6"/>
      <c r="V137" s="2907"/>
    </row>
    <row r="138" spans="2:22" ht="11.25" customHeight="1">
      <c r="B138" s="1323" t="s">
        <v>4108</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1"/>
      <c r="H139" s="3011"/>
      <c r="I139" s="3011"/>
      <c r="J139" s="3011"/>
      <c r="K139" s="3012"/>
      <c r="L139" s="3011"/>
      <c r="M139" s="3011"/>
      <c r="N139" s="3011"/>
      <c r="O139" s="3011"/>
      <c r="P139" s="3011"/>
      <c r="Q139" s="1166"/>
      <c r="U139" s="2901"/>
      <c r="V139" s="2902"/>
    </row>
    <row r="140" spans="2:22" ht="11.25" customHeight="1">
      <c r="B140" s="116" t="s">
        <v>771</v>
      </c>
      <c r="C140" s="3013"/>
      <c r="D140" s="3014"/>
      <c r="E140" s="3014"/>
      <c r="F140" s="3015"/>
      <c r="G140" s="3016"/>
      <c r="H140" s="3016"/>
      <c r="I140" s="3016"/>
      <c r="J140" s="3016"/>
      <c r="K140" s="3017"/>
      <c r="L140" s="3016"/>
      <c r="M140" s="3016"/>
      <c r="N140" s="3016"/>
      <c r="O140" s="3016"/>
      <c r="P140" s="3016"/>
      <c r="Q140" s="1166"/>
      <c r="U140" s="2903"/>
      <c r="V140" s="2904"/>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6"/>
      <c r="V141" s="2907"/>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1"/>
      <c r="H144" s="3011"/>
      <c r="I144" s="3011"/>
      <c r="J144" s="3011"/>
      <c r="K144" s="3012"/>
      <c r="L144" s="3011"/>
      <c r="M144" s="3011"/>
      <c r="N144" s="3011"/>
      <c r="O144" s="3011"/>
      <c r="P144" s="3011"/>
      <c r="Q144" s="1166"/>
      <c r="U144" s="2901"/>
      <c r="V144" s="2902"/>
    </row>
    <row r="145" spans="2:22" ht="11.25" customHeight="1">
      <c r="B145" s="116" t="s">
        <v>771</v>
      </c>
      <c r="C145" s="3013"/>
      <c r="D145" s="3014"/>
      <c r="E145" s="3014"/>
      <c r="F145" s="3015"/>
      <c r="G145" s="3016"/>
      <c r="H145" s="3016"/>
      <c r="I145" s="3016"/>
      <c r="J145" s="3016"/>
      <c r="K145" s="3017"/>
      <c r="L145" s="3016"/>
      <c r="M145" s="3016"/>
      <c r="N145" s="3016"/>
      <c r="O145" s="3016"/>
      <c r="P145" s="3016"/>
      <c r="Q145" s="1166"/>
      <c r="U145" s="2903"/>
      <c r="V145" s="2904"/>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6"/>
      <c r="V146" s="2907"/>
    </row>
    <row r="147" spans="2:22" ht="11.25" customHeight="1">
      <c r="B147" s="1323" t="s">
        <v>4108</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1"/>
      <c r="H148" s="3011"/>
      <c r="I148" s="3011"/>
      <c r="J148" s="3011"/>
      <c r="K148" s="3012"/>
      <c r="L148" s="3011"/>
      <c r="M148" s="3011"/>
      <c r="N148" s="3011"/>
      <c r="O148" s="3011"/>
      <c r="P148" s="3011"/>
      <c r="Q148" s="1166"/>
      <c r="U148" s="2901"/>
      <c r="V148" s="2902"/>
    </row>
    <row r="149" spans="2:22" ht="11.25" customHeight="1">
      <c r="B149" s="116" t="s">
        <v>771</v>
      </c>
      <c r="C149" s="3013"/>
      <c r="D149" s="3014"/>
      <c r="E149" s="3014"/>
      <c r="F149" s="3015"/>
      <c r="G149" s="3016"/>
      <c r="H149" s="3016"/>
      <c r="I149" s="3016"/>
      <c r="J149" s="3016"/>
      <c r="K149" s="3017"/>
      <c r="L149" s="3016"/>
      <c r="M149" s="3016"/>
      <c r="N149" s="3016"/>
      <c r="O149" s="3016"/>
      <c r="P149" s="3016"/>
      <c r="Q149" s="1166"/>
      <c r="U149" s="2903"/>
      <c r="V149" s="2904"/>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6"/>
      <c r="V150" s="2907"/>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1"/>
      <c r="H153" s="3011"/>
      <c r="I153" s="3011"/>
      <c r="J153" s="3011"/>
      <c r="K153" s="3012"/>
      <c r="L153" s="95"/>
      <c r="M153" s="95"/>
      <c r="N153" s="95"/>
      <c r="O153" s="95"/>
      <c r="P153" s="95"/>
      <c r="Q153" s="8"/>
      <c r="U153" s="2901"/>
      <c r="V153" s="2902"/>
    </row>
    <row r="154" spans="2:22" ht="11.25" customHeight="1">
      <c r="B154" s="116" t="s">
        <v>771</v>
      </c>
      <c r="C154" s="3013"/>
      <c r="D154" s="3014"/>
      <c r="E154" s="3014"/>
      <c r="F154" s="3015"/>
      <c r="G154" s="3016"/>
      <c r="H154" s="3016"/>
      <c r="I154" s="3016"/>
      <c r="J154" s="3016"/>
      <c r="K154" s="3017"/>
      <c r="L154" s="95"/>
      <c r="M154" s="95"/>
      <c r="N154" s="95"/>
      <c r="O154" s="95"/>
      <c r="P154" s="95"/>
      <c r="Q154" s="8"/>
      <c r="U154" s="2903"/>
      <c r="V154" s="2904"/>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6"/>
      <c r="V155" s="2907"/>
    </row>
    <row r="156" spans="2:22" ht="11.25" customHeight="1">
      <c r="B156" s="1323" t="s">
        <v>4108</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1"/>
      <c r="H157" s="3011"/>
      <c r="I157" s="3011"/>
      <c r="J157" s="3011"/>
      <c r="K157" s="3012"/>
      <c r="L157" s="95"/>
      <c r="M157" s="95"/>
      <c r="N157" s="95"/>
      <c r="O157" s="95"/>
      <c r="P157" s="95"/>
      <c r="Q157" s="8"/>
      <c r="U157" s="2901"/>
      <c r="V157" s="2902"/>
    </row>
    <row r="158" spans="2:22" ht="11.25" customHeight="1">
      <c r="B158" s="116" t="s">
        <v>771</v>
      </c>
      <c r="C158" s="3013"/>
      <c r="D158" s="3014"/>
      <c r="E158" s="3014"/>
      <c r="F158" s="3015"/>
      <c r="G158" s="3016"/>
      <c r="H158" s="3016"/>
      <c r="I158" s="3016"/>
      <c r="J158" s="3016"/>
      <c r="K158" s="3017"/>
      <c r="L158" s="95"/>
      <c r="M158" s="95"/>
      <c r="N158" s="95"/>
      <c r="O158" s="95"/>
      <c r="P158" s="95"/>
      <c r="Q158" s="8"/>
      <c r="U158" s="2903"/>
      <c r="V158" s="2904"/>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6"/>
      <c r="V159" s="290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0" t="s">
        <v>1915</v>
      </c>
      <c r="V162" s="167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1"/>
      <c r="V163" s="290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8">
        <v>31905</v>
      </c>
      <c r="G164" s="3019"/>
      <c r="H164" s="1"/>
      <c r="I164" s="1" t="s">
        <v>1428</v>
      </c>
      <c r="J164" s="1"/>
      <c r="K164" s="3018">
        <v>0</v>
      </c>
      <c r="L164" s="3019"/>
      <c r="M164" s="1"/>
      <c r="N164" s="1" t="s">
        <v>962</v>
      </c>
      <c r="O164" s="1"/>
      <c r="P164" s="3020">
        <v>31453.11</v>
      </c>
      <c r="Q164" s="1166"/>
      <c r="U164" s="2903"/>
      <c r="V164" s="290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8">
        <v>30909</v>
      </c>
      <c r="G165" s="3019"/>
      <c r="H165" s="1"/>
      <c r="I165" s="1" t="s">
        <v>1429</v>
      </c>
      <c r="J165" s="1"/>
      <c r="K165" s="3018">
        <v>0</v>
      </c>
      <c r="L165" s="3019"/>
      <c r="M165" s="1"/>
      <c r="N165" s="1" t="s">
        <v>152</v>
      </c>
      <c r="O165" s="1"/>
      <c r="P165" s="3020">
        <v>32710</v>
      </c>
      <c r="Q165" s="1166"/>
      <c r="U165" s="2903"/>
      <c r="V165" s="290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8">
        <v>16349</v>
      </c>
      <c r="G166" s="3019"/>
      <c r="H166" s="1"/>
      <c r="I166" s="1"/>
      <c r="J166" s="132" t="s">
        <v>197</v>
      </c>
      <c r="K166" s="1668">
        <f>SUM(K164:L165)</f>
        <v>0</v>
      </c>
      <c r="L166" s="1669"/>
      <c r="M166" s="1"/>
      <c r="N166" s="3021" t="s">
        <v>53</v>
      </c>
      <c r="O166" s="3022"/>
      <c r="P166" s="3023">
        <v>0</v>
      </c>
      <c r="Q166" s="1166"/>
      <c r="U166" s="2903"/>
      <c r="V166" s="290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4" t="s">
        <v>4284</v>
      </c>
      <c r="C167" s="3025"/>
      <c r="D167" s="3025"/>
      <c r="E167" s="3026"/>
      <c r="F167" s="3027">
        <v>7652</v>
      </c>
      <c r="G167" s="3028"/>
      <c r="H167" s="1"/>
      <c r="I167" s="1"/>
      <c r="J167" s="1"/>
      <c r="K167" s="1"/>
      <c r="L167" s="1"/>
      <c r="M167" s="1"/>
      <c r="N167" s="12" t="s">
        <v>197</v>
      </c>
      <c r="O167" s="1"/>
      <c r="P167" s="454">
        <f>SUM(P164:P166)</f>
        <v>64163.11</v>
      </c>
      <c r="Q167" s="1166"/>
      <c r="U167" s="2903"/>
      <c r="V167" s="290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8">
        <f>SUM(F164:G167)</f>
        <v>86815</v>
      </c>
      <c r="G168" s="1669"/>
      <c r="H168" s="1"/>
      <c r="I168" s="1"/>
      <c r="J168" s="13"/>
      <c r="K168" s="1"/>
      <c r="L168" s="1"/>
      <c r="M168" s="1"/>
      <c r="N168" s="1"/>
      <c r="O168" s="1"/>
      <c r="P168" s="1"/>
      <c r="Q168" s="1"/>
      <c r="U168" s="2903"/>
      <c r="V168" s="290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3"/>
      <c r="V169" s="290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46265</v>
      </c>
      <c r="Q170" s="1167"/>
      <c r="U170" s="2903"/>
      <c r="V170" s="290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8">
        <v>8500</v>
      </c>
      <c r="G171" s="3019"/>
      <c r="H171" s="1"/>
      <c r="I171" s="1" t="s">
        <v>1660</v>
      </c>
      <c r="J171" s="1"/>
      <c r="K171" s="3029">
        <v>2000</v>
      </c>
      <c r="L171" s="3030"/>
      <c r="M171" s="1"/>
      <c r="N171" s="439">
        <f>+P170/(O62*0.93)</f>
        <v>710.67588325652832</v>
      </c>
      <c r="O171" s="71" t="s">
        <v>2871</v>
      </c>
      <c r="P171" s="1"/>
      <c r="Q171" s="1"/>
      <c r="U171" s="2903"/>
      <c r="V171" s="290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8">
        <v>3120</v>
      </c>
      <c r="G172" s="3019"/>
      <c r="H172" s="1"/>
      <c r="I172" s="1" t="s">
        <v>2127</v>
      </c>
      <c r="J172" s="1"/>
      <c r="K172" s="3031">
        <v>8400</v>
      </c>
      <c r="L172" s="3032"/>
      <c r="M172" s="1"/>
      <c r="N172" s="439">
        <f>+P170/(O62*0.93)/12</f>
        <v>59.222990271377363</v>
      </c>
      <c r="O172" s="71" t="s">
        <v>2872</v>
      </c>
      <c r="P172" s="1"/>
      <c r="Q172" s="1"/>
      <c r="U172" s="2903"/>
      <c r="V172" s="290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8">
        <v>1150</v>
      </c>
      <c r="G173" s="3019"/>
      <c r="H173" s="1"/>
      <c r="I173" s="1" t="s">
        <v>1661</v>
      </c>
      <c r="J173" s="1"/>
      <c r="K173" s="3031">
        <v>500</v>
      </c>
      <c r="L173" s="3032"/>
      <c r="M173" s="1"/>
      <c r="N173" s="1671" t="s">
        <v>2546</v>
      </c>
      <c r="O173" s="1672"/>
      <c r="P173" s="1672"/>
      <c r="Q173" s="1418"/>
      <c r="U173" s="2903"/>
      <c r="V173" s="290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8">
        <v>0</v>
      </c>
      <c r="G174" s="3019"/>
      <c r="H174" s="1"/>
      <c r="I174" s="3021" t="s">
        <v>53</v>
      </c>
      <c r="J174" s="3022"/>
      <c r="K174" s="3029">
        <v>0</v>
      </c>
      <c r="L174" s="3030"/>
      <c r="M174" s="1"/>
      <c r="N174" s="1672"/>
      <c r="O174" s="1672"/>
      <c r="P174" s="1672"/>
      <c r="Q174" s="1418"/>
      <c r="U174" s="2903"/>
      <c r="V174" s="290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8">
        <v>0</v>
      </c>
      <c r="G175" s="3019"/>
      <c r="H175" s="1"/>
      <c r="I175" s="10"/>
      <c r="J175" s="12" t="s">
        <v>197</v>
      </c>
      <c r="K175" s="1666">
        <f>SUM(K171:K174)</f>
        <v>10900</v>
      </c>
      <c r="L175" s="1667"/>
      <c r="M175" s="1"/>
      <c r="U175" s="2906"/>
      <c r="V175" s="290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4" t="s">
        <v>53</v>
      </c>
      <c r="C176" s="3025"/>
      <c r="D176" s="3025"/>
      <c r="E176" s="3026"/>
      <c r="F176" s="3027">
        <v>0</v>
      </c>
      <c r="G176" s="3028"/>
      <c r="H176" s="1"/>
      <c r="I176" s="1"/>
      <c r="J176" s="13"/>
      <c r="K176" s="1"/>
      <c r="L176" s="1"/>
      <c r="M176" s="1"/>
      <c r="N176" s="10" t="s">
        <v>2265</v>
      </c>
      <c r="O176" s="5"/>
      <c r="P176" s="452">
        <f>F168+F177+F188+K166+K175+K185+P167+P170</f>
        <v>309173.11</v>
      </c>
      <c r="Q176" s="1166"/>
      <c r="U176" s="2901"/>
      <c r="V176" s="290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8">
        <f>SUM(F171:G176)</f>
        <v>12770</v>
      </c>
      <c r="G177" s="1669"/>
      <c r="H177" s="1"/>
      <c r="I177" s="1"/>
      <c r="J177" s="13"/>
      <c r="K177" s="1"/>
      <c r="L177" s="1"/>
      <c r="M177" s="1"/>
      <c r="N177" s="439">
        <f>+P176/O62</f>
        <v>4416.7587142857137</v>
      </c>
      <c r="O177" s="71" t="s">
        <v>2873</v>
      </c>
      <c r="U177" s="2903"/>
      <c r="V177" s="290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3"/>
      <c r="V178" s="290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3" t="s">
        <v>2870</v>
      </c>
      <c r="K179" s="1"/>
      <c r="L179" s="1"/>
      <c r="M179" s="1"/>
      <c r="N179" s="10" t="s">
        <v>3751</v>
      </c>
      <c r="O179" s="10"/>
      <c r="P179" s="453">
        <f>P180*O62</f>
        <v>24500</v>
      </c>
      <c r="Q179" s="1167"/>
      <c r="U179" s="2903"/>
      <c r="V179" s="290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3">
        <v>7500</v>
      </c>
      <c r="G180" s="3034"/>
      <c r="H180" s="1"/>
      <c r="I180" s="1" t="s">
        <v>1418</v>
      </c>
      <c r="J180" s="522">
        <f>K180/12/O62</f>
        <v>16.428571428571427</v>
      </c>
      <c r="K180" s="3031">
        <v>13800</v>
      </c>
      <c r="L180" s="3032"/>
      <c r="M180" s="1"/>
      <c r="N180" s="109" t="s">
        <v>3752</v>
      </c>
      <c r="O180" s="1"/>
      <c r="P180" s="3035">
        <f>N181</f>
        <v>350</v>
      </c>
      <c r="Q180" s="3036"/>
      <c r="U180" s="2903"/>
      <c r="V180" s="290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3">
        <v>1000</v>
      </c>
      <c r="G181" s="3034"/>
      <c r="H181" s="1"/>
      <c r="I181" s="1" t="s">
        <v>1419</v>
      </c>
      <c r="J181" s="522">
        <f>K181/12/O62</f>
        <v>1.0714285714285714</v>
      </c>
      <c r="K181" s="3031">
        <v>900</v>
      </c>
      <c r="L181" s="3032"/>
      <c r="M181" s="1"/>
      <c r="N181" s="847">
        <f>ROUND(P188/O62,0)</f>
        <v>350</v>
      </c>
      <c r="O181" s="71" t="s">
        <v>2873</v>
      </c>
      <c r="R181" s="846"/>
      <c r="U181" s="2903"/>
      <c r="V181" s="290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3">
        <v>13250</v>
      </c>
      <c r="G182" s="3034"/>
      <c r="H182" s="1"/>
      <c r="I182" s="1" t="s">
        <v>2434</v>
      </c>
      <c r="J182" s="522">
        <f>K182/12/O62</f>
        <v>43.714285714285715</v>
      </c>
      <c r="K182" s="3031">
        <v>36720</v>
      </c>
      <c r="L182" s="3032"/>
      <c r="M182" s="1"/>
      <c r="N182" s="854" t="s">
        <v>2820</v>
      </c>
      <c r="O182" s="855" t="s">
        <v>3678</v>
      </c>
      <c r="P182" s="856" t="s">
        <v>3679</v>
      </c>
      <c r="Q182" s="1162"/>
      <c r="U182" s="2903"/>
      <c r="V182" s="290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8">
        <v>2990</v>
      </c>
      <c r="G183" s="3019"/>
      <c r="H183" s="1"/>
      <c r="I183" s="1" t="s">
        <v>1421</v>
      </c>
      <c r="J183" s="1"/>
      <c r="K183" s="3031">
        <v>8100</v>
      </c>
      <c r="L183" s="3032"/>
      <c r="M183" s="1"/>
      <c r="N183" s="857" t="s">
        <v>41</v>
      </c>
      <c r="O183" s="858"/>
      <c r="P183" s="859"/>
      <c r="Q183" s="858"/>
      <c r="U183" s="2903"/>
      <c r="V183" s="290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8">
        <v>1500</v>
      </c>
      <c r="G184" s="3019"/>
      <c r="H184" s="1"/>
      <c r="I184" s="3021" t="s">
        <v>53</v>
      </c>
      <c r="J184" s="3022"/>
      <c r="K184" s="3029">
        <v>0</v>
      </c>
      <c r="L184" s="3030"/>
      <c r="M184" s="1"/>
      <c r="N184" s="570" t="s">
        <v>3670</v>
      </c>
      <c r="O184" s="1171" t="str">
        <f>CONCATENATE(SUM(JC48:JG48)," units x $",'DCA Underwriting Assumptions'!$Q$62," =")</f>
        <v>70 units x $350 =</v>
      </c>
      <c r="P184" s="860">
        <f>SUM(JC48:JG48)*'DCA Underwriting Assumptions'!$Q$62</f>
        <v>24500</v>
      </c>
      <c r="Q184" s="1171"/>
      <c r="U184" s="2903"/>
      <c r="V184" s="290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8">
        <v>0</v>
      </c>
      <c r="G185" s="3019"/>
      <c r="H185" s="1"/>
      <c r="I185" s="1"/>
      <c r="J185" s="12" t="s">
        <v>197</v>
      </c>
      <c r="K185" s="1666">
        <f>SUM(K180:K184)</f>
        <v>59520</v>
      </c>
      <c r="L185" s="1667"/>
      <c r="M185" s="1"/>
      <c r="N185" s="570" t="s">
        <v>3669</v>
      </c>
      <c r="O185" s="1171" t="str">
        <f>CONCATENATE(SUM(JH48:JL48)," units x $",'DCA Underwriting Assumptions'!$Q$63," =")</f>
        <v>0 units x $250 =</v>
      </c>
      <c r="P185" s="860">
        <f>SUM(JH48:JL48)*'DCA Underwriting Assumptions'!$Q$63</f>
        <v>0</v>
      </c>
      <c r="Q185" s="1171"/>
      <c r="U185" s="2903"/>
      <c r="V185" s="290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8">
        <v>2500</v>
      </c>
      <c r="G186" s="3019"/>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3"/>
      <c r="V186" s="290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4" t="s">
        <v>53</v>
      </c>
      <c r="C187" s="3025"/>
      <c r="D187" s="3025"/>
      <c r="E187" s="3026"/>
      <c r="F187" s="3027">
        <v>0</v>
      </c>
      <c r="G187" s="3028"/>
      <c r="H187" s="1"/>
      <c r="I187" s="1"/>
      <c r="J187" s="13"/>
      <c r="K187" s="1"/>
      <c r="L187" s="1"/>
      <c r="M187" s="1"/>
      <c r="N187" s="861" t="s">
        <v>3668</v>
      </c>
      <c r="O187" s="1171" t="str">
        <f>CONCATENATE(O84," units x $",'DCA Underwriting Assumptions'!$Q$64," =")</f>
        <v>0 units x $420 =</v>
      </c>
      <c r="P187" s="860">
        <f>O84*'DCA Underwriting Assumptions'!$Q$64</f>
        <v>0</v>
      </c>
      <c r="Q187" s="1171"/>
      <c r="U187" s="2903"/>
      <c r="V187" s="290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2">
        <f>SUM(F180:G187)</f>
        <v>28740</v>
      </c>
      <c r="G188" s="1663"/>
      <c r="H188" s="1"/>
      <c r="I188" s="1"/>
      <c r="J188" s="13"/>
      <c r="K188" s="1"/>
      <c r="L188" s="1"/>
      <c r="M188" s="1"/>
      <c r="N188" s="862" t="s">
        <v>2823</v>
      </c>
      <c r="O188" s="863">
        <f>SUM(JC48:JG48)+SUM(JH48:JL48)+SUM(JM48:JQ48)+O84</f>
        <v>70</v>
      </c>
      <c r="P188" s="864">
        <f>SUM(P184:P187)</f>
        <v>24500</v>
      </c>
      <c r="Q188" s="1171"/>
      <c r="U188" s="2906"/>
      <c r="V188" s="290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333673.11</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2" t="s">
        <v>4286</v>
      </c>
      <c r="B192" s="2733"/>
      <c r="C192" s="2733"/>
      <c r="D192" s="2733"/>
      <c r="E192" s="2733"/>
      <c r="F192" s="2733"/>
      <c r="G192" s="2733"/>
      <c r="H192" s="2733"/>
      <c r="I192" s="2733"/>
      <c r="J192" s="2734"/>
      <c r="K192" s="2735"/>
      <c r="L192" s="2736"/>
      <c r="M192" s="2736"/>
      <c r="N192" s="2736"/>
      <c r="O192" s="2736"/>
      <c r="P192" s="2737"/>
      <c r="Q192" s="1387"/>
      <c r="U192" s="1534" t="s">
        <v>2796</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btNFt1O59Q9dY+R3lqztDQWq0bZ5n5fhbOw2OeaCeBUMPGBCR5Q1X/GyJXiajD81KrUXtyGTloi80ZHM3O7WqQ==" saltValue="ZTaiSmo1HaWaTRSvvEnQlg=="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2016-079 The Pines Apartments, St. Marys, Camden County</v>
      </c>
      <c r="B1" s="3037"/>
      <c r="C1" s="3037"/>
      <c r="D1" s="3037"/>
      <c r="E1" s="3037"/>
      <c r="F1" s="3037"/>
      <c r="G1" s="3037"/>
      <c r="H1" s="3037"/>
      <c r="I1" s="3037"/>
      <c r="J1" s="3037"/>
      <c r="K1" s="3038"/>
      <c r="L1" s="10"/>
      <c r="M1" s="1692" t="str">
        <f>A1</f>
        <v>PART SEVEN - OPERATING PRO FORMA  -  2016-079 The Pines Apartments, St. Marys, Camden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3747</v>
      </c>
      <c r="E5" s="1695"/>
      <c r="F5" s="1695"/>
      <c r="G5" s="3039">
        <v>3500</v>
      </c>
      <c r="H5" s="102" t="s">
        <v>1981</v>
      </c>
      <c r="K5" s="107">
        <f>IF(($B$14+$B$15+$B$16+$B$17)=0,"",B28/($B$14+$B$15+$B$16+$B$17))</f>
        <v>-7.3960997429592459E-3</v>
      </c>
      <c r="M5" s="2901"/>
      <c r="N5" s="2902"/>
    </row>
    <row r="6" spans="1:15">
      <c r="A6" s="17" t="s">
        <v>2268</v>
      </c>
      <c r="B6" s="82">
        <v>0.03</v>
      </c>
      <c r="C6" s="17"/>
      <c r="D6" s="1695"/>
      <c r="E6" s="1695"/>
      <c r="F6" s="1695"/>
      <c r="G6" s="17"/>
      <c r="H6" s="17"/>
      <c r="I6" s="17"/>
      <c r="J6" s="17"/>
      <c r="K6" s="17"/>
      <c r="M6" s="2903"/>
      <c r="N6" s="2904"/>
    </row>
    <row r="7" spans="1:15">
      <c r="A7" s="17" t="s">
        <v>2270</v>
      </c>
      <c r="B7" s="82">
        <v>0.03</v>
      </c>
      <c r="C7" s="17"/>
      <c r="D7" s="84" t="s">
        <v>282</v>
      </c>
      <c r="G7" s="86"/>
      <c r="H7" s="102" t="s">
        <v>2459</v>
      </c>
      <c r="K7" s="107">
        <f>IF(($B$14+$B$15+$B$16+$B$17)=0,"",-B20/($B$14+$B$15+$B$16+$B$17))</f>
        <v>9.7765872745145574E-2</v>
      </c>
      <c r="M7" s="2903"/>
      <c r="N7" s="2904"/>
    </row>
    <row r="8" spans="1:15" ht="13.15" customHeight="1">
      <c r="A8" s="17" t="s">
        <v>2269</v>
      </c>
      <c r="B8" s="3040">
        <v>7.0000000000000007E-2</v>
      </c>
      <c r="C8" s="17"/>
      <c r="D8" s="83" t="s">
        <v>2595</v>
      </c>
      <c r="G8" s="3041" t="s">
        <v>3153</v>
      </c>
      <c r="H8" s="177" t="s">
        <v>1500</v>
      </c>
      <c r="K8" s="3042">
        <v>46265</v>
      </c>
      <c r="M8" s="2903"/>
      <c r="N8" s="2904"/>
    </row>
    <row r="9" spans="1:15">
      <c r="A9" s="17" t="s">
        <v>1472</v>
      </c>
      <c r="B9" s="82">
        <v>0.02</v>
      </c>
      <c r="D9" s="83" t="s">
        <v>1784</v>
      </c>
      <c r="G9" s="3041" t="s">
        <v>3156</v>
      </c>
      <c r="H9" s="177" t="s">
        <v>2439</v>
      </c>
      <c r="K9" s="3043"/>
      <c r="M9" s="2906"/>
      <c r="N9" s="2907"/>
    </row>
    <row r="10" spans="1:15" ht="13.5" customHeight="1" thickBot="1"/>
    <row r="11" spans="1:15" ht="13.5" thickBot="1">
      <c r="A11" s="14" t="s">
        <v>93</v>
      </c>
      <c r="C11" s="1465" t="s">
        <v>4197</v>
      </c>
      <c r="D11" s="1466"/>
      <c r="E11" s="146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2712</v>
      </c>
      <c r="N13" s="1520"/>
    </row>
    <row r="14" spans="1:15" ht="13.15" customHeight="1">
      <c r="A14" s="19" t="s">
        <v>2489</v>
      </c>
      <c r="B14" s="20">
        <f>'Part VI-Revenues &amp; Expenses'!$L$49</f>
        <v>498864</v>
      </c>
      <c r="C14" s="20">
        <f t="shared" ref="C14:K14" si="1">$B$14*(1+$B$5)^(C13-1)</f>
        <v>508841.28</v>
      </c>
      <c r="D14" s="20">
        <f t="shared" si="1"/>
        <v>519018.10560000001</v>
      </c>
      <c r="E14" s="20">
        <f t="shared" si="1"/>
        <v>529398.46771200001</v>
      </c>
      <c r="F14" s="20">
        <f t="shared" si="1"/>
        <v>539986.43706624</v>
      </c>
      <c r="G14" s="20">
        <f t="shared" si="1"/>
        <v>550786.16580756486</v>
      </c>
      <c r="H14" s="20">
        <f t="shared" si="1"/>
        <v>561801.88912371616</v>
      </c>
      <c r="I14" s="20">
        <f t="shared" si="1"/>
        <v>573037.92690619035</v>
      </c>
      <c r="J14" s="20">
        <f t="shared" si="1"/>
        <v>584498.68544431415</v>
      </c>
      <c r="K14" s="21">
        <f t="shared" si="1"/>
        <v>596188.65915320045</v>
      </c>
      <c r="M14" s="2901"/>
      <c r="N14" s="2902"/>
    </row>
    <row r="15" spans="1:15" ht="13.15" customHeight="1">
      <c r="A15" s="22" t="s">
        <v>1053</v>
      </c>
      <c r="B15" s="23">
        <f>MIN(B14*B9,'Part VI-Revenues &amp; Expenses'!$H$122)</f>
        <v>9977.2800000000007</v>
      </c>
      <c r="C15" s="23">
        <f t="shared" ref="C15:K15" si="2">$B$15*(1+$B$5)^(C13-1)</f>
        <v>10176.8256</v>
      </c>
      <c r="D15" s="23">
        <f t="shared" si="2"/>
        <v>10380.362112000001</v>
      </c>
      <c r="E15" s="23">
        <f t="shared" si="2"/>
        <v>10587.96935424</v>
      </c>
      <c r="F15" s="23">
        <f t="shared" si="2"/>
        <v>10799.728741324801</v>
      </c>
      <c r="G15" s="23">
        <f t="shared" si="2"/>
        <v>11015.723316151298</v>
      </c>
      <c r="H15" s="23">
        <f t="shared" si="2"/>
        <v>11236.037782474323</v>
      </c>
      <c r="I15" s="23">
        <f t="shared" si="2"/>
        <v>11460.758538123808</v>
      </c>
      <c r="J15" s="23">
        <f t="shared" si="2"/>
        <v>11689.973708886284</v>
      </c>
      <c r="K15" s="24">
        <f t="shared" si="2"/>
        <v>11923.77318306401</v>
      </c>
      <c r="M15" s="2903"/>
      <c r="N15" s="2904"/>
    </row>
    <row r="16" spans="1:15" ht="13.15" customHeight="1">
      <c r="A16" s="22" t="s">
        <v>2490</v>
      </c>
      <c r="B16" s="23">
        <f t="shared" ref="B16:K16" si="3">-(B14+B15)*$B$8</f>
        <v>-35618.889600000002</v>
      </c>
      <c r="C16" s="23">
        <f t="shared" si="3"/>
        <v>-36331.267392000002</v>
      </c>
      <c r="D16" s="23">
        <f t="shared" si="3"/>
        <v>-37057.892739840005</v>
      </c>
      <c r="E16" s="23">
        <f t="shared" si="3"/>
        <v>-37799.050594636807</v>
      </c>
      <c r="F16" s="23">
        <f t="shared" si="3"/>
        <v>-38555.031606529541</v>
      </c>
      <c r="G16" s="23">
        <f t="shared" si="3"/>
        <v>-39326.132238660131</v>
      </c>
      <c r="H16" s="23">
        <f t="shared" si="3"/>
        <v>-40112.654883433337</v>
      </c>
      <c r="I16" s="23">
        <f t="shared" si="3"/>
        <v>-40914.907981101991</v>
      </c>
      <c r="J16" s="23">
        <f t="shared" si="3"/>
        <v>-41733.206140724033</v>
      </c>
      <c r="K16" s="24">
        <f t="shared" si="3"/>
        <v>-42567.870263538513</v>
      </c>
      <c r="M16" s="2903"/>
      <c r="N16" s="290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3"/>
      <c r="N17" s="290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3"/>
      <c r="N18" s="2904"/>
    </row>
    <row r="19" spans="1:14" ht="13.15" customHeight="1">
      <c r="A19" s="22" t="s">
        <v>638</v>
      </c>
      <c r="B19" s="23">
        <f>-('Part VI-Revenues &amp; Expenses'!$P$176-'Part VI-Revenues &amp; Expenses'!$P$170)</f>
        <v>-262908.11</v>
      </c>
      <c r="C19" s="23">
        <f t="shared" ref="C19:K19" si="4">$B$19*(1+$B$6)^(C13-1)</f>
        <v>-270795.35330000002</v>
      </c>
      <c r="D19" s="23">
        <f t="shared" si="4"/>
        <v>-278919.21389899997</v>
      </c>
      <c r="E19" s="23">
        <f t="shared" si="4"/>
        <v>-287286.79031596996</v>
      </c>
      <c r="F19" s="23">
        <f t="shared" si="4"/>
        <v>-295905.39402544906</v>
      </c>
      <c r="G19" s="23">
        <f t="shared" si="4"/>
        <v>-304782.55584621249</v>
      </c>
      <c r="H19" s="23">
        <f t="shared" si="4"/>
        <v>-313926.03252159891</v>
      </c>
      <c r="I19" s="23">
        <f t="shared" si="4"/>
        <v>-323343.81349724688</v>
      </c>
      <c r="J19" s="23">
        <f t="shared" si="4"/>
        <v>-333044.12790216424</v>
      </c>
      <c r="K19" s="24">
        <f t="shared" si="4"/>
        <v>-343035.4517392292</v>
      </c>
      <c r="M19" s="2903"/>
      <c r="N19" s="290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-46265</v>
      </c>
      <c r="C20" s="23">
        <f>IF(AND('Part VII-Pro Forma'!$G$8="Yes",'Part VII-Pro Forma'!$G$9="Yes"),"Choose One!",IF('Part VII-Pro Forma'!$G$8="Yes",ROUND((-$K$8*(1+'Part VII-Pro Forma'!$B$6)^('Part VII-Pro Forma'!C13-1)),),IF('Part VII-Pro Forma'!$G$9="Yes",ROUND((-(SUM(C14:C17)*'Part VII-Pro Forma'!$K$9)),),"Choose mgt fee")))</f>
        <v>-47653</v>
      </c>
      <c r="D20" s="23">
        <f>IF(AND('Part VII-Pro Forma'!$G$8="Yes",'Part VII-Pro Forma'!$G$9="Yes"),"Choose One!",IF('Part VII-Pro Forma'!$G$8="Yes",ROUND((-$K$8*(1+'Part VII-Pro Forma'!$B$6)^('Part VII-Pro Forma'!D13-1)),),IF('Part VII-Pro Forma'!$G$9="Yes",ROUND((-(SUM(D14:D17)*'Part VII-Pro Forma'!$K$9)),),"Choose mgt fee")))</f>
        <v>-49083</v>
      </c>
      <c r="E20" s="23">
        <f>IF(AND('Part VII-Pro Forma'!$G$8="Yes",'Part VII-Pro Forma'!$G$9="Yes"),"Choose One!",IF('Part VII-Pro Forma'!$G$8="Yes",ROUND((-$K$8*(1+'Part VII-Pro Forma'!$B$6)^('Part VII-Pro Forma'!E13-1)),),IF('Part VII-Pro Forma'!$G$9="Yes",ROUND((-(SUM(E14:E17)*'Part VII-Pro Forma'!$K$9)),),"Choose mgt fee")))</f>
        <v>-50555</v>
      </c>
      <c r="F20" s="23">
        <f>IF(AND('Part VII-Pro Forma'!$G$8="Yes",'Part VII-Pro Forma'!$G$9="Yes"),"Choose One!",IF('Part VII-Pro Forma'!$G$8="Yes",ROUND((-$K$8*(1+'Part VII-Pro Forma'!$B$6)^('Part VII-Pro Forma'!F13-1)),),IF('Part VII-Pro Forma'!$G$9="Yes",ROUND((-(SUM(F14:F17)*'Part VII-Pro Forma'!$K$9)),),"Choose mgt fee")))</f>
        <v>-52072</v>
      </c>
      <c r="G20" s="23">
        <f>IF(AND('Part VII-Pro Forma'!$G$8="Yes",'Part VII-Pro Forma'!$G$9="Yes"),"Choose One!",IF('Part VII-Pro Forma'!$G$8="Yes",ROUND((-$K$8*(1+'Part VII-Pro Forma'!$B$6)^('Part VII-Pro Forma'!G13-1)),),IF('Part VII-Pro Forma'!$G$9="Yes",ROUND((-(SUM(G14:G17)*'Part VII-Pro Forma'!$K$9)),),"Choose mgt fee")))</f>
        <v>-53634</v>
      </c>
      <c r="H20" s="23">
        <f>IF(AND('Part VII-Pro Forma'!$G$8="Yes",'Part VII-Pro Forma'!$G$9="Yes"),"Choose One!",IF('Part VII-Pro Forma'!$G$8="Yes",ROUND((-$K$8*(1+'Part VII-Pro Forma'!$B$6)^('Part VII-Pro Forma'!H13-1)),),IF('Part VII-Pro Forma'!$G$9="Yes",ROUND((-(SUM(H14:H17)*'Part VII-Pro Forma'!$K$9)),),"Choose mgt fee")))</f>
        <v>-55243</v>
      </c>
      <c r="I20" s="23">
        <f>IF(AND('Part VII-Pro Forma'!$G$8="Yes",'Part VII-Pro Forma'!$G$9="Yes"),"Choose One!",IF('Part VII-Pro Forma'!$G$8="Yes",ROUND((-$K$8*(1+'Part VII-Pro Forma'!$B$6)^('Part VII-Pro Forma'!I13-1)),),IF('Part VII-Pro Forma'!$G$9="Yes",ROUND((-(SUM(I14:I17)*'Part VII-Pro Forma'!$K$9)),),"Choose mgt fee")))</f>
        <v>-56900</v>
      </c>
      <c r="J20" s="23">
        <f>IF(AND('Part VII-Pro Forma'!$G$8="Yes",'Part VII-Pro Forma'!$G$9="Yes"),"Choose One!",IF('Part VII-Pro Forma'!$G$8="Yes",ROUND((-$K$8*(1+'Part VII-Pro Forma'!$B$6)^('Part VII-Pro Forma'!J13-1)),),IF('Part VII-Pro Forma'!$G$9="Yes",ROUND((-(SUM(J14:J17)*'Part VII-Pro Forma'!$K$9)),),"Choose mgt fee")))</f>
        <v>-58607</v>
      </c>
      <c r="K20" s="23">
        <f>IF(AND('Part VII-Pro Forma'!$G$8="Yes",'Part VII-Pro Forma'!$G$9="Yes"),"Choose One!",IF('Part VII-Pro Forma'!$G$8="Yes",ROUND((-$K$8*(1+'Part VII-Pro Forma'!$B$6)^('Part VII-Pro Forma'!K13-1)),),IF('Part VII-Pro Forma'!$G$9="Yes",ROUND((-(SUM(K14:K17)*'Part VII-Pro Forma'!$K$9)),),"Choose mgt fee")))</f>
        <v>-60365</v>
      </c>
      <c r="M20" s="2903"/>
      <c r="N20" s="2904"/>
    </row>
    <row r="21" spans="1:14" ht="13.15" customHeight="1">
      <c r="A21" s="22" t="s">
        <v>1247</v>
      </c>
      <c r="B21" s="23">
        <f>-('Part VI-Revenues &amp; Expenses'!$P$179)</f>
        <v>-24500</v>
      </c>
      <c r="C21" s="23">
        <f t="shared" ref="C21:K21" si="5">$B$21*(1+$B$7)^(C13-1)</f>
        <v>-25235</v>
      </c>
      <c r="D21" s="23">
        <f t="shared" si="5"/>
        <v>-25992.05</v>
      </c>
      <c r="E21" s="23">
        <f t="shared" si="5"/>
        <v>-26771.8115</v>
      </c>
      <c r="F21" s="23">
        <f t="shared" si="5"/>
        <v>-27574.965844999999</v>
      </c>
      <c r="G21" s="23">
        <f t="shared" si="5"/>
        <v>-28402.214820349996</v>
      </c>
      <c r="H21" s="23">
        <f t="shared" si="5"/>
        <v>-29254.281264960497</v>
      </c>
      <c r="I21" s="23">
        <f t="shared" si="5"/>
        <v>-30131.909702909314</v>
      </c>
      <c r="J21" s="23">
        <f t="shared" si="5"/>
        <v>-31035.866993996591</v>
      </c>
      <c r="K21" s="24">
        <f t="shared" si="5"/>
        <v>-31966.94300381649</v>
      </c>
      <c r="M21" s="2903"/>
      <c r="N21" s="2904"/>
    </row>
    <row r="22" spans="1:14" ht="13.15" customHeight="1">
      <c r="A22" s="22" t="s">
        <v>1248</v>
      </c>
      <c r="B22" s="23">
        <f t="shared" ref="B22:K22" si="6">SUM(B14:B21)</f>
        <v>139549.28040000005</v>
      </c>
      <c r="C22" s="23">
        <f t="shared" si="6"/>
        <v>139003.48490799998</v>
      </c>
      <c r="D22" s="23">
        <f t="shared" si="6"/>
        <v>138346.31107316003</v>
      </c>
      <c r="E22" s="23">
        <f t="shared" si="6"/>
        <v>137573.78465563321</v>
      </c>
      <c r="F22" s="23">
        <f t="shared" si="6"/>
        <v>136678.77433058625</v>
      </c>
      <c r="G22" s="23">
        <f t="shared" si="6"/>
        <v>135656.98621849355</v>
      </c>
      <c r="H22" s="23">
        <f t="shared" si="6"/>
        <v>134501.95823619768</v>
      </c>
      <c r="I22" s="23">
        <f t="shared" si="6"/>
        <v>133208.05426305594</v>
      </c>
      <c r="J22" s="23">
        <f t="shared" si="6"/>
        <v>131768.4581163156</v>
      </c>
      <c r="K22" s="24">
        <f t="shared" si="6"/>
        <v>130177.16732968016</v>
      </c>
      <c r="M22" s="2903"/>
      <c r="N22" s="2904"/>
    </row>
    <row r="23" spans="1:14" ht="13.15" customHeight="1">
      <c r="A23" s="471" t="s">
        <v>1648</v>
      </c>
      <c r="B23" s="3044">
        <f>IF('Part III-Sources of Funds'!$N$37="", 0,-'Part III-Sources of Funds'!$N$37)</f>
        <v>-95783.104757729001</v>
      </c>
      <c r="C23" s="3044">
        <f>IF('Part III-Sources of Funds'!$N$37="", 0,-'Part III-Sources of Funds'!$N$37)</f>
        <v>-95783.104757729001</v>
      </c>
      <c r="D23" s="3044">
        <f>IF('Part III-Sources of Funds'!$N$37="", 0,-'Part III-Sources of Funds'!$N$37)</f>
        <v>-95783.104757729001</v>
      </c>
      <c r="E23" s="3044">
        <f>IF('Part III-Sources of Funds'!$N$37="", 0,-'Part III-Sources of Funds'!$N$37)</f>
        <v>-95783.104757729001</v>
      </c>
      <c r="F23" s="3044">
        <f>IF('Part III-Sources of Funds'!$N$37="", 0,-'Part III-Sources of Funds'!$N$37)</f>
        <v>-95783.104757729001</v>
      </c>
      <c r="G23" s="3044">
        <f>IF('Part III-Sources of Funds'!$N$37="", 0,-'Part III-Sources of Funds'!$N$37)</f>
        <v>-95783.104757729001</v>
      </c>
      <c r="H23" s="3044">
        <f>IF('Part III-Sources of Funds'!$N$37="", 0,-'Part III-Sources of Funds'!$N$37)</f>
        <v>-95783.104757729001</v>
      </c>
      <c r="I23" s="3044">
        <f>IF('Part III-Sources of Funds'!$N$37="", 0,-'Part III-Sources of Funds'!$N$37)</f>
        <v>-95783.104757729001</v>
      </c>
      <c r="J23" s="3044">
        <f>IF('Part III-Sources of Funds'!$N$37="", 0,-'Part III-Sources of Funds'!$N$37)</f>
        <v>-95783.104757729001</v>
      </c>
      <c r="K23" s="3044">
        <f>IF('Part III-Sources of Funds'!$N$37="", 0,-'Part III-Sources of Funds'!$N$37)</f>
        <v>-95783.104757729001</v>
      </c>
      <c r="M23" s="2903"/>
      <c r="N23" s="2904"/>
    </row>
    <row r="24" spans="1:14" ht="13.15" customHeight="1">
      <c r="A24" s="471" t="s">
        <v>1649</v>
      </c>
      <c r="B24" s="3045">
        <f>IF('Part III-Sources of Funds'!$N$38="", 0,-'Part III-Sources of Funds'!$N$38)</f>
        <v>0</v>
      </c>
      <c r="C24" s="3045">
        <f>IF('Part III-Sources of Funds'!$N$38="", 0,-'Part III-Sources of Funds'!$N$38)</f>
        <v>0</v>
      </c>
      <c r="D24" s="3045">
        <f>IF('Part III-Sources of Funds'!$N$38="", 0,-'Part III-Sources of Funds'!$N$38)</f>
        <v>0</v>
      </c>
      <c r="E24" s="3045">
        <f>IF('Part III-Sources of Funds'!$N$38="", 0,-'Part III-Sources of Funds'!$N$38)</f>
        <v>0</v>
      </c>
      <c r="F24" s="3045">
        <f>IF('Part III-Sources of Funds'!$N$38="", 0,-'Part III-Sources of Funds'!$N$38)</f>
        <v>0</v>
      </c>
      <c r="G24" s="3045">
        <f>IF('Part III-Sources of Funds'!$N$38="", 0,-'Part III-Sources of Funds'!$N$38)</f>
        <v>0</v>
      </c>
      <c r="H24" s="3045">
        <f>IF('Part III-Sources of Funds'!$N$38="", 0,-'Part III-Sources of Funds'!$N$38)</f>
        <v>0</v>
      </c>
      <c r="I24" s="3045">
        <f>IF('Part III-Sources of Funds'!$N$38="", 0,-'Part III-Sources of Funds'!$N$38)</f>
        <v>0</v>
      </c>
      <c r="J24" s="3045">
        <f>IF('Part III-Sources of Funds'!$N$38="", 0,-'Part III-Sources of Funds'!$N$38)</f>
        <v>0</v>
      </c>
      <c r="K24" s="3045">
        <f>IF('Part III-Sources of Funds'!$N$38="", 0,-'Part III-Sources of Funds'!$N$38)</f>
        <v>0</v>
      </c>
      <c r="M24" s="2903"/>
      <c r="N24" s="2904"/>
    </row>
    <row r="25" spans="1:14" ht="13.15" customHeight="1">
      <c r="A25" s="471" t="s">
        <v>1650</v>
      </c>
      <c r="B25" s="3045">
        <f>IF('Part III-Sources of Funds'!$N$39="", 0,-'Part III-Sources of Funds'!$N$39)</f>
        <v>0</v>
      </c>
      <c r="C25" s="3045">
        <f>IF('Part III-Sources of Funds'!$N$39="", 0,-'Part III-Sources of Funds'!$N$39)</f>
        <v>0</v>
      </c>
      <c r="D25" s="3045">
        <f>IF('Part III-Sources of Funds'!$N$39="", 0,-'Part III-Sources of Funds'!$N$39)</f>
        <v>0</v>
      </c>
      <c r="E25" s="3045">
        <f>IF('Part III-Sources of Funds'!$N$39="", 0,-'Part III-Sources of Funds'!$N$39)</f>
        <v>0</v>
      </c>
      <c r="F25" s="3045">
        <f>IF('Part III-Sources of Funds'!$N$39="", 0,-'Part III-Sources of Funds'!$N$39)</f>
        <v>0</v>
      </c>
      <c r="G25" s="3045">
        <f>IF('Part III-Sources of Funds'!$N$39="", 0,-'Part III-Sources of Funds'!$N$39)</f>
        <v>0</v>
      </c>
      <c r="H25" s="3045">
        <f>IF('Part III-Sources of Funds'!$N$39="", 0,-'Part III-Sources of Funds'!$N$39)</f>
        <v>0</v>
      </c>
      <c r="I25" s="3045">
        <f>IF('Part III-Sources of Funds'!$N$39="", 0,-'Part III-Sources of Funds'!$N$39)</f>
        <v>0</v>
      </c>
      <c r="J25" s="3045">
        <f>IF('Part III-Sources of Funds'!$N$39="", 0,-'Part III-Sources of Funds'!$N$39)</f>
        <v>0</v>
      </c>
      <c r="K25" s="3045">
        <f>IF('Part III-Sources of Funds'!$N$39="", 0,-'Part III-Sources of Funds'!$N$39)</f>
        <v>0</v>
      </c>
      <c r="M25" s="2903"/>
      <c r="N25" s="2904"/>
    </row>
    <row r="26" spans="1:14" ht="13.15" customHeight="1">
      <c r="A26" s="22" t="s">
        <v>814</v>
      </c>
      <c r="B26" s="3045">
        <f>IF('Part III-Sources of Funds'!$N$40="", 0,-'Part III-Sources of Funds'!$N$40)</f>
        <v>0</v>
      </c>
      <c r="C26" s="3045">
        <f>IF('Part III-Sources of Funds'!$N$40="", 0,-'Part III-Sources of Funds'!$N$40)</f>
        <v>0</v>
      </c>
      <c r="D26" s="3045">
        <f>IF('Part III-Sources of Funds'!$N$40="", 0,-'Part III-Sources of Funds'!$N$40)</f>
        <v>0</v>
      </c>
      <c r="E26" s="3045">
        <f>IF('Part III-Sources of Funds'!$N$40="", 0,-'Part III-Sources of Funds'!$N$40)</f>
        <v>0</v>
      </c>
      <c r="F26" s="3045">
        <f>IF('Part III-Sources of Funds'!$N$40="", 0,-'Part III-Sources of Funds'!$N$40)</f>
        <v>0</v>
      </c>
      <c r="G26" s="3045">
        <f>IF('Part III-Sources of Funds'!$N$40="", 0,-'Part III-Sources of Funds'!$N$40)</f>
        <v>0</v>
      </c>
      <c r="H26" s="3045">
        <f>IF('Part III-Sources of Funds'!$N$40="", 0,-'Part III-Sources of Funds'!$N$40)</f>
        <v>0</v>
      </c>
      <c r="I26" s="3045">
        <f>IF('Part III-Sources of Funds'!$N$40="", 0,-'Part III-Sources of Funds'!$N$40)</f>
        <v>0</v>
      </c>
      <c r="J26" s="3045">
        <f>IF('Part III-Sources of Funds'!$N$40="", 0,-'Part III-Sources of Funds'!$N$40)</f>
        <v>0</v>
      </c>
      <c r="K26" s="3045">
        <f>IF('Part III-Sources of Funds'!$N$40="", 0,-'Part III-Sources of Funds'!$N$40)</f>
        <v>0</v>
      </c>
      <c r="M26" s="2903"/>
      <c r="N26" s="2904"/>
    </row>
    <row r="27" spans="1:14" ht="13.15" customHeight="1">
      <c r="A27" s="22" t="s">
        <v>794</v>
      </c>
      <c r="B27" s="3046"/>
      <c r="C27" s="3046"/>
      <c r="D27" s="3046"/>
      <c r="E27" s="3046"/>
      <c r="F27" s="3046"/>
      <c r="G27" s="3046"/>
      <c r="H27" s="3046"/>
      <c r="I27" s="3046"/>
      <c r="J27" s="3046"/>
      <c r="K27" s="3046"/>
      <c r="M27" s="2903"/>
      <c r="N27" s="2904"/>
    </row>
    <row r="28" spans="1:14" ht="13.15" customHeight="1">
      <c r="A28" s="22" t="s">
        <v>1206</v>
      </c>
      <c r="B28" s="3045">
        <f>-$G$5</f>
        <v>-3500</v>
      </c>
      <c r="C28" s="3045">
        <f t="shared" ref="C28:K28" si="7">+B28</f>
        <v>-3500</v>
      </c>
      <c r="D28" s="3045">
        <f t="shared" si="7"/>
        <v>-3500</v>
      </c>
      <c r="E28" s="3045">
        <f t="shared" si="7"/>
        <v>-3500</v>
      </c>
      <c r="F28" s="3045">
        <f t="shared" si="7"/>
        <v>-3500</v>
      </c>
      <c r="G28" s="3045">
        <f t="shared" si="7"/>
        <v>-3500</v>
      </c>
      <c r="H28" s="3045">
        <f t="shared" si="7"/>
        <v>-3500</v>
      </c>
      <c r="I28" s="3045">
        <f t="shared" si="7"/>
        <v>-3500</v>
      </c>
      <c r="J28" s="3045">
        <f t="shared" si="7"/>
        <v>-3500</v>
      </c>
      <c r="K28" s="3045">
        <f t="shared" si="7"/>
        <v>-3500</v>
      </c>
      <c r="M28" s="2903"/>
      <c r="N28" s="2904"/>
    </row>
    <row r="29" spans="1:14" ht="13.15" customHeight="1">
      <c r="A29" s="22" t="s">
        <v>1249</v>
      </c>
      <c r="B29" s="3047">
        <f>-'Part III-Sources of Funds'!$I$42</f>
        <v>-1613</v>
      </c>
      <c r="C29" s="3047">
        <f>IF('Part III-Sources of Funds'!$N$42="", 0,-'Part III-Sources of Funds'!$N$42)</f>
        <v>0</v>
      </c>
      <c r="D29" s="3047">
        <f>IF('Part III-Sources of Funds'!$N$42="", 0,-'Part III-Sources of Funds'!$N$42)</f>
        <v>0</v>
      </c>
      <c r="E29" s="3047">
        <f>IF('Part III-Sources of Funds'!$N$42="", 0,-'Part III-Sources of Funds'!$N$42)</f>
        <v>0</v>
      </c>
      <c r="F29" s="3047">
        <f>IF('Part III-Sources of Funds'!$N$42="", 0,-'Part III-Sources of Funds'!$N$42)</f>
        <v>0</v>
      </c>
      <c r="G29" s="3047">
        <f>IF('Part III-Sources of Funds'!$N$42="", 0,-'Part III-Sources of Funds'!$N$42)</f>
        <v>0</v>
      </c>
      <c r="H29" s="3047">
        <f>IF('Part III-Sources of Funds'!$N$42="", 0,-'Part III-Sources of Funds'!$N$42)</f>
        <v>0</v>
      </c>
      <c r="I29" s="3047">
        <f>IF('Part III-Sources of Funds'!$N$42="", 0,-'Part III-Sources of Funds'!$N$42)</f>
        <v>0</v>
      </c>
      <c r="J29" s="3047">
        <f>IF('Part III-Sources of Funds'!$N$42="", 0,-'Part III-Sources of Funds'!$N$42)</f>
        <v>0</v>
      </c>
      <c r="K29" s="3047">
        <f>IF('Part III-Sources of Funds'!$N$42="", 0,-'Part III-Sources of Funds'!$N$42)</f>
        <v>0</v>
      </c>
      <c r="M29" s="2903"/>
      <c r="N29" s="2904"/>
    </row>
    <row r="30" spans="1:14" ht="13.15" customHeight="1">
      <c r="A30" s="22" t="s">
        <v>1207</v>
      </c>
      <c r="B30" s="23">
        <f t="shared" ref="B30:K30" si="8">SUM(B22:B29)</f>
        <v>38653.175642271046</v>
      </c>
      <c r="C30" s="23">
        <f t="shared" si="8"/>
        <v>39720.380150270983</v>
      </c>
      <c r="D30" s="23">
        <f t="shared" si="8"/>
        <v>39063.206315431031</v>
      </c>
      <c r="E30" s="23">
        <f t="shared" si="8"/>
        <v>38290.679897904207</v>
      </c>
      <c r="F30" s="23">
        <f t="shared" si="8"/>
        <v>37395.669572857252</v>
      </c>
      <c r="G30" s="23">
        <f t="shared" si="8"/>
        <v>36373.881460764547</v>
      </c>
      <c r="H30" s="23">
        <f t="shared" si="8"/>
        <v>35218.853478468678</v>
      </c>
      <c r="I30" s="23">
        <f t="shared" si="8"/>
        <v>33924.949505326935</v>
      </c>
      <c r="J30" s="23">
        <f t="shared" si="8"/>
        <v>32485.353358586595</v>
      </c>
      <c r="K30" s="24">
        <f t="shared" si="8"/>
        <v>30894.062571951159</v>
      </c>
      <c r="M30" s="2903"/>
      <c r="N30" s="2904"/>
    </row>
    <row r="31" spans="1:14" ht="13.15" customHeight="1">
      <c r="A31" s="22" t="str">
        <f>IF('Part III-Sources of Funds'!$E$37 = "Neither", "", "DCR Mortgage A")</f>
        <v>DCR Mortgage A</v>
      </c>
      <c r="B31" s="25">
        <f>IF(B23=0,"",-B22/B23)</f>
        <v>1.4569300165511645</v>
      </c>
      <c r="C31" s="25">
        <f t="shared" ref="C31:K31" si="9">IF(C23=0,"",-C22/C23)</f>
        <v>1.4512317726554318</v>
      </c>
      <c r="D31" s="25">
        <f t="shared" si="9"/>
        <v>1.4443707105035817</v>
      </c>
      <c r="E31" s="25">
        <f t="shared" si="9"/>
        <v>1.4363053380197723</v>
      </c>
      <c r="F31" s="25">
        <f t="shared" si="9"/>
        <v>1.4269612023571128</v>
      </c>
      <c r="G31" s="25">
        <f t="shared" si="9"/>
        <v>1.4162934743201359</v>
      </c>
      <c r="H31" s="25">
        <f t="shared" si="9"/>
        <v>1.4042346881154355</v>
      </c>
      <c r="I31" s="25">
        <f t="shared" si="9"/>
        <v>1.3907260012085483</v>
      </c>
      <c r="J31" s="25">
        <f t="shared" si="9"/>
        <v>1.3756962509161392</v>
      </c>
      <c r="K31" s="26">
        <f t="shared" si="9"/>
        <v>1.3590827699618477</v>
      </c>
      <c r="M31" s="2903"/>
      <c r="N31" s="2904"/>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3"/>
      <c r="N32" s="2904"/>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3"/>
      <c r="N33" s="2904"/>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3"/>
      <c r="N34" s="2904"/>
    </row>
    <row r="35" spans="1:14" ht="13.15" customHeight="1">
      <c r="A35" s="471" t="s">
        <v>4192</v>
      </c>
      <c r="B35" s="25">
        <f>IF(AND(B23=0,B24=0,B25=0,B26=0),"",-B22/(B23+B24+B25+B26))</f>
        <v>1.4569300165511645</v>
      </c>
      <c r="C35" s="25">
        <f t="shared" ref="C35:K35" si="13">IF(AND(C23=0,C24=0,C25=0,C26=0),"",-C22/(C23+C24+C25+C26))</f>
        <v>1.4512317726554318</v>
      </c>
      <c r="D35" s="25">
        <f t="shared" si="13"/>
        <v>1.4443707105035817</v>
      </c>
      <c r="E35" s="25">
        <f t="shared" si="13"/>
        <v>1.4363053380197723</v>
      </c>
      <c r="F35" s="25">
        <f t="shared" si="13"/>
        <v>1.4269612023571128</v>
      </c>
      <c r="G35" s="25">
        <f t="shared" si="13"/>
        <v>1.4162934743201359</v>
      </c>
      <c r="H35" s="25">
        <f t="shared" si="13"/>
        <v>1.4042346881154355</v>
      </c>
      <c r="I35" s="25">
        <f t="shared" si="13"/>
        <v>1.3907260012085483</v>
      </c>
      <c r="J35" s="25">
        <f t="shared" si="13"/>
        <v>1.3756962509161392</v>
      </c>
      <c r="K35" s="26">
        <f t="shared" si="13"/>
        <v>1.3590827699618477</v>
      </c>
      <c r="M35" s="2903"/>
      <c r="N35" s="2904"/>
    </row>
    <row r="36" spans="1:14" ht="13.15" customHeight="1">
      <c r="A36" s="22" t="s">
        <v>801</v>
      </c>
      <c r="B36" s="293">
        <f>IF(OR(B20="Choose mgt fee",B20="Choose One!"),"",(B14+B15+B16+B17+B18) / -(B19+B20+B21))</f>
        <v>1.4182215354422778</v>
      </c>
      <c r="C36" s="293">
        <f t="shared" ref="C36:K36" si="14">IF(OR(C20="Choose mgt fee",C20="Choose One!"),"",(C14+C15+C16+C17+C18) / -(C19+C20+C21))</f>
        <v>1.4044521899978797</v>
      </c>
      <c r="D36" s="293">
        <f t="shared" si="14"/>
        <v>1.3908151209835207</v>
      </c>
      <c r="E36" s="293">
        <f t="shared" si="14"/>
        <v>1.3773139125102367</v>
      </c>
      <c r="F36" s="293">
        <f t="shared" si="14"/>
        <v>1.3639406616369956</v>
      </c>
      <c r="G36" s="293">
        <f t="shared" si="14"/>
        <v>1.3506990779809642</v>
      </c>
      <c r="H36" s="293">
        <f t="shared" si="14"/>
        <v>1.3375855618435326</v>
      </c>
      <c r="I36" s="293">
        <f t="shared" si="14"/>
        <v>1.3246002303067164</v>
      </c>
      <c r="J36" s="293">
        <f t="shared" si="14"/>
        <v>1.3117400338959717</v>
      </c>
      <c r="K36" s="294">
        <f t="shared" si="14"/>
        <v>1.2990053203375758</v>
      </c>
      <c r="M36" s="2903"/>
      <c r="N36" s="2904"/>
    </row>
    <row r="37" spans="1:14" ht="13.15" customHeight="1">
      <c r="A37" s="471" t="s">
        <v>2705</v>
      </c>
      <c r="B37" s="3048">
        <f>IF('Part III-Sources of Funds'!$I$37="","",-FV('Part III-Sources of Funds'!$K$37/12,12,B23/12,'Part III-Sources of Funds'!$I$37))</f>
        <v>1587929.1884689906</v>
      </c>
      <c r="C37" s="3048">
        <f>IF('Part III-Sources of Funds'!$I$37="","",-FV('Part III-Sources of Funds'!$K$37/12,12,C23/12,B37))</f>
        <v>1575209.1859195118</v>
      </c>
      <c r="D37" s="3048">
        <f>IF('Part III-Sources of Funds'!$I$37="","",-FV('Part III-Sources of Funds'!$K$37/12,12,D23/12,C37))</f>
        <v>1561805.0776337439</v>
      </c>
      <c r="E37" s="3048">
        <f>IF('Part III-Sources of Funds'!$I$37="","",-FV('Part III-Sources of Funds'!$K$37/12,12,E23/12,D37))</f>
        <v>1547680.0711144682</v>
      </c>
      <c r="F37" s="3048">
        <f>IF('Part III-Sources of Funds'!$I$37="","",-FV('Part III-Sources of Funds'!$K$37/12,12,F23/12,E37))</f>
        <v>1532795.3950945481</v>
      </c>
      <c r="G37" s="3048">
        <f>IF('Part III-Sources of Funds'!$I$37="","",-FV('Part III-Sources of Funds'!$K$37/12,12,G23/12,F37))</f>
        <v>1517110.1931149499</v>
      </c>
      <c r="H37" s="3048">
        <f>IF('Part III-Sources of Funds'!$I$37="","",-FV('Part III-Sources of Funds'!$K$37/12,12,H23/12,G37))</f>
        <v>1500581.4113791874</v>
      </c>
      <c r="I37" s="3048">
        <f>IF('Part III-Sources of Funds'!$I$37="","",-FV('Part III-Sources of Funds'!$K$37/12,12,I23/12,H37))</f>
        <v>1483163.6805763692</v>
      </c>
      <c r="J37" s="3048">
        <f>IF('Part III-Sources of Funds'!$I$37="","",-FV('Part III-Sources of Funds'!$K$37/12,12,J23/12,I37))</f>
        <v>1464809.1913484645</v>
      </c>
      <c r="K37" s="3048">
        <f>IF('Part III-Sources of Funds'!$I$37="","",-FV('Part III-Sources of Funds'!$K$37/12,12,K23/12,J37))</f>
        <v>1445467.563059964</v>
      </c>
      <c r="M37" s="2903"/>
      <c r="N37" s="2904"/>
    </row>
    <row r="38" spans="1:14" ht="13.15" customHeight="1">
      <c r="A38" s="471" t="s">
        <v>2706</v>
      </c>
      <c r="B38" s="3045" t="str">
        <f>IF('Part III-Sources of Funds'!$I$38="","",-FV('Part III-Sources of Funds'!$K$38/12,12,B24/12,'Part III-Sources of Funds'!$I$38))</f>
        <v/>
      </c>
      <c r="C38" s="3045" t="str">
        <f>IF('Part III-Sources of Funds'!$I$38="","",-FV('Part III-Sources of Funds'!$K$38/12,12,C24/12,B38))</f>
        <v/>
      </c>
      <c r="D38" s="3045" t="str">
        <f>IF('Part III-Sources of Funds'!$I$38="","",-FV('Part III-Sources of Funds'!$K$38/12,12,D24/12,C38))</f>
        <v/>
      </c>
      <c r="E38" s="3045" t="str">
        <f>IF('Part III-Sources of Funds'!$I$38="","",-FV('Part III-Sources of Funds'!$K$38/12,12,E24/12,D38))</f>
        <v/>
      </c>
      <c r="F38" s="3045" t="str">
        <f>IF('Part III-Sources of Funds'!$I$38="","",-FV('Part III-Sources of Funds'!$K$38/12,12,F24/12,E38))</f>
        <v/>
      </c>
      <c r="G38" s="3045" t="str">
        <f>IF('Part III-Sources of Funds'!$I$38="","",-FV('Part III-Sources of Funds'!$K$38/12,12,G24/12,F38))</f>
        <v/>
      </c>
      <c r="H38" s="3045" t="str">
        <f>IF('Part III-Sources of Funds'!$I$38="","",-FV('Part III-Sources of Funds'!$K$38/12,12,H24/12,G38))</f>
        <v/>
      </c>
      <c r="I38" s="3045" t="str">
        <f>IF('Part III-Sources of Funds'!$I$38="","",-FV('Part III-Sources of Funds'!$K$38/12,12,I24/12,H38))</f>
        <v/>
      </c>
      <c r="J38" s="3045" t="str">
        <f>IF('Part III-Sources of Funds'!$I$38="","",-FV('Part III-Sources of Funds'!$K$38/12,12,J24/12,I38))</f>
        <v/>
      </c>
      <c r="K38" s="3045" t="str">
        <f>IF('Part III-Sources of Funds'!$I$38="","",-FV('Part III-Sources of Funds'!$K$38/12,12,K24/12,J38))</f>
        <v/>
      </c>
      <c r="M38" s="2903"/>
      <c r="N38" s="2904"/>
    </row>
    <row r="39" spans="1:14" ht="13.15" customHeight="1">
      <c r="A39" s="471" t="s">
        <v>2707</v>
      </c>
      <c r="B39" s="3045" t="str">
        <f>IF('Part III-Sources of Funds'!$I$39="","",-FV('Part III-Sources of Funds'!$K$39/12,12,B25/12,'Part III-Sources of Funds'!$I$39))</f>
        <v/>
      </c>
      <c r="C39" s="3045" t="str">
        <f>IF('Part III-Sources of Funds'!$I$39="","",-FV('Part III-Sources of Funds'!$K$39/12,12,C25/12,B39))</f>
        <v/>
      </c>
      <c r="D39" s="3045" t="str">
        <f>IF('Part III-Sources of Funds'!$I$39="","",-FV('Part III-Sources of Funds'!$K$39/12,12,D25/12,C39))</f>
        <v/>
      </c>
      <c r="E39" s="3045" t="str">
        <f>IF('Part III-Sources of Funds'!$I$39="","",-FV('Part III-Sources of Funds'!$K$39/12,12,E25/12,D39))</f>
        <v/>
      </c>
      <c r="F39" s="3045" t="str">
        <f>IF('Part III-Sources of Funds'!$I$39="","",-FV('Part III-Sources of Funds'!$K$39/12,12,F25/12,E39))</f>
        <v/>
      </c>
      <c r="G39" s="3045" t="str">
        <f>IF('Part III-Sources of Funds'!$I$39="","",-FV('Part III-Sources of Funds'!$K$39/12,12,G25/12,F39))</f>
        <v/>
      </c>
      <c r="H39" s="3045" t="str">
        <f>IF('Part III-Sources of Funds'!$I$39="","",-FV('Part III-Sources of Funds'!$K$39/12,12,H25/12,G39))</f>
        <v/>
      </c>
      <c r="I39" s="3045" t="str">
        <f>IF('Part III-Sources of Funds'!$I$39="","",-FV('Part III-Sources of Funds'!$K$39/12,12,I25/12,H39))</f>
        <v/>
      </c>
      <c r="J39" s="3045" t="str">
        <f>IF('Part III-Sources of Funds'!$I$39="","",-FV('Part III-Sources of Funds'!$K$39/12,12,J25/12,I39))</f>
        <v/>
      </c>
      <c r="K39" s="3045" t="str">
        <f>IF('Part III-Sources of Funds'!$I$39="","",-FV('Part III-Sources of Funds'!$K$39/12,12,K25/12,J39))</f>
        <v/>
      </c>
      <c r="M39" s="2903"/>
      <c r="N39" s="2904"/>
    </row>
    <row r="40" spans="1:14" ht="13.15" customHeight="1">
      <c r="A40" s="22" t="s">
        <v>816</v>
      </c>
      <c r="B40" s="3045" t="str">
        <f>IF('Part III-Sources of Funds'!$I$40="","",-FV('Part III-Sources of Funds'!$K$40/12,12,B24/12,'Part III-Sources of Funds'!$I$40))</f>
        <v/>
      </c>
      <c r="C40" s="3045" t="str">
        <f>IF('Part III-Sources of Funds'!$I$40="","",-FV('Part III-Sources of Funds'!$K$40/12,12,C26/12,B40))</f>
        <v/>
      </c>
      <c r="D40" s="3045" t="str">
        <f>IF('Part III-Sources of Funds'!$I$40="","",-FV('Part III-Sources of Funds'!$K$40/12,12,D26/12,C40))</f>
        <v/>
      </c>
      <c r="E40" s="3045" t="str">
        <f>IF('Part III-Sources of Funds'!$I$40="","",-FV('Part III-Sources of Funds'!$K$40/12,12,E26/12,D40))</f>
        <v/>
      </c>
      <c r="F40" s="3045" t="str">
        <f>IF('Part III-Sources of Funds'!$I$40="","",-FV('Part III-Sources of Funds'!$K$40/12,12,F26/12,E40))</f>
        <v/>
      </c>
      <c r="G40" s="3045" t="str">
        <f>IF('Part III-Sources of Funds'!$I$40="","",-FV('Part III-Sources of Funds'!$K$40/12,12,G26/12,F40))</f>
        <v/>
      </c>
      <c r="H40" s="3045" t="str">
        <f>IF('Part III-Sources of Funds'!$I$40="","",-FV('Part III-Sources of Funds'!$K$40/12,12,H26/12,G40))</f>
        <v/>
      </c>
      <c r="I40" s="3045" t="str">
        <f>IF('Part III-Sources of Funds'!$I$40="","",-FV('Part III-Sources of Funds'!$K$40/12,12,I26/12,H40))</f>
        <v/>
      </c>
      <c r="J40" s="3045" t="str">
        <f>IF('Part III-Sources of Funds'!$I$40="","",-FV('Part III-Sources of Funds'!$K$40/12,12,J26/12,I40))</f>
        <v/>
      </c>
      <c r="K40" s="3045" t="str">
        <f>IF('Part III-Sources of Funds'!$I$40="","",-FV('Part III-Sources of Funds'!$K$40/12,12,K26/12,J40))</f>
        <v/>
      </c>
      <c r="M40" s="2903"/>
      <c r="N40" s="2904"/>
    </row>
    <row r="41" spans="1:14" ht="13.15" customHeight="1">
      <c r="A41" s="27" t="s">
        <v>1284</v>
      </c>
      <c r="B41" s="3047">
        <f>IF('Part III-Sources of Funds'!$I$42="","",-FV('Part III-Sources of Funds'!$K$42/12,12,B29/12,'Part III-Sources of Funds'!$I$42))</f>
        <v>0</v>
      </c>
      <c r="C41" s="3047">
        <f>IF('Part III-Sources of Funds'!$I$42="","",-FV('Part III-Sources of Funds'!$K$42/12,12,C29/12,B41))</f>
        <v>0</v>
      </c>
      <c r="D41" s="3047">
        <f>IF('Part III-Sources of Funds'!$I$42="","",-FV('Part III-Sources of Funds'!$K$42/12,12,D29/12,C41))</f>
        <v>0</v>
      </c>
      <c r="E41" s="3047">
        <f>IF('Part III-Sources of Funds'!$I$42="","",-FV('Part III-Sources of Funds'!$K$42/12,12,E29/12,D41))</f>
        <v>0</v>
      </c>
      <c r="F41" s="3047">
        <f>IF('Part III-Sources of Funds'!$I$42="","",-FV('Part III-Sources of Funds'!$K$42/12,12,F29/12,E41))</f>
        <v>0</v>
      </c>
      <c r="G41" s="3047">
        <f>IF('Part III-Sources of Funds'!$I$42="","",-FV('Part III-Sources of Funds'!$K$42/12,12,G29/12,F41))</f>
        <v>0</v>
      </c>
      <c r="H41" s="3047">
        <f>IF('Part III-Sources of Funds'!$I$42="","",-FV('Part III-Sources of Funds'!$K$42/12,12,H29/12,G41))</f>
        <v>0</v>
      </c>
      <c r="I41" s="3047">
        <f>IF('Part III-Sources of Funds'!$I$42="","",-FV('Part III-Sources of Funds'!$K$42/12,12,I29/12,H41))</f>
        <v>0</v>
      </c>
      <c r="J41" s="3047">
        <f>IF('Part III-Sources of Funds'!$I$42="","",-FV('Part III-Sources of Funds'!$K$42/12,12,J29/12,I41))</f>
        <v>0</v>
      </c>
      <c r="K41" s="3047">
        <f>IF('Part III-Sources of Funds'!$I$42="","",-FV('Part III-Sources of Funds'!$K$42/12,12,K29/12,J41))</f>
        <v>0</v>
      </c>
      <c r="M41" s="2906"/>
      <c r="N41" s="2907"/>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0" t="s">
        <v>2710</v>
      </c>
      <c r="N43" s="1520"/>
    </row>
    <row r="44" spans="1:14" ht="13.15" customHeight="1">
      <c r="A44" s="19" t="s">
        <v>2489</v>
      </c>
      <c r="B44" s="20">
        <f t="shared" ref="B44:K44" si="16">$B$14*(1+$B$5)^(B43-1)</f>
        <v>608112.43233626452</v>
      </c>
      <c r="C44" s="20">
        <f t="shared" si="16"/>
        <v>620274.68098298972</v>
      </c>
      <c r="D44" s="20">
        <f t="shared" si="16"/>
        <v>632680.17460264952</v>
      </c>
      <c r="E44" s="20">
        <f t="shared" si="16"/>
        <v>645333.77809470252</v>
      </c>
      <c r="F44" s="20">
        <f t="shared" si="16"/>
        <v>658240.4536565966</v>
      </c>
      <c r="G44" s="20">
        <f t="shared" si="16"/>
        <v>671405.26272972836</v>
      </c>
      <c r="H44" s="20">
        <f t="shared" si="16"/>
        <v>684833.36798432306</v>
      </c>
      <c r="I44" s="20">
        <f t="shared" si="16"/>
        <v>698530.03534400964</v>
      </c>
      <c r="J44" s="20">
        <f t="shared" si="16"/>
        <v>712500.63605088973</v>
      </c>
      <c r="K44" s="21">
        <f t="shared" si="16"/>
        <v>726750.64877190744</v>
      </c>
      <c r="M44" s="2901"/>
      <c r="N44" s="2902"/>
    </row>
    <row r="45" spans="1:14" ht="13.15" customHeight="1">
      <c r="A45" s="22" t="s">
        <v>1053</v>
      </c>
      <c r="B45" s="23">
        <f t="shared" ref="B45:K45" si="17">$B$15*(1+$B$5)^(B43-1)</f>
        <v>12162.248646725291</v>
      </c>
      <c r="C45" s="23">
        <f t="shared" si="17"/>
        <v>12405.493619659794</v>
      </c>
      <c r="D45" s="23">
        <f t="shared" si="17"/>
        <v>12653.603492052993</v>
      </c>
      <c r="E45" s="23">
        <f t="shared" si="17"/>
        <v>12906.675561894051</v>
      </c>
      <c r="F45" s="23">
        <f t="shared" si="17"/>
        <v>13164.809073131933</v>
      </c>
      <c r="G45" s="23">
        <f t="shared" si="17"/>
        <v>13428.105254594569</v>
      </c>
      <c r="H45" s="23">
        <f t="shared" si="17"/>
        <v>13696.667359686462</v>
      </c>
      <c r="I45" s="23">
        <f t="shared" si="17"/>
        <v>13970.600706880194</v>
      </c>
      <c r="J45" s="23">
        <f t="shared" si="17"/>
        <v>14250.012721017794</v>
      </c>
      <c r="K45" s="24">
        <f t="shared" si="17"/>
        <v>14535.012975438151</v>
      </c>
      <c r="M45" s="2903"/>
      <c r="N45" s="2904"/>
    </row>
    <row r="46" spans="1:14" ht="13.15" customHeight="1">
      <c r="A46" s="22" t="s">
        <v>2490</v>
      </c>
      <c r="B46" s="23">
        <f t="shared" ref="B46:K46" si="18">-(B44+B45)*$B$8</f>
        <v>-43419.22766880929</v>
      </c>
      <c r="C46" s="23">
        <f t="shared" si="18"/>
        <v>-44287.612222185468</v>
      </c>
      <c r="D46" s="23">
        <f t="shared" si="18"/>
        <v>-45173.36446662918</v>
      </c>
      <c r="E46" s="23">
        <f t="shared" si="18"/>
        <v>-46076.831755961764</v>
      </c>
      <c r="F46" s="23">
        <f t="shared" si="18"/>
        <v>-46998.368391081</v>
      </c>
      <c r="G46" s="23">
        <f t="shared" si="18"/>
        <v>-47938.335758902613</v>
      </c>
      <c r="H46" s="23">
        <f t="shared" si="18"/>
        <v>-48897.102474080668</v>
      </c>
      <c r="I46" s="23">
        <f t="shared" si="18"/>
        <v>-49875.044523562297</v>
      </c>
      <c r="J46" s="23">
        <f t="shared" si="18"/>
        <v>-50872.545414033535</v>
      </c>
      <c r="K46" s="24">
        <f t="shared" si="18"/>
        <v>-51889.996322314197</v>
      </c>
      <c r="M46" s="2903"/>
      <c r="N46" s="290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3"/>
      <c r="N47" s="290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3"/>
      <c r="N48" s="2904"/>
    </row>
    <row r="49" spans="1:14" ht="13.15" customHeight="1">
      <c r="A49" s="22" t="s">
        <v>638</v>
      </c>
      <c r="B49" s="23">
        <f t="shared" ref="B49:K49" si="19">$B$19*(1+$B$6)^(B43-1)</f>
        <v>-353326.51529140607</v>
      </c>
      <c r="C49" s="23">
        <f t="shared" si="19"/>
        <v>-363926.31075014826</v>
      </c>
      <c r="D49" s="23">
        <f t="shared" si="19"/>
        <v>-374844.10007265268</v>
      </c>
      <c r="E49" s="23">
        <f t="shared" si="19"/>
        <v>-386089.42307483224</v>
      </c>
      <c r="F49" s="23">
        <f t="shared" si="19"/>
        <v>-397672.10576707724</v>
      </c>
      <c r="G49" s="23">
        <f t="shared" si="19"/>
        <v>-409602.26894008956</v>
      </c>
      <c r="H49" s="23">
        <f t="shared" si="19"/>
        <v>-421890.3370082922</v>
      </c>
      <c r="I49" s="23">
        <f t="shared" si="19"/>
        <v>-434547.04711854097</v>
      </c>
      <c r="J49" s="23">
        <f t="shared" si="19"/>
        <v>-447583.45853209717</v>
      </c>
      <c r="K49" s="24">
        <f t="shared" si="19"/>
        <v>-461010.96228806011</v>
      </c>
      <c r="M49" s="2903"/>
      <c r="N49" s="290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-62176</v>
      </c>
      <c r="C50" s="23">
        <f>IF(AND('Part VII-Pro Forma'!$G$8="Yes",'Part VII-Pro Forma'!$G$9="Yes"),"Choose One!",IF('Part VII-Pro Forma'!$G$8="Yes",ROUND((-$K$8*(1+'Part VII-Pro Forma'!$B$6)^('Part VII-Pro Forma'!C43-1)),),IF('Part VII-Pro Forma'!$G$9="Yes",ROUND((-(SUM(C44:C47)*'Part VII-Pro Forma'!$K$9)),),"Choose mgt fee")))</f>
        <v>-64042</v>
      </c>
      <c r="D50" s="23">
        <f>IF(AND('Part VII-Pro Forma'!$G$8="Yes",'Part VII-Pro Forma'!$G$9="Yes"),"Choose One!",IF('Part VII-Pro Forma'!$G$8="Yes",ROUND((-$K$8*(1+'Part VII-Pro Forma'!$B$6)^('Part VII-Pro Forma'!D43-1)),),IF('Part VII-Pro Forma'!$G$9="Yes",ROUND((-(SUM(D44:D47)*'Part VII-Pro Forma'!$K$9)),),"Choose mgt fee")))</f>
        <v>-65963</v>
      </c>
      <c r="E50" s="23">
        <f>IF(AND('Part VII-Pro Forma'!$G$8="Yes",'Part VII-Pro Forma'!$G$9="Yes"),"Choose One!",IF('Part VII-Pro Forma'!$G$8="Yes",ROUND((-$K$8*(1+'Part VII-Pro Forma'!$B$6)^('Part VII-Pro Forma'!E43-1)),),IF('Part VII-Pro Forma'!$G$9="Yes",ROUND((-(SUM(E44:E47)*'Part VII-Pro Forma'!$K$9)),),"Choose mgt fee")))</f>
        <v>-67942</v>
      </c>
      <c r="F50" s="23">
        <f>IF(AND('Part VII-Pro Forma'!$G$8="Yes",'Part VII-Pro Forma'!$G$9="Yes"),"Choose One!",IF('Part VII-Pro Forma'!$G$8="Yes",ROUND((-$K$8*(1+'Part VII-Pro Forma'!$B$6)^('Part VII-Pro Forma'!F43-1)),),IF('Part VII-Pro Forma'!$G$9="Yes",ROUND((-(SUM(F44:F47)*'Part VII-Pro Forma'!$K$9)),),"Choose mgt fee")))</f>
        <v>-69980</v>
      </c>
      <c r="G50" s="23">
        <f>IF(AND('Part VII-Pro Forma'!$G$8="Yes",'Part VII-Pro Forma'!$G$9="Yes"),"Choose One!",IF('Part VII-Pro Forma'!$G$8="Yes",ROUND((-$K$8*(1+'Part VII-Pro Forma'!$B$6)^('Part VII-Pro Forma'!G43-1)),),IF('Part VII-Pro Forma'!$G$9="Yes",ROUND((-(SUM(G44:G47)*'Part VII-Pro Forma'!$K$9)),),"Choose mgt fee")))</f>
        <v>-72079</v>
      </c>
      <c r="H50" s="23">
        <f>IF(AND('Part VII-Pro Forma'!$G$8="Yes",'Part VII-Pro Forma'!$G$9="Yes"),"Choose One!",IF('Part VII-Pro Forma'!$G$8="Yes",ROUND((-$K$8*(1+'Part VII-Pro Forma'!$B$6)^('Part VII-Pro Forma'!H43-1)),),IF('Part VII-Pro Forma'!$G$9="Yes",ROUND((-(SUM(H44:H47)*'Part VII-Pro Forma'!$K$9)),),"Choose mgt fee")))</f>
        <v>-74242</v>
      </c>
      <c r="I50" s="23">
        <f>IF(AND('Part VII-Pro Forma'!$G$8="Yes",'Part VII-Pro Forma'!$G$9="Yes"),"Choose One!",IF('Part VII-Pro Forma'!$G$8="Yes",ROUND((-$K$8*(1+'Part VII-Pro Forma'!$B$6)^('Part VII-Pro Forma'!I43-1)),),IF('Part VII-Pro Forma'!$G$9="Yes",ROUND((-(SUM(I44:I47)*'Part VII-Pro Forma'!$K$9)),),"Choose mgt fee")))</f>
        <v>-76469</v>
      </c>
      <c r="J50" s="23">
        <f>IF(AND('Part VII-Pro Forma'!$G$8="Yes",'Part VII-Pro Forma'!$G$9="Yes"),"Choose One!",IF('Part VII-Pro Forma'!$G$8="Yes",ROUND((-$K$8*(1+'Part VII-Pro Forma'!$B$6)^('Part VII-Pro Forma'!J43-1)),),IF('Part VII-Pro Forma'!$G$9="Yes",ROUND((-(SUM(J44:J47)*'Part VII-Pro Forma'!$K$9)),),"Choose mgt fee")))</f>
        <v>-78763</v>
      </c>
      <c r="K50" s="23">
        <f>IF(AND('Part VII-Pro Forma'!$G$8="Yes",'Part VII-Pro Forma'!$G$9="Yes"),"Choose One!",IF('Part VII-Pro Forma'!$G$8="Yes",ROUND((-$K$8*(1+'Part VII-Pro Forma'!$B$6)^('Part VII-Pro Forma'!K43-1)),),IF('Part VII-Pro Forma'!$G$9="Yes",ROUND((-(SUM(K44:K47)*'Part VII-Pro Forma'!$K$9)),),"Choose mgt fee")))</f>
        <v>-81126</v>
      </c>
      <c r="M50" s="2903"/>
      <c r="N50" s="2904"/>
    </row>
    <row r="51" spans="1:14" ht="13.15" customHeight="1">
      <c r="A51" s="22" t="s">
        <v>1247</v>
      </c>
      <c r="B51" s="23">
        <f t="shared" ref="B51:K51" si="20">$B$21*(1+$B$7)^(B43-1)</f>
        <v>-32925.951293930986</v>
      </c>
      <c r="C51" s="23">
        <f t="shared" si="20"/>
        <v>-33913.729832748912</v>
      </c>
      <c r="D51" s="23">
        <f t="shared" si="20"/>
        <v>-34931.141727731374</v>
      </c>
      <c r="E51" s="23">
        <f t="shared" si="20"/>
        <v>-35979.075979563313</v>
      </c>
      <c r="F51" s="23">
        <f t="shared" si="20"/>
        <v>-37058.448258950222</v>
      </c>
      <c r="G51" s="23">
        <f t="shared" si="20"/>
        <v>-38170.201706718726</v>
      </c>
      <c r="H51" s="23">
        <f t="shared" si="20"/>
        <v>-39315.30775792028</v>
      </c>
      <c r="I51" s="23">
        <f t="shared" si="20"/>
        <v>-40494.766990657889</v>
      </c>
      <c r="J51" s="23">
        <f t="shared" si="20"/>
        <v>-41709.61000037763</v>
      </c>
      <c r="K51" s="24">
        <f t="shared" si="20"/>
        <v>-42960.898300388959</v>
      </c>
      <c r="M51" s="2903"/>
      <c r="N51" s="2904"/>
    </row>
    <row r="52" spans="1:14" ht="13.15" customHeight="1">
      <c r="A52" s="22" t="s">
        <v>1248</v>
      </c>
      <c r="B52" s="23">
        <f t="shared" ref="B52:K52" si="21">SUM(B44:B51)</f>
        <v>128426.98672884353</v>
      </c>
      <c r="C52" s="23">
        <f t="shared" si="21"/>
        <v>126510.52179756688</v>
      </c>
      <c r="D52" s="23">
        <f t="shared" si="21"/>
        <v>124422.17182768924</v>
      </c>
      <c r="E52" s="23">
        <f t="shared" si="21"/>
        <v>122153.12284623928</v>
      </c>
      <c r="F52" s="23">
        <f t="shared" si="21"/>
        <v>119696.34031262001</v>
      </c>
      <c r="G52" s="23">
        <f t="shared" si="21"/>
        <v>117043.56157861206</v>
      </c>
      <c r="H52" s="23">
        <f t="shared" si="21"/>
        <v>114185.2881037164</v>
      </c>
      <c r="I52" s="23">
        <f t="shared" si="21"/>
        <v>111114.77741812868</v>
      </c>
      <c r="J52" s="23">
        <f t="shared" si="21"/>
        <v>107822.03482539917</v>
      </c>
      <c r="K52" s="24">
        <f t="shared" si="21"/>
        <v>104297.80483658238</v>
      </c>
      <c r="M52" s="2903"/>
      <c r="N52" s="2904"/>
    </row>
    <row r="53" spans="1:14" ht="13.15" customHeight="1">
      <c r="A53" s="22" t="str">
        <f>$A23</f>
        <v>Mortgage A</v>
      </c>
      <c r="B53" s="3044">
        <f>IF('Part III-Sources of Funds'!$N$37="", 0,-'Part III-Sources of Funds'!$N$37)</f>
        <v>-95783.104757729001</v>
      </c>
      <c r="C53" s="3044">
        <f>IF('Part III-Sources of Funds'!$N$37="", 0,-'Part III-Sources of Funds'!$N$37)</f>
        <v>-95783.104757729001</v>
      </c>
      <c r="D53" s="3044">
        <f>IF('Part III-Sources of Funds'!$N$37="", 0,-'Part III-Sources of Funds'!$N$37)</f>
        <v>-95783.104757729001</v>
      </c>
      <c r="E53" s="3044">
        <f>IF('Part III-Sources of Funds'!$N$37="", 0,-'Part III-Sources of Funds'!$N$37)</f>
        <v>-95783.104757729001</v>
      </c>
      <c r="F53" s="3044">
        <f>IF('Part III-Sources of Funds'!$N$37="", 0,-'Part III-Sources of Funds'!$N$37)</f>
        <v>-95783.104757729001</v>
      </c>
      <c r="G53" s="3044">
        <f>IF('Part III-Sources of Funds'!$N$37="", 0,-'Part III-Sources of Funds'!$N$37)</f>
        <v>-95783.104757729001</v>
      </c>
      <c r="H53" s="3044">
        <f>IF('Part III-Sources of Funds'!$N$37="", 0,-'Part III-Sources of Funds'!$N$37)</f>
        <v>-95783.104757729001</v>
      </c>
      <c r="I53" s="3044">
        <f>IF('Part III-Sources of Funds'!$N$37="", 0,-'Part III-Sources of Funds'!$N$37)</f>
        <v>-95783.104757729001</v>
      </c>
      <c r="J53" s="3044">
        <f>IF('Part III-Sources of Funds'!$N$37="", 0,-'Part III-Sources of Funds'!$N$37)</f>
        <v>-95783.104757729001</v>
      </c>
      <c r="K53" s="3044">
        <f>IF('Part III-Sources of Funds'!$N$37="", 0,-'Part III-Sources of Funds'!$N$37)</f>
        <v>-95783.104757729001</v>
      </c>
      <c r="M53" s="2903"/>
      <c r="N53" s="2904"/>
    </row>
    <row r="54" spans="1:14" ht="13.15" customHeight="1">
      <c r="A54" s="22" t="str">
        <f>$A24</f>
        <v>Mortgage B</v>
      </c>
      <c r="B54" s="3045">
        <f>IF('Part III-Sources of Funds'!$N$38="", 0,-'Part III-Sources of Funds'!$N$38)</f>
        <v>0</v>
      </c>
      <c r="C54" s="3045">
        <f>IF('Part III-Sources of Funds'!$N$38="", 0,-'Part III-Sources of Funds'!$N$38)</f>
        <v>0</v>
      </c>
      <c r="D54" s="3045">
        <f>IF('Part III-Sources of Funds'!$N$38="", 0,-'Part III-Sources of Funds'!$N$38)</f>
        <v>0</v>
      </c>
      <c r="E54" s="3045">
        <f>IF('Part III-Sources of Funds'!$N$38="", 0,-'Part III-Sources of Funds'!$N$38)</f>
        <v>0</v>
      </c>
      <c r="F54" s="3045">
        <f>IF('Part III-Sources of Funds'!$N$38="", 0,-'Part III-Sources of Funds'!$N$38)</f>
        <v>0</v>
      </c>
      <c r="G54" s="3045">
        <f>IF('Part III-Sources of Funds'!$N$38="", 0,-'Part III-Sources of Funds'!$N$38)</f>
        <v>0</v>
      </c>
      <c r="H54" s="3045">
        <f>IF('Part III-Sources of Funds'!$N$38="", 0,-'Part III-Sources of Funds'!$N$38)</f>
        <v>0</v>
      </c>
      <c r="I54" s="3045">
        <f>IF('Part III-Sources of Funds'!$N$38="", 0,-'Part III-Sources of Funds'!$N$38)</f>
        <v>0</v>
      </c>
      <c r="J54" s="3045">
        <f>IF('Part III-Sources of Funds'!$N$38="", 0,-'Part III-Sources of Funds'!$N$38)</f>
        <v>0</v>
      </c>
      <c r="K54" s="3045">
        <f>IF('Part III-Sources of Funds'!$N$38="", 0,-'Part III-Sources of Funds'!$N$38)</f>
        <v>0</v>
      </c>
      <c r="M54" s="2903"/>
      <c r="N54" s="2904"/>
    </row>
    <row r="55" spans="1:14" ht="13.15" customHeight="1">
      <c r="A55" s="22" t="str">
        <f>$A25</f>
        <v>Mortgage C</v>
      </c>
      <c r="B55" s="3045">
        <f>IF('Part III-Sources of Funds'!$N$39="", 0,-'Part III-Sources of Funds'!$N$39)</f>
        <v>0</v>
      </c>
      <c r="C55" s="3045">
        <f>IF('Part III-Sources of Funds'!$N$39="", 0,-'Part III-Sources of Funds'!$N$39)</f>
        <v>0</v>
      </c>
      <c r="D55" s="3045">
        <f>IF('Part III-Sources of Funds'!$N$39="", 0,-'Part III-Sources of Funds'!$N$39)</f>
        <v>0</v>
      </c>
      <c r="E55" s="3045">
        <f>IF('Part III-Sources of Funds'!$N$39="", 0,-'Part III-Sources of Funds'!$N$39)</f>
        <v>0</v>
      </c>
      <c r="F55" s="3045">
        <f>IF('Part III-Sources of Funds'!$N$39="", 0,-'Part III-Sources of Funds'!$N$39)</f>
        <v>0</v>
      </c>
      <c r="G55" s="3045">
        <f>IF('Part III-Sources of Funds'!$N$39="", 0,-'Part III-Sources of Funds'!$N$39)</f>
        <v>0</v>
      </c>
      <c r="H55" s="3045">
        <f>IF('Part III-Sources of Funds'!$N$39="", 0,-'Part III-Sources of Funds'!$N$39)</f>
        <v>0</v>
      </c>
      <c r="I55" s="3045">
        <f>IF('Part III-Sources of Funds'!$N$39="", 0,-'Part III-Sources of Funds'!$N$39)</f>
        <v>0</v>
      </c>
      <c r="J55" s="3045">
        <f>IF('Part III-Sources of Funds'!$N$39="", 0,-'Part III-Sources of Funds'!$N$39)</f>
        <v>0</v>
      </c>
      <c r="K55" s="3045">
        <f>IF('Part III-Sources of Funds'!$N$39="", 0,-'Part III-Sources of Funds'!$N$39)</f>
        <v>0</v>
      </c>
      <c r="M55" s="2903"/>
      <c r="N55" s="2904"/>
    </row>
    <row r="56" spans="1:14" ht="13.15" customHeight="1">
      <c r="A56" s="22" t="str">
        <f>$A26</f>
        <v>D/S Other Source</v>
      </c>
      <c r="B56" s="3045">
        <f>IF('Part III-Sources of Funds'!$N$40="", 0,-'Part III-Sources of Funds'!$N$40)</f>
        <v>0</v>
      </c>
      <c r="C56" s="3045">
        <f>IF('Part III-Sources of Funds'!$N$40="", 0,-'Part III-Sources of Funds'!$N$40)</f>
        <v>0</v>
      </c>
      <c r="D56" s="3045">
        <f>IF('Part III-Sources of Funds'!$N$40="", 0,-'Part III-Sources of Funds'!$N$40)</f>
        <v>0</v>
      </c>
      <c r="E56" s="3045">
        <f>IF('Part III-Sources of Funds'!$N$40="", 0,-'Part III-Sources of Funds'!$N$40)</f>
        <v>0</v>
      </c>
      <c r="F56" s="3045">
        <f>IF('Part III-Sources of Funds'!$N$40="", 0,-'Part III-Sources of Funds'!$N$40)</f>
        <v>0</v>
      </c>
      <c r="G56" s="3045">
        <f>IF('Part III-Sources of Funds'!$N$40="", 0,-'Part III-Sources of Funds'!$N$40)</f>
        <v>0</v>
      </c>
      <c r="H56" s="3045">
        <f>IF('Part III-Sources of Funds'!$N$40="", 0,-'Part III-Sources of Funds'!$N$40)</f>
        <v>0</v>
      </c>
      <c r="I56" s="3045">
        <f>IF('Part III-Sources of Funds'!$N$40="", 0,-'Part III-Sources of Funds'!$N$40)</f>
        <v>0</v>
      </c>
      <c r="J56" s="3045">
        <f>IF('Part III-Sources of Funds'!$N$40="", 0,-'Part III-Sources of Funds'!$N$40)</f>
        <v>0</v>
      </c>
      <c r="K56" s="3045">
        <f>IF('Part III-Sources of Funds'!$N$40="", 0,-'Part III-Sources of Funds'!$N$40)</f>
        <v>0</v>
      </c>
      <c r="M56" s="2903"/>
      <c r="N56" s="2904"/>
    </row>
    <row r="57" spans="1:14" ht="13.15" customHeight="1">
      <c r="A57" s="22" t="s">
        <v>794</v>
      </c>
      <c r="B57" s="3046"/>
      <c r="C57" s="3046"/>
      <c r="D57" s="3046"/>
      <c r="E57" s="3046"/>
      <c r="F57" s="3046"/>
      <c r="G57" s="3046"/>
      <c r="H57" s="3046"/>
      <c r="I57" s="3046"/>
      <c r="J57" s="3046"/>
      <c r="K57" s="3046"/>
      <c r="M57" s="2903"/>
      <c r="N57" s="2904"/>
    </row>
    <row r="58" spans="1:14" ht="13.15" customHeight="1">
      <c r="A58" s="22" t="s">
        <v>1206</v>
      </c>
      <c r="B58" s="3045">
        <f>+K28</f>
        <v>-3500</v>
      </c>
      <c r="C58" s="3045">
        <f t="shared" ref="C58:K58" si="22">+B58</f>
        <v>-3500</v>
      </c>
      <c r="D58" s="3045">
        <f t="shared" si="22"/>
        <v>-3500</v>
      </c>
      <c r="E58" s="3045">
        <f t="shared" si="22"/>
        <v>-3500</v>
      </c>
      <c r="F58" s="3045">
        <f t="shared" si="22"/>
        <v>-3500</v>
      </c>
      <c r="G58" s="3045">
        <f t="shared" si="22"/>
        <v>-3500</v>
      </c>
      <c r="H58" s="3045">
        <f t="shared" si="22"/>
        <v>-3500</v>
      </c>
      <c r="I58" s="3045">
        <f t="shared" si="22"/>
        <v>-3500</v>
      </c>
      <c r="J58" s="3045">
        <f t="shared" si="22"/>
        <v>-3500</v>
      </c>
      <c r="K58" s="3045">
        <f t="shared" si="22"/>
        <v>-3500</v>
      </c>
      <c r="M58" s="2903"/>
      <c r="N58" s="2904"/>
    </row>
    <row r="59" spans="1:14" ht="13.15" customHeight="1">
      <c r="A59" s="22" t="s">
        <v>1249</v>
      </c>
      <c r="B59" s="3047">
        <f>IF('Part III-Sources of Funds'!$N$42="", 0,-'Part III-Sources of Funds'!$N$42)</f>
        <v>0</v>
      </c>
      <c r="C59" s="3047">
        <f>IF('Part III-Sources of Funds'!$N$42="", 0,-'Part III-Sources of Funds'!$N$42)</f>
        <v>0</v>
      </c>
      <c r="D59" s="3047">
        <f>IF('Part III-Sources of Funds'!$N$42="", 0,-'Part III-Sources of Funds'!$N$42)</f>
        <v>0</v>
      </c>
      <c r="E59" s="3047">
        <f>IF('Part III-Sources of Funds'!$N$42="", 0,-'Part III-Sources of Funds'!$N$42)</f>
        <v>0</v>
      </c>
      <c r="F59" s="3047">
        <f>IF('Part III-Sources of Funds'!$N$42="", 0,-'Part III-Sources of Funds'!$N$42)</f>
        <v>0</v>
      </c>
      <c r="G59" s="3047">
        <f>IF('Part III-Sources of Funds'!$N$42="", 0,-'Part III-Sources of Funds'!$N$42)</f>
        <v>0</v>
      </c>
      <c r="H59" s="3047">
        <f>IF('Part III-Sources of Funds'!$N$42="", 0,-'Part III-Sources of Funds'!$N$42)</f>
        <v>0</v>
      </c>
      <c r="I59" s="3047">
        <f>IF('Part III-Sources of Funds'!$N$42="", 0,-'Part III-Sources of Funds'!$N$42)</f>
        <v>0</v>
      </c>
      <c r="J59" s="3047">
        <f>IF('Part III-Sources of Funds'!$N$42="", 0,-'Part III-Sources of Funds'!$N$42)</f>
        <v>0</v>
      </c>
      <c r="K59" s="3045">
        <f>IF('Part III-Sources of Funds'!$N$42="", 0,-'Part III-Sources of Funds'!$N$42)</f>
        <v>0</v>
      </c>
      <c r="M59" s="2903"/>
      <c r="N59" s="2904"/>
    </row>
    <row r="60" spans="1:14" ht="13.15" customHeight="1">
      <c r="A60" s="22" t="s">
        <v>1207</v>
      </c>
      <c r="B60" s="23">
        <f t="shared" ref="B60:K60" si="23">SUM(B52:B59)</f>
        <v>29143.881971114533</v>
      </c>
      <c r="C60" s="23">
        <f t="shared" si="23"/>
        <v>27227.417039837877</v>
      </c>
      <c r="D60" s="23">
        <f t="shared" si="23"/>
        <v>25139.067069960234</v>
      </c>
      <c r="E60" s="23">
        <f t="shared" si="23"/>
        <v>22870.018088510275</v>
      </c>
      <c r="F60" s="23">
        <f t="shared" si="23"/>
        <v>20413.235554891013</v>
      </c>
      <c r="G60" s="23">
        <f t="shared" si="23"/>
        <v>17760.456820883061</v>
      </c>
      <c r="H60" s="23">
        <f t="shared" si="23"/>
        <v>14902.183345987403</v>
      </c>
      <c r="I60" s="23">
        <f t="shared" si="23"/>
        <v>11831.672660399679</v>
      </c>
      <c r="J60" s="23">
        <f t="shared" si="23"/>
        <v>8538.9300676701678</v>
      </c>
      <c r="K60" s="21">
        <f t="shared" si="23"/>
        <v>5014.7000788533769</v>
      </c>
      <c r="M60" s="2903"/>
      <c r="N60" s="2904"/>
    </row>
    <row r="61" spans="1:14" ht="13.15" customHeight="1">
      <c r="A61" s="22" t="str">
        <f>$A31</f>
        <v>DCR Mortgage A</v>
      </c>
      <c r="B61" s="25">
        <f>IF(B53=0,"",-B52/B53)</f>
        <v>1.3408104388940307</v>
      </c>
      <c r="C61" s="25">
        <f t="shared" ref="C61:K61" si="24">IF(C53=0,"",-C52/C53)</f>
        <v>1.3208020570805146</v>
      </c>
      <c r="D61" s="25">
        <f t="shared" si="24"/>
        <v>1.2989991517021615</v>
      </c>
      <c r="E61" s="25">
        <f t="shared" si="24"/>
        <v>1.2753097026371178</v>
      </c>
      <c r="F61" s="25">
        <f t="shared" si="24"/>
        <v>1.2496602674905606</v>
      </c>
      <c r="G61" s="25">
        <f t="shared" si="24"/>
        <v>1.2219645821114136</v>
      </c>
      <c r="H61" s="25">
        <f t="shared" si="24"/>
        <v>1.1921234793185431</v>
      </c>
      <c r="I61" s="25">
        <f t="shared" si="24"/>
        <v>1.1600665660105627</v>
      </c>
      <c r="J61" s="25">
        <f t="shared" si="24"/>
        <v>1.1256894950118925</v>
      </c>
      <c r="K61" s="26">
        <f t="shared" si="24"/>
        <v>1.088895636661499</v>
      </c>
      <c r="M61" s="2903"/>
      <c r="N61" s="2904"/>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3"/>
      <c r="N62" s="2904"/>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3"/>
      <c r="N63" s="2904"/>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3"/>
      <c r="N64" s="2904"/>
    </row>
    <row r="65" spans="1:14" ht="13.15" customHeight="1">
      <c r="A65" s="471" t="s">
        <v>4192</v>
      </c>
      <c r="B65" s="25">
        <f>IF(AND(B53=0,B54=0,B55=0,B56=0),"",-B52/(B53+B54+B55+B56))</f>
        <v>1.3408104388940307</v>
      </c>
      <c r="C65" s="25">
        <f t="shared" ref="C65:K65" si="28">IF(AND(C53=0,C54=0,C55=0,C56=0),"",-C52/(C53+C54+C55+C56))</f>
        <v>1.3208020570805146</v>
      </c>
      <c r="D65" s="25">
        <f t="shared" si="28"/>
        <v>1.2989991517021615</v>
      </c>
      <c r="E65" s="25">
        <f t="shared" si="28"/>
        <v>1.2753097026371178</v>
      </c>
      <c r="F65" s="25">
        <f t="shared" si="28"/>
        <v>1.2496602674905606</v>
      </c>
      <c r="G65" s="25">
        <f t="shared" si="28"/>
        <v>1.2219645821114136</v>
      </c>
      <c r="H65" s="25">
        <f t="shared" si="28"/>
        <v>1.1921234793185431</v>
      </c>
      <c r="I65" s="25">
        <f t="shared" si="28"/>
        <v>1.1600665660105627</v>
      </c>
      <c r="J65" s="25">
        <f t="shared" si="28"/>
        <v>1.1256894950118925</v>
      </c>
      <c r="K65" s="26">
        <f t="shared" si="28"/>
        <v>1.088895636661499</v>
      </c>
      <c r="M65" s="2903"/>
      <c r="N65" s="2904"/>
    </row>
    <row r="66" spans="1:14" ht="13.15" customHeight="1">
      <c r="A66" s="22" t="s">
        <v>801</v>
      </c>
      <c r="B66" s="293">
        <f>IF(OR(B50="Choose mgt fee",B50="Choose One!"),"",(B44+B45+B46+B47+B48) / -(B49+B50+B51))</f>
        <v>1.2863934747648398</v>
      </c>
      <c r="C66" s="293">
        <f t="shared" ref="C66:K66" si="29">IF(OR(C50="Choose mgt fee",C50="Choose One!"),"",(C44+C45+C46+C47+C48) / -(C49+C50+C51))</f>
        <v>1.2739022319159889</v>
      </c>
      <c r="D66" s="293">
        <f t="shared" si="29"/>
        <v>1.2615349385343206</v>
      </c>
      <c r="E66" s="293">
        <f t="shared" si="29"/>
        <v>1.2492867460635353</v>
      </c>
      <c r="F66" s="293">
        <f t="shared" si="29"/>
        <v>1.2371583858467272</v>
      </c>
      <c r="G66" s="293">
        <f t="shared" si="29"/>
        <v>1.2251480820723359</v>
      </c>
      <c r="H66" s="293">
        <f t="shared" si="29"/>
        <v>1.2132520130022648</v>
      </c>
      <c r="I66" s="293">
        <f t="shared" si="29"/>
        <v>1.2014734336580533</v>
      </c>
      <c r="J66" s="293">
        <f t="shared" si="29"/>
        <v>1.1898087896568879</v>
      </c>
      <c r="K66" s="294">
        <f t="shared" si="29"/>
        <v>1.1782570264941445</v>
      </c>
      <c r="M66" s="2903"/>
      <c r="N66" s="2904"/>
    </row>
    <row r="67" spans="1:14" ht="13.15" customHeight="1">
      <c r="A67" s="471" t="s">
        <v>2705</v>
      </c>
      <c r="B67" s="3048">
        <f>IF('Part III-Sources of Funds'!$I$37="","",-FV('Part III-Sources of Funds'!$K$37/12,12,B53/12,K37))</f>
        <v>1425085.7055097269</v>
      </c>
      <c r="C67" s="3048">
        <f>IF('Part III-Sources of Funds'!$I$37="","",-FV('Part III-Sources of Funds'!$K$37/12,12,C53/12,B67))</f>
        <v>1403607.6732054276</v>
      </c>
      <c r="D67" s="3048">
        <f>IF('Part III-Sources of Funds'!$I$37="","",-FV('Part III-Sources of Funds'!$K$37/12,12,D53/12,C67))</f>
        <v>1380974.5118006098</v>
      </c>
      <c r="E67" s="3048">
        <f>IF('Part III-Sources of Funds'!$I$37="","",-FV('Part III-Sources of Funds'!$K$37/12,12,E53/12,D67))</f>
        <v>1357124.0962728336</v>
      </c>
      <c r="F67" s="3048">
        <f>IF('Part III-Sources of Funds'!$I$37="","",-FV('Part III-Sources of Funds'!$K$37/12,12,F53/12,E67))</f>
        <v>1331990.9603987397</v>
      </c>
      <c r="G67" s="3048">
        <f>IF('Part III-Sources of Funds'!$I$37="","",-FV('Part III-Sources of Funds'!$K$37/12,12,G53/12,F67))</f>
        <v>1305506.1170579593</v>
      </c>
      <c r="H67" s="3048">
        <f>IF('Part III-Sources of Funds'!$I$37="","",-FV('Part III-Sources of Funds'!$K$37/12,12,H53/12,G67))</f>
        <v>1277596.8688726304</v>
      </c>
      <c r="I67" s="3048">
        <f>IF('Part III-Sources of Funds'!$I$37="","",-FV('Part III-Sources of Funds'!$K$37/12,12,I53/12,H67))</f>
        <v>1248186.6086627496</v>
      </c>
      <c r="J67" s="3048">
        <f>IF('Part III-Sources of Funds'!$I$37="","",-FV('Part III-Sources of Funds'!$K$37/12,12,J53/12,I67))</f>
        <v>1217194.6091696359</v>
      </c>
      <c r="K67" s="3048">
        <f>IF('Part III-Sources of Funds'!$I$37="","",-FV('Part III-Sources of Funds'!$K$37/12,12,K53/12,J67))</f>
        <v>1184535.8014703258</v>
      </c>
      <c r="M67" s="2903"/>
      <c r="N67" s="2904"/>
    </row>
    <row r="68" spans="1:14" ht="13.15" customHeight="1">
      <c r="A68" s="471" t="s">
        <v>2706</v>
      </c>
      <c r="B68" s="3045" t="str">
        <f>IF('Part III-Sources of Funds'!$I$38="","",-FV('Part III-Sources of Funds'!$K$38/12,12,B54/12,K38))</f>
        <v/>
      </c>
      <c r="C68" s="3045" t="str">
        <f>IF('Part III-Sources of Funds'!$I$38="","",-FV('Part III-Sources of Funds'!$K$38/12,12,C54/12,B68))</f>
        <v/>
      </c>
      <c r="D68" s="3045" t="str">
        <f>IF('Part III-Sources of Funds'!$I$38="","",-FV('Part III-Sources of Funds'!$K$38/12,12,D54/12,C68))</f>
        <v/>
      </c>
      <c r="E68" s="3045" t="str">
        <f>IF('Part III-Sources of Funds'!$I$38="","",-FV('Part III-Sources of Funds'!$K$38/12,12,E54/12,D68))</f>
        <v/>
      </c>
      <c r="F68" s="3045" t="str">
        <f>IF('Part III-Sources of Funds'!$I$38="","",-FV('Part III-Sources of Funds'!$K$38/12,12,F54/12,E68))</f>
        <v/>
      </c>
      <c r="G68" s="3045" t="str">
        <f>IF('Part III-Sources of Funds'!$I$38="","",-FV('Part III-Sources of Funds'!$K$38/12,12,G54/12,F68))</f>
        <v/>
      </c>
      <c r="H68" s="3045" t="str">
        <f>IF('Part III-Sources of Funds'!$I$38="","",-FV('Part III-Sources of Funds'!$K$38/12,12,H54/12,G68))</f>
        <v/>
      </c>
      <c r="I68" s="3045" t="str">
        <f>IF('Part III-Sources of Funds'!$I$38="","",-FV('Part III-Sources of Funds'!$K$38/12,12,I54/12,H68))</f>
        <v/>
      </c>
      <c r="J68" s="3045" t="str">
        <f>IF('Part III-Sources of Funds'!$I$38="","",-FV('Part III-Sources of Funds'!$K$38/12,12,J54/12,I68))</f>
        <v/>
      </c>
      <c r="K68" s="3045" t="str">
        <f>IF('Part III-Sources of Funds'!$I$38="","",-FV('Part III-Sources of Funds'!$K$38/12,12,K54/12,J68))</f>
        <v/>
      </c>
      <c r="M68" s="2903"/>
      <c r="N68" s="2904"/>
    </row>
    <row r="69" spans="1:14" ht="13.15" customHeight="1">
      <c r="A69" s="471" t="s">
        <v>2707</v>
      </c>
      <c r="B69" s="3045" t="str">
        <f>IF('Part III-Sources of Funds'!$I$39="","",-FV('Part III-Sources of Funds'!$K$39/12,12,B55/12,K39))</f>
        <v/>
      </c>
      <c r="C69" s="3045" t="str">
        <f>IF('Part III-Sources of Funds'!$I$39="","",-FV('Part III-Sources of Funds'!$K$39/12,12,C55/12,B69))</f>
        <v/>
      </c>
      <c r="D69" s="3045" t="str">
        <f>IF('Part III-Sources of Funds'!$I$39="","",-FV('Part III-Sources of Funds'!$K$39/12,12,D55/12,C69))</f>
        <v/>
      </c>
      <c r="E69" s="3045" t="str">
        <f>IF('Part III-Sources of Funds'!$I$39="","",-FV('Part III-Sources of Funds'!$K$39/12,12,E55/12,D69))</f>
        <v/>
      </c>
      <c r="F69" s="3045" t="str">
        <f>IF('Part III-Sources of Funds'!$I$39="","",-FV('Part III-Sources of Funds'!$K$39/12,12,F55/12,E69))</f>
        <v/>
      </c>
      <c r="G69" s="3045" t="str">
        <f>IF('Part III-Sources of Funds'!$I$39="","",-FV('Part III-Sources of Funds'!$K$39/12,12,G55/12,F69))</f>
        <v/>
      </c>
      <c r="H69" s="3045" t="str">
        <f>IF('Part III-Sources of Funds'!$I$39="","",-FV('Part III-Sources of Funds'!$K$39/12,12,H55/12,G69))</f>
        <v/>
      </c>
      <c r="I69" s="3045" t="str">
        <f>IF('Part III-Sources of Funds'!$I$39="","",-FV('Part III-Sources of Funds'!$K$39/12,12,I55/12,H69))</f>
        <v/>
      </c>
      <c r="J69" s="3045" t="str">
        <f>IF('Part III-Sources of Funds'!$I$39="","",-FV('Part III-Sources of Funds'!$K$39/12,12,J55/12,I69))</f>
        <v/>
      </c>
      <c r="K69" s="3045" t="str">
        <f>IF('Part III-Sources of Funds'!$I$39="","",-FV('Part III-Sources of Funds'!$K$39/12,12,K55/12,J69))</f>
        <v/>
      </c>
      <c r="M69" s="2903"/>
      <c r="N69" s="2904"/>
    </row>
    <row r="70" spans="1:14" ht="13.15" customHeight="1">
      <c r="A70" s="22" t="s">
        <v>816</v>
      </c>
      <c r="B70" s="3045" t="str">
        <f>IF('Part III-Sources of Funds'!$I$40="","",-FV('Part III-Sources of Funds'!$K$40/12,12,B56/12,K40))</f>
        <v/>
      </c>
      <c r="C70" s="3045" t="str">
        <f>IF('Part III-Sources of Funds'!$I$40="","",-FV('Part III-Sources of Funds'!$K$40/12,12,C56/12,B70))</f>
        <v/>
      </c>
      <c r="D70" s="3045" t="str">
        <f>IF('Part III-Sources of Funds'!$I$40="","",-FV('Part III-Sources of Funds'!$K$40/12,12,D56/12,C70))</f>
        <v/>
      </c>
      <c r="E70" s="3045" t="str">
        <f>IF('Part III-Sources of Funds'!$I$40="","",-FV('Part III-Sources of Funds'!$K$40/12,12,E56/12,D70))</f>
        <v/>
      </c>
      <c r="F70" s="3045" t="str">
        <f>IF('Part III-Sources of Funds'!$I$40="","",-FV('Part III-Sources of Funds'!$K$40/12,12,F56/12,E70))</f>
        <v/>
      </c>
      <c r="G70" s="3045" t="str">
        <f>IF('Part III-Sources of Funds'!$I$40="","",-FV('Part III-Sources of Funds'!$K$40/12,12,G56/12,F70))</f>
        <v/>
      </c>
      <c r="H70" s="3045" t="str">
        <f>IF('Part III-Sources of Funds'!$I$40="","",-FV('Part III-Sources of Funds'!$K$40/12,12,H56/12,G70))</f>
        <v/>
      </c>
      <c r="I70" s="3045" t="str">
        <f>IF('Part III-Sources of Funds'!$I$40="","",-FV('Part III-Sources of Funds'!$K$40/12,12,I56/12,H70))</f>
        <v/>
      </c>
      <c r="J70" s="3045" t="str">
        <f>IF('Part III-Sources of Funds'!$I$40="","",-FV('Part III-Sources of Funds'!$K$40/12,12,J56/12,I70))</f>
        <v/>
      </c>
      <c r="K70" s="3045" t="str">
        <f>IF('Part III-Sources of Funds'!$I$40="","",-FV('Part III-Sources of Funds'!$K$40/12,12,K56/12,J70))</f>
        <v/>
      </c>
      <c r="M70" s="2903"/>
      <c r="N70" s="2904"/>
    </row>
    <row r="71" spans="1:14" ht="13.15" customHeight="1">
      <c r="A71" s="27" t="s">
        <v>1284</v>
      </c>
      <c r="B71" s="3047">
        <f>IF('Part III-Sources of Funds'!$I$42="","",-FV('Part III-Sources of Funds'!$K$42/12,12,B59/12,K41))</f>
        <v>0</v>
      </c>
      <c r="C71" s="3047">
        <f>IF('Part III-Sources of Funds'!$I$42="","",-FV('Part III-Sources of Funds'!$K$42/12,12,C59/12,B71))</f>
        <v>0</v>
      </c>
      <c r="D71" s="3047">
        <f>IF('Part III-Sources of Funds'!$I$42="","",-FV('Part III-Sources of Funds'!$K$42/12,12,D59/12,C71))</f>
        <v>0</v>
      </c>
      <c r="E71" s="3047">
        <f>IF('Part III-Sources of Funds'!$I$42="","",-FV('Part III-Sources of Funds'!$K$42/12,12,E59/12,D71))</f>
        <v>0</v>
      </c>
      <c r="F71" s="3047">
        <f>IF('Part III-Sources of Funds'!$I$42="","",-FV('Part III-Sources of Funds'!$K$42/12,12,F59/12,E71))</f>
        <v>0</v>
      </c>
      <c r="G71" s="3047">
        <f>IF('Part III-Sources of Funds'!$I$42="","",-FV('Part III-Sources of Funds'!$K$42/12,12,G59/12,F71))</f>
        <v>0</v>
      </c>
      <c r="H71" s="3047">
        <f>IF('Part III-Sources of Funds'!$I$42="","",-FV('Part III-Sources of Funds'!$K$42/12,12,H59/12,G71))</f>
        <v>0</v>
      </c>
      <c r="I71" s="3047">
        <f>IF('Part III-Sources of Funds'!$I$42="","",-FV('Part III-Sources of Funds'!$K$42/12,12,I59/12,H71))</f>
        <v>0</v>
      </c>
      <c r="J71" s="3047">
        <f>IF('Part III-Sources of Funds'!$I$42="","",-FV('Part III-Sources of Funds'!$K$42/12,12,J59/12,I71))</f>
        <v>0</v>
      </c>
      <c r="K71" s="3047">
        <f>IF('Part III-Sources of Funds'!$I$42="","",-FV('Part III-Sources of Funds'!$K$42/12,12,K59/12,J71))</f>
        <v>0</v>
      </c>
      <c r="M71" s="2906"/>
      <c r="N71" s="2907"/>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0" t="s">
        <v>2711</v>
      </c>
      <c r="N73" s="1520"/>
    </row>
    <row r="74" spans="1:14" ht="13.15" customHeight="1">
      <c r="A74" s="19" t="s">
        <v>2489</v>
      </c>
      <c r="B74" s="20">
        <f t="shared" ref="B74:K74" si="31">$B$14*(1+$B$5)^(B73-1)</f>
        <v>741285.6617473457</v>
      </c>
      <c r="C74" s="20">
        <f t="shared" si="31"/>
        <v>756111.37498229253</v>
      </c>
      <c r="D74" s="20">
        <f t="shared" si="31"/>
        <v>771233.60248193843</v>
      </c>
      <c r="E74" s="20">
        <f t="shared" si="31"/>
        <v>786658.27453157713</v>
      </c>
      <c r="F74" s="20">
        <f t="shared" si="31"/>
        <v>802391.44002220861</v>
      </c>
      <c r="G74" s="20">
        <f t="shared" si="31"/>
        <v>818439.26882265287</v>
      </c>
      <c r="H74" s="20">
        <f t="shared" si="31"/>
        <v>834808.05419910594</v>
      </c>
      <c r="I74" s="20">
        <f t="shared" si="31"/>
        <v>851504.21528308792</v>
      </c>
      <c r="J74" s="20">
        <f t="shared" si="31"/>
        <v>868534.29958874988</v>
      </c>
      <c r="K74" s="21">
        <f t="shared" si="31"/>
        <v>885904.98558052478</v>
      </c>
      <c r="M74" s="2901"/>
      <c r="N74" s="2902"/>
    </row>
    <row r="75" spans="1:14" ht="13.15" customHeight="1">
      <c r="A75" s="22" t="s">
        <v>1053</v>
      </c>
      <c r="B75" s="23">
        <f t="shared" ref="B75:K75" si="32">$B$15*(1+$B$5)^(B73-1)</f>
        <v>14825.713234946916</v>
      </c>
      <c r="C75" s="23">
        <f t="shared" si="32"/>
        <v>15122.227499645853</v>
      </c>
      <c r="D75" s="23">
        <f t="shared" si="32"/>
        <v>15424.67204963877</v>
      </c>
      <c r="E75" s="23">
        <f t="shared" si="32"/>
        <v>15733.165490631543</v>
      </c>
      <c r="F75" s="23">
        <f t="shared" si="32"/>
        <v>16047.828800444175</v>
      </c>
      <c r="G75" s="23">
        <f t="shared" si="32"/>
        <v>16368.785376453057</v>
      </c>
      <c r="H75" s="23">
        <f t="shared" si="32"/>
        <v>16696.161083982122</v>
      </c>
      <c r="I75" s="23">
        <f t="shared" si="32"/>
        <v>17030.08430566176</v>
      </c>
      <c r="J75" s="23">
        <f t="shared" si="32"/>
        <v>17370.685991775001</v>
      </c>
      <c r="K75" s="24">
        <f t="shared" si="32"/>
        <v>17718.099711610495</v>
      </c>
      <c r="M75" s="2903"/>
      <c r="N75" s="2904"/>
    </row>
    <row r="76" spans="1:14" ht="13.15" customHeight="1">
      <c r="A76" s="22" t="s">
        <v>2490</v>
      </c>
      <c r="B76" s="23">
        <f t="shared" ref="B76:K76" si="33">-(B74+B75)*$B$8</f>
        <v>-52927.796248760489</v>
      </c>
      <c r="C76" s="23">
        <f t="shared" si="33"/>
        <v>-53986.352173735693</v>
      </c>
      <c r="D76" s="23">
        <f t="shared" si="33"/>
        <v>-55066.079217210412</v>
      </c>
      <c r="E76" s="23">
        <f t="shared" si="33"/>
        <v>-56167.400801554613</v>
      </c>
      <c r="F76" s="23">
        <f t="shared" si="33"/>
        <v>-57290.7488175857</v>
      </c>
      <c r="G76" s="23">
        <f t="shared" si="33"/>
        <v>-58436.563793937421</v>
      </c>
      <c r="H76" s="23">
        <f t="shared" si="33"/>
        <v>-59605.295069816166</v>
      </c>
      <c r="I76" s="23">
        <f t="shared" si="33"/>
        <v>-60797.400971212483</v>
      </c>
      <c r="J76" s="23">
        <f t="shared" si="33"/>
        <v>-62013.348990636747</v>
      </c>
      <c r="K76" s="24">
        <f t="shared" si="33"/>
        <v>-63253.615970449471</v>
      </c>
      <c r="M76" s="2903"/>
      <c r="N76" s="290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3"/>
      <c r="N77" s="290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3"/>
      <c r="N78" s="2904"/>
    </row>
    <row r="79" spans="1:14" ht="13.15" customHeight="1">
      <c r="A79" s="22" t="s">
        <v>638</v>
      </c>
      <c r="B79" s="23">
        <f t="shared" ref="B79:K79" si="34">$B$19*(1+$B$6)^(B73-1)</f>
        <v>-474841.29115670186</v>
      </c>
      <c r="C79" s="23">
        <f t="shared" si="34"/>
        <v>-489086.52989140287</v>
      </c>
      <c r="D79" s="23">
        <f t="shared" si="34"/>
        <v>-503759.125788145</v>
      </c>
      <c r="E79" s="23">
        <f t="shared" si="34"/>
        <v>-518871.89956178941</v>
      </c>
      <c r="F79" s="23">
        <f t="shared" si="34"/>
        <v>-534438.05654864304</v>
      </c>
      <c r="G79" s="23">
        <f t="shared" si="34"/>
        <v>-550471.19824510231</v>
      </c>
      <c r="H79" s="23">
        <f t="shared" si="34"/>
        <v>-566985.3341924554</v>
      </c>
      <c r="I79" s="23">
        <f t="shared" si="34"/>
        <v>-583994.89421822899</v>
      </c>
      <c r="J79" s="23">
        <f t="shared" si="34"/>
        <v>-601514.74104477593</v>
      </c>
      <c r="K79" s="24">
        <f t="shared" si="34"/>
        <v>-619560.18327611906</v>
      </c>
      <c r="M79" s="2903"/>
      <c r="N79" s="290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-83560</v>
      </c>
      <c r="C80" s="23">
        <f>IF(AND('Part VII-Pro Forma'!$G$8="Yes",'Part VII-Pro Forma'!$G$9="Yes"),"Choose One!",IF('Part VII-Pro Forma'!$G$8="Yes",ROUND((-$K$8*(1+'Part VII-Pro Forma'!$B$6)^('Part VII-Pro Forma'!C73-1)),),IF('Part VII-Pro Forma'!$G$9="Yes",ROUND((-(SUM(C74:C77)*'Part VII-Pro Forma'!$K$9)),),"Choose mgt fee")))</f>
        <v>-86067</v>
      </c>
      <c r="D80" s="23">
        <f>IF(AND('Part VII-Pro Forma'!$G$8="Yes",'Part VII-Pro Forma'!$G$9="Yes"),"Choose One!",IF('Part VII-Pro Forma'!$G$8="Yes",ROUND((-$K$8*(1+'Part VII-Pro Forma'!$B$6)^('Part VII-Pro Forma'!D73-1)),),IF('Part VII-Pro Forma'!$G$9="Yes",ROUND((-(SUM(D74:D77)*'Part VII-Pro Forma'!$K$9)),),"Choose mgt fee")))</f>
        <v>-88649</v>
      </c>
      <c r="E80" s="23">
        <f>IF(AND('Part VII-Pro Forma'!$G$8="Yes",'Part VII-Pro Forma'!$G$9="Yes"),"Choose One!",IF('Part VII-Pro Forma'!$G$8="Yes",ROUND((-$K$8*(1+'Part VII-Pro Forma'!$B$6)^('Part VII-Pro Forma'!E73-1)),),IF('Part VII-Pro Forma'!$G$9="Yes",ROUND((-(SUM(E74:E77)*'Part VII-Pro Forma'!$K$9)),),"Choose mgt fee")))</f>
        <v>-91308</v>
      </c>
      <c r="F80" s="23">
        <f>IF(AND('Part VII-Pro Forma'!$G$8="Yes",'Part VII-Pro Forma'!$G$9="Yes"),"Choose One!",IF('Part VII-Pro Forma'!$G$8="Yes",ROUND((-$K$8*(1+'Part VII-Pro Forma'!$B$6)^('Part VII-Pro Forma'!F73-1)),),IF('Part VII-Pro Forma'!$G$9="Yes",ROUND((-(SUM(F74:F77)*'Part VII-Pro Forma'!$K$9)),),"Choose mgt fee")))</f>
        <v>-94047</v>
      </c>
      <c r="G80" s="23">
        <f>IF(AND('Part VII-Pro Forma'!$G$8="Yes",'Part VII-Pro Forma'!$G$9="Yes"),"Choose One!",IF('Part VII-Pro Forma'!$G$8="Yes",ROUND((-$K$8*(1+'Part VII-Pro Forma'!$B$6)^('Part VII-Pro Forma'!G73-1)),),IF('Part VII-Pro Forma'!$G$9="Yes",ROUND((-(SUM(G74:G77)*'Part VII-Pro Forma'!$K$9)),),"Choose mgt fee")))</f>
        <v>-96869</v>
      </c>
      <c r="H80" s="23">
        <f>IF(AND('Part VII-Pro Forma'!$G$8="Yes",'Part VII-Pro Forma'!$G$9="Yes"),"Choose One!",IF('Part VII-Pro Forma'!$G$8="Yes",ROUND((-$K$8*(1+'Part VII-Pro Forma'!$B$6)^('Part VII-Pro Forma'!H73-1)),),IF('Part VII-Pro Forma'!$G$9="Yes",ROUND((-(SUM(H74:H77)*'Part VII-Pro Forma'!$K$9)),),"Choose mgt fee")))</f>
        <v>-99775</v>
      </c>
      <c r="I80" s="23">
        <f>IF(AND('Part VII-Pro Forma'!$G$8="Yes",'Part VII-Pro Forma'!$G$9="Yes"),"Choose One!",IF('Part VII-Pro Forma'!$G$8="Yes",ROUND((-$K$8*(1+'Part VII-Pro Forma'!$B$6)^('Part VII-Pro Forma'!I73-1)),),IF('Part VII-Pro Forma'!$G$9="Yes",ROUND((-(SUM(I74:I77)*'Part VII-Pro Forma'!$K$9)),),"Choose mgt fee")))</f>
        <v>-102768</v>
      </c>
      <c r="J80" s="23">
        <f>IF(AND('Part VII-Pro Forma'!$G$8="Yes",'Part VII-Pro Forma'!$G$9="Yes"),"Choose One!",IF('Part VII-Pro Forma'!$G$8="Yes",ROUND((-$K$8*(1+'Part VII-Pro Forma'!$B$6)^('Part VII-Pro Forma'!J73-1)),),IF('Part VII-Pro Forma'!$G$9="Yes",ROUND((-(SUM(J74:J77)*'Part VII-Pro Forma'!$K$9)),),"Choose mgt fee")))</f>
        <v>-105851</v>
      </c>
      <c r="K80" s="23">
        <f>IF(AND('Part VII-Pro Forma'!$G$8="Yes",'Part VII-Pro Forma'!$G$9="Yes"),"Choose One!",IF('Part VII-Pro Forma'!$G$8="Yes",ROUND((-$K$8*(1+'Part VII-Pro Forma'!$B$6)^('Part VII-Pro Forma'!K73-1)),),IF('Part VII-Pro Forma'!$G$9="Yes",ROUND((-(SUM(K74:K77)*'Part VII-Pro Forma'!$K$9)),),"Choose mgt fee")))</f>
        <v>-109027</v>
      </c>
      <c r="M80" s="2903"/>
      <c r="N80" s="2904"/>
    </row>
    <row r="81" spans="1:14" ht="13.15" customHeight="1">
      <c r="A81" s="22" t="s">
        <v>1247</v>
      </c>
      <c r="B81" s="23">
        <f t="shared" ref="B81:K81" si="35">$B$21*(1+$B$7)^(B73-1)</f>
        <v>-44249.725249400624</v>
      </c>
      <c r="C81" s="23">
        <f t="shared" si="35"/>
        <v>-45577.217006882638</v>
      </c>
      <c r="D81" s="23">
        <f t="shared" si="35"/>
        <v>-46944.533517089119</v>
      </c>
      <c r="E81" s="23">
        <f t="shared" si="35"/>
        <v>-48352.869522601795</v>
      </c>
      <c r="F81" s="23">
        <f t="shared" si="35"/>
        <v>-49803.455608279844</v>
      </c>
      <c r="G81" s="23">
        <f t="shared" si="35"/>
        <v>-51297.559276528242</v>
      </c>
      <c r="H81" s="23">
        <f t="shared" si="35"/>
        <v>-52836.48605482409</v>
      </c>
      <c r="I81" s="23">
        <f t="shared" si="35"/>
        <v>-54421.580636468811</v>
      </c>
      <c r="J81" s="23">
        <f t="shared" si="35"/>
        <v>-56054.228055562875</v>
      </c>
      <c r="K81" s="24">
        <f t="shared" si="35"/>
        <v>-57735.854897229758</v>
      </c>
      <c r="M81" s="2903"/>
      <c r="N81" s="2904"/>
    </row>
    <row r="82" spans="1:14" ht="13.15" customHeight="1">
      <c r="A82" s="22" t="s">
        <v>1248</v>
      </c>
      <c r="B82" s="23">
        <f t="shared" ref="B82:K82" si="36">SUM(B74:B81)</f>
        <v>100532.56232742962</v>
      </c>
      <c r="C82" s="23">
        <f t="shared" si="36"/>
        <v>96516.50340991719</v>
      </c>
      <c r="D82" s="23">
        <f t="shared" si="36"/>
        <v>92239.536009132717</v>
      </c>
      <c r="E82" s="23">
        <f t="shared" si="36"/>
        <v>87691.27013626296</v>
      </c>
      <c r="F82" s="23">
        <f t="shared" si="36"/>
        <v>82860.007848144218</v>
      </c>
      <c r="G82" s="23">
        <f t="shared" si="36"/>
        <v>77733.732883537945</v>
      </c>
      <c r="H82" s="23">
        <f t="shared" si="36"/>
        <v>72302.099965992384</v>
      </c>
      <c r="I82" s="23">
        <f t="shared" si="36"/>
        <v>66552.423762839433</v>
      </c>
      <c r="J82" s="23">
        <f t="shared" si="36"/>
        <v>60471.667489549327</v>
      </c>
      <c r="K82" s="24">
        <f t="shared" si="36"/>
        <v>54046.431148336909</v>
      </c>
      <c r="M82" s="2903"/>
      <c r="N82" s="2904"/>
    </row>
    <row r="83" spans="1:14" ht="13.15" customHeight="1">
      <c r="A83" s="22" t="str">
        <f>$A53</f>
        <v>Mortgage A</v>
      </c>
      <c r="B83" s="3044">
        <f>IF('Part III-Sources of Funds'!$N$37="", 0,-'Part III-Sources of Funds'!$N$37)</f>
        <v>-95783.104757729001</v>
      </c>
      <c r="C83" s="3044">
        <f>IF('Part III-Sources of Funds'!$N$37="", 0,-'Part III-Sources of Funds'!$N$37)</f>
        <v>-95783.104757729001</v>
      </c>
      <c r="D83" s="3044">
        <f>IF('Part III-Sources of Funds'!$N$37="", 0,-'Part III-Sources of Funds'!$N$37)</f>
        <v>-95783.104757729001</v>
      </c>
      <c r="E83" s="3044">
        <f>IF('Part III-Sources of Funds'!$N$37="", 0,-'Part III-Sources of Funds'!$N$37)</f>
        <v>-95783.104757729001</v>
      </c>
      <c r="F83" s="3044">
        <f>IF('Part III-Sources of Funds'!$N$37="", 0,-'Part III-Sources of Funds'!$N$37)</f>
        <v>-95783.104757729001</v>
      </c>
      <c r="G83" s="3044">
        <f>IF('Part III-Sources of Funds'!$N$37="", 0,-'Part III-Sources of Funds'!$N$37)</f>
        <v>-95783.104757729001</v>
      </c>
      <c r="H83" s="3044">
        <f>IF('Part III-Sources of Funds'!$N$37="", 0,-'Part III-Sources of Funds'!$N$37)</f>
        <v>-95783.104757729001</v>
      </c>
      <c r="I83" s="3044">
        <f>IF('Part III-Sources of Funds'!$N$37="", 0,-'Part III-Sources of Funds'!$N$37)</f>
        <v>-95783.104757729001</v>
      </c>
      <c r="J83" s="3044">
        <f>IF('Part III-Sources of Funds'!$N$37="", 0,-'Part III-Sources of Funds'!$N$37)</f>
        <v>-95783.104757729001</v>
      </c>
      <c r="K83" s="3044">
        <f>IF('Part III-Sources of Funds'!$N$37="", 0,-'Part III-Sources of Funds'!$N$37)</f>
        <v>-95783.104757729001</v>
      </c>
      <c r="M83" s="2903"/>
      <c r="N83" s="2904"/>
    </row>
    <row r="84" spans="1:14" ht="13.15" customHeight="1">
      <c r="A84" s="22" t="str">
        <f>$A54</f>
        <v>Mortgage B</v>
      </c>
      <c r="B84" s="3045">
        <f>IF('Part III-Sources of Funds'!$N$38="", 0,-'Part III-Sources of Funds'!$N$38)</f>
        <v>0</v>
      </c>
      <c r="C84" s="3045">
        <f>IF('Part III-Sources of Funds'!$N$38="", 0,-'Part III-Sources of Funds'!$N$38)</f>
        <v>0</v>
      </c>
      <c r="D84" s="3045">
        <f>IF('Part III-Sources of Funds'!$N$38="", 0,-'Part III-Sources of Funds'!$N$38)</f>
        <v>0</v>
      </c>
      <c r="E84" s="3045">
        <f>IF('Part III-Sources of Funds'!$N$38="", 0,-'Part III-Sources of Funds'!$N$38)</f>
        <v>0</v>
      </c>
      <c r="F84" s="3045">
        <f>IF('Part III-Sources of Funds'!$N$38="", 0,-'Part III-Sources of Funds'!$N$38)</f>
        <v>0</v>
      </c>
      <c r="G84" s="3045">
        <f>IF('Part III-Sources of Funds'!$N$38="", 0,-'Part III-Sources of Funds'!$N$38)</f>
        <v>0</v>
      </c>
      <c r="H84" s="3045">
        <f>IF('Part III-Sources of Funds'!$N$38="", 0,-'Part III-Sources of Funds'!$N$38)</f>
        <v>0</v>
      </c>
      <c r="I84" s="3045">
        <f>IF('Part III-Sources of Funds'!$N$38="", 0,-'Part III-Sources of Funds'!$N$38)</f>
        <v>0</v>
      </c>
      <c r="J84" s="3045">
        <f>IF('Part III-Sources of Funds'!$N$38="", 0,-'Part III-Sources of Funds'!$N$38)</f>
        <v>0</v>
      </c>
      <c r="K84" s="3045">
        <f>IF('Part III-Sources of Funds'!$N$38="", 0,-'Part III-Sources of Funds'!$N$38)</f>
        <v>0</v>
      </c>
      <c r="M84" s="2903"/>
      <c r="N84" s="2904"/>
    </row>
    <row r="85" spans="1:14" ht="13.15" customHeight="1">
      <c r="A85" s="22" t="str">
        <f>$A55</f>
        <v>Mortgage C</v>
      </c>
      <c r="B85" s="3045">
        <f>IF('Part III-Sources of Funds'!$N$39="", 0,-'Part III-Sources of Funds'!$N$39)</f>
        <v>0</v>
      </c>
      <c r="C85" s="3045">
        <f>IF('Part III-Sources of Funds'!$N$39="", 0,-'Part III-Sources of Funds'!$N$39)</f>
        <v>0</v>
      </c>
      <c r="D85" s="3045">
        <f>IF('Part III-Sources of Funds'!$N$39="", 0,-'Part III-Sources of Funds'!$N$39)</f>
        <v>0</v>
      </c>
      <c r="E85" s="3045">
        <f>IF('Part III-Sources of Funds'!$N$39="", 0,-'Part III-Sources of Funds'!$N$39)</f>
        <v>0</v>
      </c>
      <c r="F85" s="3045">
        <f>IF('Part III-Sources of Funds'!$N$39="", 0,-'Part III-Sources of Funds'!$N$39)</f>
        <v>0</v>
      </c>
      <c r="G85" s="3045">
        <f>IF('Part III-Sources of Funds'!$N$39="", 0,-'Part III-Sources of Funds'!$N$39)</f>
        <v>0</v>
      </c>
      <c r="H85" s="3045">
        <f>IF('Part III-Sources of Funds'!$N$39="", 0,-'Part III-Sources of Funds'!$N$39)</f>
        <v>0</v>
      </c>
      <c r="I85" s="3045">
        <f>IF('Part III-Sources of Funds'!$N$39="", 0,-'Part III-Sources of Funds'!$N$39)</f>
        <v>0</v>
      </c>
      <c r="J85" s="3045">
        <f>IF('Part III-Sources of Funds'!$N$39="", 0,-'Part III-Sources of Funds'!$N$39)</f>
        <v>0</v>
      </c>
      <c r="K85" s="3045">
        <f>IF('Part III-Sources of Funds'!$N$39="", 0,-'Part III-Sources of Funds'!$N$39)</f>
        <v>0</v>
      </c>
      <c r="M85" s="2903"/>
      <c r="N85" s="2904"/>
    </row>
    <row r="86" spans="1:14" ht="13.15" customHeight="1">
      <c r="A86" s="22" t="str">
        <f>$A56</f>
        <v>D/S Other Source</v>
      </c>
      <c r="B86" s="3045">
        <f>IF('Part III-Sources of Funds'!$N$40="", 0,-'Part III-Sources of Funds'!$N$40)</f>
        <v>0</v>
      </c>
      <c r="C86" s="3045">
        <f>IF('Part III-Sources of Funds'!$N$40="", 0,-'Part III-Sources of Funds'!$N$40)</f>
        <v>0</v>
      </c>
      <c r="D86" s="3045">
        <f>IF('Part III-Sources of Funds'!$N$40="", 0,-'Part III-Sources of Funds'!$N$40)</f>
        <v>0</v>
      </c>
      <c r="E86" s="3045">
        <f>IF('Part III-Sources of Funds'!$N$40="", 0,-'Part III-Sources of Funds'!$N$40)</f>
        <v>0</v>
      </c>
      <c r="F86" s="3045">
        <f>IF('Part III-Sources of Funds'!$N$40="", 0,-'Part III-Sources of Funds'!$N$40)</f>
        <v>0</v>
      </c>
      <c r="G86" s="3045">
        <f>IF('Part III-Sources of Funds'!$N$40="", 0,-'Part III-Sources of Funds'!$N$40)</f>
        <v>0</v>
      </c>
      <c r="H86" s="3045">
        <f>IF('Part III-Sources of Funds'!$N$40="", 0,-'Part III-Sources of Funds'!$N$40)</f>
        <v>0</v>
      </c>
      <c r="I86" s="3045">
        <f>IF('Part III-Sources of Funds'!$N$40="", 0,-'Part III-Sources of Funds'!$N$40)</f>
        <v>0</v>
      </c>
      <c r="J86" s="3045">
        <f>IF('Part III-Sources of Funds'!$N$40="", 0,-'Part III-Sources of Funds'!$N$40)</f>
        <v>0</v>
      </c>
      <c r="K86" s="3045">
        <f>IF('Part III-Sources of Funds'!$N$40="", 0,-'Part III-Sources of Funds'!$N$40)</f>
        <v>0</v>
      </c>
      <c r="M86" s="2903"/>
      <c r="N86" s="2904"/>
    </row>
    <row r="87" spans="1:14" ht="13.15" customHeight="1">
      <c r="A87" s="22" t="s">
        <v>794</v>
      </c>
      <c r="B87" s="3046"/>
      <c r="C87" s="3046"/>
      <c r="D87" s="3046"/>
      <c r="E87" s="3046"/>
      <c r="F87" s="3046"/>
      <c r="G87" s="3046"/>
      <c r="H87" s="3046"/>
      <c r="I87" s="3046"/>
      <c r="J87" s="3046"/>
      <c r="K87" s="3046"/>
      <c r="M87" s="2903"/>
      <c r="N87" s="2904"/>
    </row>
    <row r="88" spans="1:14" ht="13.15" customHeight="1">
      <c r="A88" s="22" t="s">
        <v>1206</v>
      </c>
      <c r="B88" s="3045">
        <f>+K58</f>
        <v>-3500</v>
      </c>
      <c r="C88" s="3045">
        <f t="shared" ref="C88:K88" si="37">+B88</f>
        <v>-3500</v>
      </c>
      <c r="D88" s="3045">
        <f t="shared" si="37"/>
        <v>-3500</v>
      </c>
      <c r="E88" s="3045">
        <f t="shared" si="37"/>
        <v>-3500</v>
      </c>
      <c r="F88" s="3045">
        <f t="shared" si="37"/>
        <v>-3500</v>
      </c>
      <c r="G88" s="3045">
        <f t="shared" si="37"/>
        <v>-3500</v>
      </c>
      <c r="H88" s="3045">
        <f t="shared" si="37"/>
        <v>-3500</v>
      </c>
      <c r="I88" s="3045">
        <f t="shared" si="37"/>
        <v>-3500</v>
      </c>
      <c r="J88" s="3045">
        <f t="shared" si="37"/>
        <v>-3500</v>
      </c>
      <c r="K88" s="3045">
        <f t="shared" si="37"/>
        <v>-3500</v>
      </c>
      <c r="M88" s="2903"/>
      <c r="N88" s="2904"/>
    </row>
    <row r="89" spans="1:14" ht="13.15" customHeight="1">
      <c r="A89" s="22" t="s">
        <v>1249</v>
      </c>
      <c r="B89" s="3047">
        <f>IF('Part III-Sources of Funds'!$N$42="", 0,-'Part III-Sources of Funds'!$N$42)</f>
        <v>0</v>
      </c>
      <c r="C89" s="3047">
        <f>IF('Part III-Sources of Funds'!$N$42="", 0,-'Part III-Sources of Funds'!$N$42)</f>
        <v>0</v>
      </c>
      <c r="D89" s="3047">
        <f>IF('Part III-Sources of Funds'!$N$42="", 0,-'Part III-Sources of Funds'!$N$42)</f>
        <v>0</v>
      </c>
      <c r="E89" s="3047">
        <f>IF('Part III-Sources of Funds'!$N$42="", 0,-'Part III-Sources of Funds'!$N$42)</f>
        <v>0</v>
      </c>
      <c r="F89" s="3047">
        <f>IF('Part III-Sources of Funds'!$N$42="", 0,-'Part III-Sources of Funds'!$N$42)</f>
        <v>0</v>
      </c>
      <c r="G89" s="3047">
        <f>IF('Part III-Sources of Funds'!$N$42="", 0,-'Part III-Sources of Funds'!$N$42)</f>
        <v>0</v>
      </c>
      <c r="H89" s="3047">
        <f>IF('Part III-Sources of Funds'!$N$42="", 0,-'Part III-Sources of Funds'!$N$42)</f>
        <v>0</v>
      </c>
      <c r="I89" s="3047">
        <f>IF('Part III-Sources of Funds'!$N$42="", 0,-'Part III-Sources of Funds'!$N$42)</f>
        <v>0</v>
      </c>
      <c r="J89" s="3047">
        <f>IF('Part III-Sources of Funds'!$N$42="", 0,-'Part III-Sources of Funds'!$N$42)</f>
        <v>0</v>
      </c>
      <c r="K89" s="3045">
        <f>IF('Part III-Sources of Funds'!$N$42="", 0,-'Part III-Sources of Funds'!$N$42)</f>
        <v>0</v>
      </c>
      <c r="M89" s="2903"/>
      <c r="N89" s="2904"/>
    </row>
    <row r="90" spans="1:14" ht="13.15" customHeight="1">
      <c r="A90" s="22" t="s">
        <v>1207</v>
      </c>
      <c r="B90" s="23">
        <f t="shared" ref="B90:K90" si="38">SUM(B82:B89)</f>
        <v>1249.4575697006221</v>
      </c>
      <c r="C90" s="23">
        <f t="shared" si="38"/>
        <v>-2766.6013478118111</v>
      </c>
      <c r="D90" s="23">
        <f t="shared" si="38"/>
        <v>-7043.5687485962844</v>
      </c>
      <c r="E90" s="23">
        <f t="shared" si="38"/>
        <v>-11591.834621466041</v>
      </c>
      <c r="F90" s="23">
        <f t="shared" si="38"/>
        <v>-16423.096909584783</v>
      </c>
      <c r="G90" s="23">
        <f t="shared" si="38"/>
        <v>-21549.371874191056</v>
      </c>
      <c r="H90" s="23">
        <f t="shared" si="38"/>
        <v>-26981.004791736617</v>
      </c>
      <c r="I90" s="23">
        <f t="shared" si="38"/>
        <v>-32730.680994889568</v>
      </c>
      <c r="J90" s="23">
        <f t="shared" si="38"/>
        <v>-38811.437268179674</v>
      </c>
      <c r="K90" s="21">
        <f t="shared" si="38"/>
        <v>-45236.673609392092</v>
      </c>
      <c r="M90" s="2903"/>
      <c r="N90" s="2904"/>
    </row>
    <row r="91" spans="1:14" ht="13.15" customHeight="1">
      <c r="A91" s="22" t="str">
        <f>$A61</f>
        <v>DCR Mortgage A</v>
      </c>
      <c r="B91" s="25">
        <f>IF(B83=0,"",-B82/B83)</f>
        <v>1.049585546237134</v>
      </c>
      <c r="C91" s="25">
        <f t="shared" ref="C91:K91" si="39">IF(C83=0,"",-C82/C83)</f>
        <v>1.0076568686517651</v>
      </c>
      <c r="D91" s="25">
        <f t="shared" si="39"/>
        <v>0.9630042400738702</v>
      </c>
      <c r="E91" s="25">
        <f t="shared" si="39"/>
        <v>0.91551918637495311</v>
      </c>
      <c r="F91" s="25">
        <f t="shared" si="39"/>
        <v>0.86507957805009461</v>
      </c>
      <c r="G91" s="25">
        <f t="shared" si="39"/>
        <v>0.81155996227263028</v>
      </c>
      <c r="H91" s="25">
        <f t="shared" si="39"/>
        <v>0.75485233172250166</v>
      </c>
      <c r="I91" s="25">
        <f t="shared" si="39"/>
        <v>0.69482424829697464</v>
      </c>
      <c r="J91" s="25">
        <f t="shared" si="39"/>
        <v>0.63133960464639982</v>
      </c>
      <c r="K91" s="26">
        <f t="shared" si="39"/>
        <v>0.56425850138226752</v>
      </c>
      <c r="M91" s="2903"/>
      <c r="N91" s="2904"/>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3"/>
      <c r="N92" s="2904"/>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3"/>
      <c r="N93" s="2904"/>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3"/>
      <c r="N94" s="2904"/>
    </row>
    <row r="95" spans="1:14" ht="13.15" customHeight="1">
      <c r="A95" s="471" t="s">
        <v>4192</v>
      </c>
      <c r="B95" s="25">
        <f>IF(AND(B83=0,B84=0,B85=0,B86=0),"",-B82/(B83+B84+B85+B86))</f>
        <v>1.049585546237134</v>
      </c>
      <c r="C95" s="25">
        <f t="shared" ref="C95:K95" si="43">IF(AND(C83=0,C84=0,C85=0,C86=0),"",-C82/(C83+C84+C85+C86))</f>
        <v>1.0076568686517651</v>
      </c>
      <c r="D95" s="25">
        <f t="shared" si="43"/>
        <v>0.9630042400738702</v>
      </c>
      <c r="E95" s="25">
        <f t="shared" si="43"/>
        <v>0.91551918637495311</v>
      </c>
      <c r="F95" s="25">
        <f t="shared" si="43"/>
        <v>0.86507957805009461</v>
      </c>
      <c r="G95" s="25">
        <f t="shared" si="43"/>
        <v>0.81155996227263028</v>
      </c>
      <c r="H95" s="25">
        <f t="shared" si="43"/>
        <v>0.75485233172250166</v>
      </c>
      <c r="I95" s="25">
        <f t="shared" si="43"/>
        <v>0.69482424829697464</v>
      </c>
      <c r="J95" s="25">
        <f t="shared" si="43"/>
        <v>0.63133960464639982</v>
      </c>
      <c r="K95" s="26">
        <f t="shared" si="43"/>
        <v>0.56425850138226752</v>
      </c>
      <c r="M95" s="2903"/>
      <c r="N95" s="2904"/>
    </row>
    <row r="96" spans="1:14" ht="13.15" customHeight="1">
      <c r="A96" s="22" t="s">
        <v>801</v>
      </c>
      <c r="B96" s="293">
        <f>IF(OR(B80="Choose mgt fee",B80="Choose One!"),"",(B74+B75+B76+B77+B78) / -(B79+B80+B81))</f>
        <v>1.1668172119362772</v>
      </c>
      <c r="C96" s="293">
        <f t="shared" ref="C96:K96" si="44">IF(OR(C80="Choose mgt fee",C80="Choose One!"),"",(C74+C75+C76+C77+C78) / -(C79+C80+C81))</f>
        <v>1.1554885171907434</v>
      </c>
      <c r="D96" s="293">
        <f t="shared" si="44"/>
        <v>1.1442701999697111</v>
      </c>
      <c r="E96" s="293">
        <f t="shared" si="44"/>
        <v>1.1331615892982621</v>
      </c>
      <c r="F96" s="293">
        <f t="shared" si="44"/>
        <v>1.1221604175259488</v>
      </c>
      <c r="G96" s="293">
        <f t="shared" si="44"/>
        <v>1.1112647177262407</v>
      </c>
      <c r="H96" s="293">
        <f t="shared" si="44"/>
        <v>1.1004758469348805</v>
      </c>
      <c r="I96" s="293">
        <f t="shared" si="44"/>
        <v>1.0897919829957128</v>
      </c>
      <c r="J96" s="293">
        <f t="shared" si="44"/>
        <v>1.079211534852583</v>
      </c>
      <c r="K96" s="294">
        <f t="shared" si="44"/>
        <v>1.0687331141586394</v>
      </c>
      <c r="M96" s="2903"/>
      <c r="N96" s="2904"/>
    </row>
    <row r="97" spans="1:14" ht="13.15" customHeight="1">
      <c r="A97" s="471" t="s">
        <v>2705</v>
      </c>
      <c r="B97" s="3048">
        <f>IF('Part III-Sources of Funds'!$I$37="","",-FV('Part III-Sources of Funds'!$K$37/12,12,B83/12,K67))</f>
        <v>1150120.5414746776</v>
      </c>
      <c r="C97" s="3048">
        <f>IF('Part III-Sources of Funds'!$I$37="","",-FV('Part III-Sources of Funds'!$K$37/12,12,C83/12,B97))</f>
        <v>1113854.3638642472</v>
      </c>
      <c r="D97" s="3048">
        <f>IF('Part III-Sources of Funds'!$I$37="","",-FV('Part III-Sources of Funds'!$K$37/12,12,D83/12,C97))</f>
        <v>1075637.7227975347</v>
      </c>
      <c r="E97" s="3048">
        <f>IF('Part III-Sources of Funds'!$I$37="","",-FV('Part III-Sources of Funds'!$K$37/12,12,E83/12,D97))</f>
        <v>1035365.718669868</v>
      </c>
      <c r="F97" s="3048">
        <f>IF('Part III-Sources of Funds'!$I$37="","",-FV('Part III-Sources of Funds'!$K$37/12,12,F83/12,E97))</f>
        <v>992927.81017791911</v>
      </c>
      <c r="G97" s="3048">
        <f>IF('Part III-Sources of Funds'!$I$37="","",-FV('Part III-Sources of Funds'!$K$37/12,12,G83/12,F97))</f>
        <v>948207.51089850592</v>
      </c>
      <c r="H97" s="3048">
        <f>IF('Part III-Sources of Funds'!$I$37="","",-FV('Part III-Sources of Funds'!$K$37/12,12,H83/12,G97))</f>
        <v>901082.06954882911</v>
      </c>
      <c r="I97" s="3048">
        <f>IF('Part III-Sources of Funds'!$I$37="","",-FV('Part III-Sources of Funds'!$K$37/12,12,I83/12,H97))</f>
        <v>851422.13305050228</v>
      </c>
      <c r="J97" s="3048">
        <f>IF('Part III-Sources of Funds'!$I$37="","",-FV('Part III-Sources of Funds'!$K$37/12,12,J83/12,I97))</f>
        <v>799091.3914725295</v>
      </c>
      <c r="K97" s="3048">
        <f>IF('Part III-Sources of Funds'!$I$37="","",-FV('Part III-Sources of Funds'!$K$37/12,12,K83/12,J97))</f>
        <v>743946.20387864613</v>
      </c>
      <c r="M97" s="2903"/>
      <c r="N97" s="2904"/>
    </row>
    <row r="98" spans="1:14" ht="13.15" customHeight="1">
      <c r="A98" s="471" t="s">
        <v>2706</v>
      </c>
      <c r="B98" s="3045" t="str">
        <f>IF('Part III-Sources of Funds'!$I$38="","",-FV('Part III-Sources of Funds'!$K$38/12,12,B84/12,K68))</f>
        <v/>
      </c>
      <c r="C98" s="3045" t="str">
        <f>IF('Part III-Sources of Funds'!$I$38="","",-FV('Part III-Sources of Funds'!$K$38/12,12,C84/12,B98))</f>
        <v/>
      </c>
      <c r="D98" s="3045" t="str">
        <f>IF('Part III-Sources of Funds'!$I$38="","",-FV('Part III-Sources of Funds'!$K$38/12,12,D84/12,C98))</f>
        <v/>
      </c>
      <c r="E98" s="3045" t="str">
        <f>IF('Part III-Sources of Funds'!$I$38="","",-FV('Part III-Sources of Funds'!$K$38/12,12,E84/12,D98))</f>
        <v/>
      </c>
      <c r="F98" s="3045" t="str">
        <f>IF('Part III-Sources of Funds'!$I$38="","",-FV('Part III-Sources of Funds'!$K$38/12,12,F84/12,E98))</f>
        <v/>
      </c>
      <c r="G98" s="3045" t="str">
        <f>IF('Part III-Sources of Funds'!$I$38="","",-FV('Part III-Sources of Funds'!$K$38/12,12,G84/12,F98))</f>
        <v/>
      </c>
      <c r="H98" s="3045" t="str">
        <f>IF('Part III-Sources of Funds'!$I$38="","",-FV('Part III-Sources of Funds'!$K$38/12,12,H84/12,G98))</f>
        <v/>
      </c>
      <c r="I98" s="3045" t="str">
        <f>IF('Part III-Sources of Funds'!$I$38="","",-FV('Part III-Sources of Funds'!$K$38/12,12,I84/12,H98))</f>
        <v/>
      </c>
      <c r="J98" s="3045" t="str">
        <f>IF('Part III-Sources of Funds'!$I$38="","",-FV('Part III-Sources of Funds'!$K$38/12,12,J84/12,I98))</f>
        <v/>
      </c>
      <c r="K98" s="3045" t="str">
        <f>IF('Part III-Sources of Funds'!$I$38="","",-FV('Part III-Sources of Funds'!$K$38/12,12,K84/12,J98))</f>
        <v/>
      </c>
      <c r="M98" s="2903"/>
      <c r="N98" s="2904"/>
    </row>
    <row r="99" spans="1:14" ht="13.15" customHeight="1">
      <c r="A99" s="471" t="s">
        <v>2707</v>
      </c>
      <c r="B99" s="3045" t="str">
        <f>IF('Part III-Sources of Funds'!$I$39="","",-FV('Part III-Sources of Funds'!$K$39/12,12,B85/12,K69))</f>
        <v/>
      </c>
      <c r="C99" s="3045" t="str">
        <f>IF('Part III-Sources of Funds'!$I$39="","",-FV('Part III-Sources of Funds'!$K$39/12,12,C85/12,B99))</f>
        <v/>
      </c>
      <c r="D99" s="3045" t="str">
        <f>IF('Part III-Sources of Funds'!$I$39="","",-FV('Part III-Sources of Funds'!$K$39/12,12,D85/12,C99))</f>
        <v/>
      </c>
      <c r="E99" s="3045" t="str">
        <f>IF('Part III-Sources of Funds'!$I$39="","",-FV('Part III-Sources of Funds'!$K$39/12,12,E85/12,D99))</f>
        <v/>
      </c>
      <c r="F99" s="3045" t="str">
        <f>IF('Part III-Sources of Funds'!$I$39="","",-FV('Part III-Sources of Funds'!$K$39/12,12,F85/12,E99))</f>
        <v/>
      </c>
      <c r="G99" s="3045" t="str">
        <f>IF('Part III-Sources of Funds'!$I$39="","",-FV('Part III-Sources of Funds'!$K$39/12,12,G85/12,F99))</f>
        <v/>
      </c>
      <c r="H99" s="3045" t="str">
        <f>IF('Part III-Sources of Funds'!$I$39="","",-FV('Part III-Sources of Funds'!$K$39/12,12,H85/12,G99))</f>
        <v/>
      </c>
      <c r="I99" s="3045" t="str">
        <f>IF('Part III-Sources of Funds'!$I$39="","",-FV('Part III-Sources of Funds'!$K$39/12,12,I85/12,H99))</f>
        <v/>
      </c>
      <c r="J99" s="3045" t="str">
        <f>IF('Part III-Sources of Funds'!$I$39="","",-FV('Part III-Sources of Funds'!$K$39/12,12,J85/12,I99))</f>
        <v/>
      </c>
      <c r="K99" s="3045" t="str">
        <f>IF('Part III-Sources of Funds'!$I$39="","",-FV('Part III-Sources of Funds'!$K$39/12,12,K85/12,J99))</f>
        <v/>
      </c>
      <c r="M99" s="2903"/>
      <c r="N99" s="2904"/>
    </row>
    <row r="100" spans="1:14" ht="13.15" customHeight="1">
      <c r="A100" s="22" t="s">
        <v>816</v>
      </c>
      <c r="B100" s="3045" t="str">
        <f>IF('Part III-Sources of Funds'!$I$40="","",-FV('Part III-Sources of Funds'!$K$40/12,12,B86/12,K70))</f>
        <v/>
      </c>
      <c r="C100" s="3045" t="str">
        <f>IF('Part III-Sources of Funds'!$I$40="","",-FV('Part III-Sources of Funds'!$K$40/12,12,C86/12,B100))</f>
        <v/>
      </c>
      <c r="D100" s="3045" t="str">
        <f>IF('Part III-Sources of Funds'!$I$40="","",-FV('Part III-Sources of Funds'!$K$40/12,12,D86/12,C100))</f>
        <v/>
      </c>
      <c r="E100" s="3045" t="str">
        <f>IF('Part III-Sources of Funds'!$I$40="","",-FV('Part III-Sources of Funds'!$K$40/12,12,E86/12,D100))</f>
        <v/>
      </c>
      <c r="F100" s="3045" t="str">
        <f>IF('Part III-Sources of Funds'!$I$40="","",-FV('Part III-Sources of Funds'!$K$40/12,12,F86/12,E100))</f>
        <v/>
      </c>
      <c r="G100" s="3045" t="str">
        <f>IF('Part III-Sources of Funds'!$I$40="","",-FV('Part III-Sources of Funds'!$K$40/12,12,G86/12,F100))</f>
        <v/>
      </c>
      <c r="H100" s="3045" t="str">
        <f>IF('Part III-Sources of Funds'!$I$40="","",-FV('Part III-Sources of Funds'!$K$40/12,12,H86/12,G100))</f>
        <v/>
      </c>
      <c r="I100" s="3045" t="str">
        <f>IF('Part III-Sources of Funds'!$I$40="","",-FV('Part III-Sources of Funds'!$K$40/12,12,I86/12,H100))</f>
        <v/>
      </c>
      <c r="J100" s="3045" t="str">
        <f>IF('Part III-Sources of Funds'!$I$40="","",-FV('Part III-Sources of Funds'!$K$40/12,12,J86/12,I100))</f>
        <v/>
      </c>
      <c r="K100" s="3045" t="str">
        <f>IF('Part III-Sources of Funds'!$I$40="","",-FV('Part III-Sources of Funds'!$K$40/12,12,K86/12,J100))</f>
        <v/>
      </c>
      <c r="M100" s="2903"/>
      <c r="N100" s="2904"/>
    </row>
    <row r="101" spans="1:14" ht="13.15" customHeight="1">
      <c r="A101" s="27" t="s">
        <v>1284</v>
      </c>
      <c r="B101" s="3047">
        <f>IF('Part III-Sources of Funds'!$I$42="","",-FV('Part III-Sources of Funds'!$K$42/12,12,B89/12,K71))</f>
        <v>0</v>
      </c>
      <c r="C101" s="3047">
        <f>IF('Part III-Sources of Funds'!$I$42="","",-FV('Part III-Sources of Funds'!$K$42/12,12,C89/12,B101))</f>
        <v>0</v>
      </c>
      <c r="D101" s="3047">
        <f>IF('Part III-Sources of Funds'!$I$42="","",-FV('Part III-Sources of Funds'!$K$42/12,12,D89/12,C101))</f>
        <v>0</v>
      </c>
      <c r="E101" s="3047">
        <f>IF('Part III-Sources of Funds'!$I$42="","",-FV('Part III-Sources of Funds'!$K$42/12,12,E89/12,D101))</f>
        <v>0</v>
      </c>
      <c r="F101" s="3047">
        <f>IF('Part III-Sources of Funds'!$I$42="","",-FV('Part III-Sources of Funds'!$K$42/12,12,F89/12,E101))</f>
        <v>0</v>
      </c>
      <c r="G101" s="3047">
        <f>IF('Part III-Sources of Funds'!$I$42="","",-FV('Part III-Sources of Funds'!$K$42/12,12,G89/12,F101))</f>
        <v>0</v>
      </c>
      <c r="H101" s="3047">
        <f>IF('Part III-Sources of Funds'!$I$42="","",-FV('Part III-Sources of Funds'!$K$42/12,12,H89/12,G101))</f>
        <v>0</v>
      </c>
      <c r="I101" s="3047">
        <f>IF('Part III-Sources of Funds'!$I$42="","",-FV('Part III-Sources of Funds'!$K$42/12,12,I89/12,H101))</f>
        <v>0</v>
      </c>
      <c r="J101" s="3047">
        <f>IF('Part III-Sources of Funds'!$I$42="","",-FV('Part III-Sources of Funds'!$K$42/12,12,J89/12,I101))</f>
        <v>0</v>
      </c>
      <c r="K101" s="3047">
        <f>IF('Part III-Sources of Funds'!$I$42="","",-FV('Part III-Sources of Funds'!$K$42/12,12,K89/12,J101))</f>
        <v>0</v>
      </c>
      <c r="M101" s="2906"/>
      <c r="N101" s="2907"/>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0" t="s">
        <v>4156</v>
      </c>
      <c r="N103" s="1520"/>
    </row>
    <row r="104" spans="1:14" ht="13.15" customHeight="1">
      <c r="A104" s="19" t="s">
        <v>2489</v>
      </c>
      <c r="B104" s="20">
        <f>$B$14*(1+$B$5)^(B103-1)</f>
        <v>903623.08529213537</v>
      </c>
      <c r="C104" s="20">
        <f>$B$14*(1+$B$5)^(C103-1)</f>
        <v>921695.54699797777</v>
      </c>
      <c r="D104" s="20">
        <f>$B$14*(1+$B$5)^(D103-1)</f>
        <v>940129.45793793758</v>
      </c>
      <c r="E104" s="20">
        <f>$B$14*(1+$B$5)^(E103-1)</f>
        <v>958932.04709669633</v>
      </c>
      <c r="F104" s="852">
        <f>$B$14*(1+$B$5)^(F103-1)</f>
        <v>978110.68803863018</v>
      </c>
      <c r="G104" s="18"/>
      <c r="H104" s="18"/>
      <c r="I104" s="18"/>
      <c r="J104" s="18"/>
      <c r="K104" s="18"/>
      <c r="M104" s="2901"/>
      <c r="N104" s="2902"/>
    </row>
    <row r="105" spans="1:14" ht="13.15" customHeight="1">
      <c r="A105" s="22" t="s">
        <v>1053</v>
      </c>
      <c r="B105" s="23">
        <f>$B$15*(1+$B$5)^(B103-1)</f>
        <v>18072.461705842707</v>
      </c>
      <c r="C105" s="23">
        <f>$B$15*(1+$B$5)^(C103-1)</f>
        <v>18433.910939959558</v>
      </c>
      <c r="D105" s="23">
        <f>$B$15*(1+$B$5)^(D103-1)</f>
        <v>18802.589158758754</v>
      </c>
      <c r="E105" s="23">
        <f>$B$15*(1+$B$5)^(E103-1)</f>
        <v>19178.640941933929</v>
      </c>
      <c r="F105" s="24">
        <f>$B$15*(1+$B$5)^(F103-1)</f>
        <v>19562.213760772607</v>
      </c>
      <c r="G105" s="18"/>
      <c r="H105" s="18"/>
      <c r="I105" s="18"/>
      <c r="J105" s="18"/>
      <c r="K105" s="18"/>
      <c r="M105" s="2903"/>
      <c r="N105" s="2904"/>
    </row>
    <row r="106" spans="1:14" ht="13.15" customHeight="1">
      <c r="A106" s="22" t="s">
        <v>2490</v>
      </c>
      <c r="B106" s="23">
        <f>-(B104+B105)*$B$8</f>
        <v>-64518.688289858474</v>
      </c>
      <c r="C106" s="23">
        <f>-(C104+C105)*$B$8</f>
        <v>-65809.062055655624</v>
      </c>
      <c r="D106" s="23">
        <f>-(D104+D105)*$B$8</f>
        <v>-67125.243296768749</v>
      </c>
      <c r="E106" s="23">
        <f>-(E104+E105)*$B$8</f>
        <v>-68467.748162704127</v>
      </c>
      <c r="F106" s="24">
        <f>-(F104+F105)*$B$8</f>
        <v>-69837.103125958194</v>
      </c>
      <c r="G106" s="18"/>
      <c r="H106" s="18"/>
      <c r="I106" s="18"/>
      <c r="J106" s="18"/>
      <c r="K106" s="18"/>
      <c r="M106" s="2903"/>
      <c r="N106" s="290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3"/>
      <c r="N107" s="290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3"/>
      <c r="N108" s="2904"/>
    </row>
    <row r="109" spans="1:14" ht="13.15" customHeight="1">
      <c r="A109" s="22" t="s">
        <v>638</v>
      </c>
      <c r="B109" s="23">
        <f>$B$19*(1+$B$6)^(B103-1)</f>
        <v>-638146.98877440265</v>
      </c>
      <c r="C109" s="23">
        <f>$B$19*(1+$B$6)^(C103-1)</f>
        <v>-657291.39843763493</v>
      </c>
      <c r="D109" s="23">
        <f>$B$19*(1+$B$6)^(D103-1)</f>
        <v>-677010.14039076376</v>
      </c>
      <c r="E109" s="23">
        <f>$B$19*(1+$B$6)^(E103-1)</f>
        <v>-697320.44460248679</v>
      </c>
      <c r="F109" s="24">
        <f>$B$19*(1+$B$6)^(F103-1)</f>
        <v>-718240.05794056121</v>
      </c>
      <c r="G109" s="18"/>
      <c r="H109" s="18"/>
      <c r="I109" s="18"/>
      <c r="J109" s="18"/>
      <c r="K109" s="18"/>
      <c r="M109" s="2903"/>
      <c r="N109" s="290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-112297</v>
      </c>
      <c r="C110" s="23">
        <f>IF(AND('Part VII-Pro Forma'!$G$8="Yes",'Part VII-Pro Forma'!$G$9="Yes"),"Choose One!",IF('Part VII-Pro Forma'!$G$8="Yes",ROUND((-$K$8*(1+'Part VII-Pro Forma'!$B$6)^('Part VII-Pro Forma'!C103-1)),),IF('Part VII-Pro Forma'!$G$9="Yes",ROUND((-(SUM(C104:C107)*'Part VII-Pro Forma'!$K$9)),),"Choose mgt fee")))</f>
        <v>-115666</v>
      </c>
      <c r="D110" s="23">
        <f>IF(AND('Part VII-Pro Forma'!$G$8="Yes",'Part VII-Pro Forma'!$G$9="Yes"),"Choose One!",IF('Part VII-Pro Forma'!$G$8="Yes",ROUND((-$K$8*(1+'Part VII-Pro Forma'!$B$6)^('Part VII-Pro Forma'!D103-1)),),IF('Part VII-Pro Forma'!$G$9="Yes",ROUND((-(SUM(D104:D107)*'Part VII-Pro Forma'!$K$9)),),"Choose mgt fee")))</f>
        <v>-119136</v>
      </c>
      <c r="E110" s="23">
        <f>IF(AND('Part VII-Pro Forma'!$G$8="Yes",'Part VII-Pro Forma'!$G$9="Yes"),"Choose One!",IF('Part VII-Pro Forma'!$G$8="Yes",ROUND((-$K$8*(1+'Part VII-Pro Forma'!$B$6)^('Part VII-Pro Forma'!E103-1)),),IF('Part VII-Pro Forma'!$G$9="Yes",ROUND((-(SUM(E104:E107)*'Part VII-Pro Forma'!$K$9)),),"Choose mgt fee")))</f>
        <v>-122710</v>
      </c>
      <c r="F110" s="24">
        <f>IF(AND('Part VII-Pro Forma'!$G$8="Yes",'Part VII-Pro Forma'!$G$9="Yes"),"Choose One!",IF('Part VII-Pro Forma'!$G$8="Yes",ROUND((-$K$8*(1+'Part VII-Pro Forma'!$B$6)^('Part VII-Pro Forma'!F103-1)),),IF('Part VII-Pro Forma'!$G$9="Yes",ROUND((-(SUM(F104:F107)*'Part VII-Pro Forma'!$K$9)),),"Choose mgt fee")))</f>
        <v>-126392</v>
      </c>
      <c r="G110" s="18"/>
      <c r="H110" s="18"/>
      <c r="I110" s="18"/>
      <c r="J110" s="18"/>
      <c r="K110" s="18"/>
      <c r="M110" s="2903"/>
      <c r="N110" s="2904"/>
    </row>
    <row r="111" spans="1:14" ht="13.15" customHeight="1">
      <c r="A111" s="22" t="s">
        <v>1247</v>
      </c>
      <c r="B111" s="23">
        <f>$B$21*(1+$B$7)^(B103-1)</f>
        <v>-59467.930544146649</v>
      </c>
      <c r="C111" s="23">
        <f>$B$21*(1+$B$7)^(C103-1)</f>
        <v>-61251.968460471056</v>
      </c>
      <c r="D111" s="23">
        <f>$B$21*(1+$B$7)^(D103-1)</f>
        <v>-63089.527514285175</v>
      </c>
      <c r="E111" s="23">
        <f>$B$21*(1+$B$7)^(E103-1)</f>
        <v>-64982.213339713737</v>
      </c>
      <c r="F111" s="24">
        <f>$B$21*(1+$B$7)^(F103-1)</f>
        <v>-66931.679739905143</v>
      </c>
      <c r="G111" s="18"/>
      <c r="H111" s="18"/>
      <c r="I111" s="18"/>
      <c r="J111" s="18"/>
      <c r="K111" s="18"/>
      <c r="M111" s="2903"/>
      <c r="N111" s="2904"/>
    </row>
    <row r="112" spans="1:14" ht="13.15" customHeight="1">
      <c r="A112" s="22" t="s">
        <v>1248</v>
      </c>
      <c r="B112" s="23">
        <f>SUM(B104:B111)</f>
        <v>47264.939389570303</v>
      </c>
      <c r="C112" s="23">
        <f>SUM(C104:C111)</f>
        <v>40111.028984175726</v>
      </c>
      <c r="D112" s="23">
        <f>SUM(D104:D111)</f>
        <v>32571.135894878651</v>
      </c>
      <c r="E112" s="23">
        <f>SUM(E104:E111)</f>
        <v>24630.281933725593</v>
      </c>
      <c r="F112" s="24">
        <f>SUM(F104:F111)</f>
        <v>16272.060992978193</v>
      </c>
      <c r="G112" s="18"/>
      <c r="H112" s="18"/>
      <c r="I112" s="18"/>
      <c r="J112" s="18"/>
      <c r="K112" s="18"/>
      <c r="M112" s="2903"/>
      <c r="N112" s="2904"/>
    </row>
    <row r="113" spans="1:14" ht="13.15" customHeight="1">
      <c r="A113" s="22" t="str">
        <f>$A83</f>
        <v>Mortgage A</v>
      </c>
      <c r="B113" s="3044">
        <f>IF('Part III-Sources of Funds'!$N$37="", 0,-'Part III-Sources of Funds'!$N$37)</f>
        <v>-95783.104757729001</v>
      </c>
      <c r="C113" s="3044">
        <f>IF('Part III-Sources of Funds'!$N$37="", 0,-'Part III-Sources of Funds'!$N$37)</f>
        <v>-95783.104757729001</v>
      </c>
      <c r="D113" s="3044">
        <f>IF('Part III-Sources of Funds'!$N$37="", 0,-'Part III-Sources of Funds'!$N$37)</f>
        <v>-95783.104757729001</v>
      </c>
      <c r="E113" s="3044">
        <f>IF('Part III-Sources of Funds'!$N$37="", 0,-'Part III-Sources of Funds'!$N$37)</f>
        <v>-95783.104757729001</v>
      </c>
      <c r="F113" s="3044">
        <f>IF('Part III-Sources of Funds'!$N$37="", 0,-'Part III-Sources of Funds'!$N$37)</f>
        <v>-95783.104757729001</v>
      </c>
      <c r="G113" s="18"/>
      <c r="H113" s="18"/>
      <c r="I113" s="18"/>
      <c r="J113" s="18"/>
      <c r="K113" s="18"/>
      <c r="M113" s="2903"/>
      <c r="N113" s="2904"/>
    </row>
    <row r="114" spans="1:14" ht="13.15" customHeight="1">
      <c r="A114" s="22" t="str">
        <f>$A84</f>
        <v>Mortgage B</v>
      </c>
      <c r="B114" s="3045">
        <f>IF('Part III-Sources of Funds'!$N$38="", 0,-'Part III-Sources of Funds'!$N$38)</f>
        <v>0</v>
      </c>
      <c r="C114" s="3045">
        <f>IF('Part III-Sources of Funds'!$N$38="", 0,-'Part III-Sources of Funds'!$N$38)</f>
        <v>0</v>
      </c>
      <c r="D114" s="3045">
        <f>IF('Part III-Sources of Funds'!$N$38="", 0,-'Part III-Sources of Funds'!$N$38)</f>
        <v>0</v>
      </c>
      <c r="E114" s="3045">
        <f>IF('Part III-Sources of Funds'!$N$38="", 0,-'Part III-Sources of Funds'!$N$38)</f>
        <v>0</v>
      </c>
      <c r="F114" s="3045">
        <f>IF('Part III-Sources of Funds'!$N$38="", 0,-'Part III-Sources of Funds'!$N$38)</f>
        <v>0</v>
      </c>
      <c r="G114" s="18"/>
      <c r="H114" s="18"/>
      <c r="I114" s="18"/>
      <c r="J114" s="18"/>
      <c r="K114" s="18"/>
      <c r="M114" s="2903"/>
      <c r="N114" s="2904"/>
    </row>
    <row r="115" spans="1:14" ht="13.15" customHeight="1">
      <c r="A115" s="22" t="str">
        <f>$A85</f>
        <v>Mortgage C</v>
      </c>
      <c r="B115" s="3045">
        <f>IF('Part III-Sources of Funds'!$N$39="", 0,-'Part III-Sources of Funds'!$N$39)</f>
        <v>0</v>
      </c>
      <c r="C115" s="3045">
        <f>IF('Part III-Sources of Funds'!$N$39="", 0,-'Part III-Sources of Funds'!$N$39)</f>
        <v>0</v>
      </c>
      <c r="D115" s="3045">
        <f>IF('Part III-Sources of Funds'!$N$39="", 0,-'Part III-Sources of Funds'!$N$39)</f>
        <v>0</v>
      </c>
      <c r="E115" s="3045">
        <f>IF('Part III-Sources of Funds'!$N$39="", 0,-'Part III-Sources of Funds'!$N$39)</f>
        <v>0</v>
      </c>
      <c r="F115" s="3045">
        <f>IF('Part III-Sources of Funds'!$N$39="", 0,-'Part III-Sources of Funds'!$N$39)</f>
        <v>0</v>
      </c>
      <c r="G115" s="18"/>
      <c r="H115" s="18"/>
      <c r="I115" s="18"/>
      <c r="J115" s="18"/>
      <c r="K115" s="18"/>
      <c r="M115" s="2903"/>
      <c r="N115" s="2904"/>
    </row>
    <row r="116" spans="1:14" ht="13.15" customHeight="1">
      <c r="A116" s="22" t="str">
        <f>$A86</f>
        <v>D/S Other Source</v>
      </c>
      <c r="B116" s="3045">
        <f>IF('Part III-Sources of Funds'!$N$40="", 0,-'Part III-Sources of Funds'!$N$40)</f>
        <v>0</v>
      </c>
      <c r="C116" s="3045">
        <f>IF('Part III-Sources of Funds'!$N$40="", 0,-'Part III-Sources of Funds'!$N$40)</f>
        <v>0</v>
      </c>
      <c r="D116" s="3045">
        <f>IF('Part III-Sources of Funds'!$N$40="", 0,-'Part III-Sources of Funds'!$N$40)</f>
        <v>0</v>
      </c>
      <c r="E116" s="3045">
        <f>IF('Part III-Sources of Funds'!$N$40="", 0,-'Part III-Sources of Funds'!$N$40)</f>
        <v>0</v>
      </c>
      <c r="F116" s="3045">
        <f>IF('Part III-Sources of Funds'!$N$40="", 0,-'Part III-Sources of Funds'!$N$40)</f>
        <v>0</v>
      </c>
      <c r="G116" s="18"/>
      <c r="H116" s="18"/>
      <c r="I116" s="18"/>
      <c r="J116" s="18"/>
      <c r="K116" s="18"/>
      <c r="M116" s="2903"/>
      <c r="N116" s="2904"/>
    </row>
    <row r="117" spans="1:14" ht="13.15" customHeight="1">
      <c r="A117" s="22" t="s">
        <v>794</v>
      </c>
      <c r="B117" s="3046"/>
      <c r="C117" s="3046"/>
      <c r="D117" s="3046"/>
      <c r="E117" s="3046"/>
      <c r="F117" s="3046"/>
      <c r="G117" s="18"/>
      <c r="H117" s="18"/>
      <c r="I117" s="18"/>
      <c r="J117" s="18"/>
      <c r="K117" s="18"/>
      <c r="M117" s="2903"/>
      <c r="N117" s="2904"/>
    </row>
    <row r="118" spans="1:14" ht="13.15" customHeight="1">
      <c r="A118" s="22" t="s">
        <v>1206</v>
      </c>
      <c r="B118" s="3045">
        <f>+K88</f>
        <v>-3500</v>
      </c>
      <c r="C118" s="3045">
        <f>+B118</f>
        <v>-3500</v>
      </c>
      <c r="D118" s="3045">
        <f>+C118</f>
        <v>-3500</v>
      </c>
      <c r="E118" s="3045">
        <f>+D118</f>
        <v>-3500</v>
      </c>
      <c r="F118" s="3045">
        <f>+E118</f>
        <v>-3500</v>
      </c>
      <c r="G118" s="18"/>
      <c r="H118" s="18"/>
      <c r="I118" s="18"/>
      <c r="J118" s="18"/>
      <c r="K118" s="18"/>
      <c r="M118" s="2903"/>
      <c r="N118" s="2904"/>
    </row>
    <row r="119" spans="1:14" ht="13.15" customHeight="1">
      <c r="A119" s="22" t="s">
        <v>1249</v>
      </c>
      <c r="B119" s="3047">
        <f>IF('Part III-Sources of Funds'!$N$42="", 0,-'Part III-Sources of Funds'!$N$42)</f>
        <v>0</v>
      </c>
      <c r="C119" s="3047">
        <f>IF('Part III-Sources of Funds'!$N$42="", 0,-'Part III-Sources of Funds'!$N$42)</f>
        <v>0</v>
      </c>
      <c r="D119" s="3047">
        <f>IF('Part III-Sources of Funds'!$N$42="", 0,-'Part III-Sources of Funds'!$N$42)</f>
        <v>0</v>
      </c>
      <c r="E119" s="3047">
        <f>IF('Part III-Sources of Funds'!$N$42="", 0,-'Part III-Sources of Funds'!$N$42)</f>
        <v>0</v>
      </c>
      <c r="F119" s="3047">
        <f>IF('Part III-Sources of Funds'!$N$42="", 0,-'Part III-Sources of Funds'!$N$42)</f>
        <v>0</v>
      </c>
      <c r="G119" s="18"/>
      <c r="H119" s="18"/>
      <c r="I119" s="18"/>
      <c r="J119" s="18"/>
      <c r="K119" s="18"/>
      <c r="M119" s="2903"/>
      <c r="N119" s="2904"/>
    </row>
    <row r="120" spans="1:14" ht="13.15" customHeight="1">
      <c r="A120" s="22" t="s">
        <v>1207</v>
      </c>
      <c r="B120" s="23">
        <f>SUM(B112:B119)</f>
        <v>-52018.165368158698</v>
      </c>
      <c r="C120" s="23">
        <f>SUM(C112:C119)</f>
        <v>-59172.075773553275</v>
      </c>
      <c r="D120" s="23">
        <f>SUM(D112:D119)</f>
        <v>-66711.96886285035</v>
      </c>
      <c r="E120" s="23">
        <f>SUM(E112:E119)</f>
        <v>-74652.822824003408</v>
      </c>
      <c r="F120" s="24">
        <f>SUM(F112:F119)</f>
        <v>-83011.043764750808</v>
      </c>
      <c r="G120" s="18"/>
      <c r="H120" s="18"/>
      <c r="I120" s="18"/>
      <c r="J120" s="18"/>
      <c r="K120" s="18"/>
      <c r="M120" s="2903"/>
      <c r="N120" s="2904"/>
    </row>
    <row r="121" spans="1:14" ht="13.15" customHeight="1">
      <c r="A121" s="22" t="str">
        <f>$A91</f>
        <v>DCR Mortgage A</v>
      </c>
      <c r="B121" s="25">
        <f>IF(B113=0,"",-B112/B113)</f>
        <v>0.49345800085642311</v>
      </c>
      <c r="C121" s="25">
        <f t="shared" ref="C121:F121" si="45">IF(C113=0,"",-C112/C113)</f>
        <v>0.41876935484218636</v>
      </c>
      <c r="D121" s="25">
        <f t="shared" si="45"/>
        <v>0.34005095133701435</v>
      </c>
      <c r="E121" s="25">
        <f t="shared" si="45"/>
        <v>0.25714641424523366</v>
      </c>
      <c r="F121" s="26">
        <f t="shared" si="45"/>
        <v>0.16988445962506926</v>
      </c>
      <c r="G121" s="18"/>
      <c r="H121" s="18"/>
      <c r="I121" s="18"/>
      <c r="J121" s="18"/>
      <c r="K121" s="18"/>
      <c r="M121" s="2903"/>
      <c r="N121" s="2904"/>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3"/>
      <c r="N122" s="2904"/>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3"/>
      <c r="N123" s="2904"/>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3"/>
      <c r="N124" s="2904"/>
    </row>
    <row r="125" spans="1:14" ht="13.15" customHeight="1">
      <c r="A125" s="471" t="s">
        <v>4192</v>
      </c>
      <c r="B125" s="25">
        <f>IF(AND(B113=0,B114=0,B115=0,B116=0),"",-B112/(B113+B114+B115+B116))</f>
        <v>0.49345800085642311</v>
      </c>
      <c r="C125" s="25">
        <f t="shared" ref="C125:F125" si="49">IF(AND(C113=0,C114=0,C115=0,C116=0),"",-C112/(C113+C114+C115+C116))</f>
        <v>0.41876935484218636</v>
      </c>
      <c r="D125" s="25">
        <f t="shared" si="49"/>
        <v>0.34005095133701435</v>
      </c>
      <c r="E125" s="25">
        <f t="shared" si="49"/>
        <v>0.25714641424523366</v>
      </c>
      <c r="F125" s="26">
        <f t="shared" si="49"/>
        <v>0.16988445962506926</v>
      </c>
      <c r="G125" s="18"/>
      <c r="H125" s="18"/>
      <c r="I125" s="18"/>
      <c r="J125" s="18"/>
      <c r="K125" s="18"/>
      <c r="M125" s="2903"/>
      <c r="N125" s="2904"/>
    </row>
    <row r="126" spans="1:14" ht="13.15" customHeight="1">
      <c r="A126" s="22" t="s">
        <v>801</v>
      </c>
      <c r="B126" s="293">
        <f>IF(OR(B110="Choose mgt fee",B110="Choose One!"),"",(B104+B105+B106+B107+B108) / -(B109+B110+B111))</f>
        <v>1.0583581229787784</v>
      </c>
      <c r="C126" s="293">
        <f>IF(OR(C110="Choose mgt fee",C110="Choose One!"),"",(C104+C105+C106+C107+C108) / -(C109+C110+C111))</f>
        <v>1.048082688322385</v>
      </c>
      <c r="D126" s="293">
        <f>IF(OR(D110="Choose mgt fee",D110="Choose One!"),"",(D104+D105+D106+D107+D108) / -(D109+D110+D111))</f>
        <v>1.0379071040827392</v>
      </c>
      <c r="E126" s="293">
        <f>IF(OR(E110="Choose mgt fee",E110="Choose One!"),"",(E104+E105+E106+E107+E108) / -(E109+E110+E111))</f>
        <v>1.0278304289918236</v>
      </c>
      <c r="F126" s="853">
        <f>IF(OR(F110="Choose mgt fee",F110="Choose One!"),"",(F104+F105+F106+F107+F108) / -(F109+F110+F111))</f>
        <v>1.0178507111684625</v>
      </c>
      <c r="G126" s="18"/>
      <c r="H126" s="18"/>
      <c r="I126" s="18"/>
      <c r="J126" s="18"/>
      <c r="K126" s="18"/>
      <c r="M126" s="2903"/>
      <c r="N126" s="2904"/>
    </row>
    <row r="127" spans="1:14" ht="13.15" customHeight="1">
      <c r="A127" s="471" t="s">
        <v>2705</v>
      </c>
      <c r="B127" s="3048">
        <f>IF('Part III-Sources of Funds'!$I$37="","",-FV('Part III-Sources of Funds'!$K$37/12,12,B113/12,K97))</f>
        <v>685835.20405202382</v>
      </c>
      <c r="C127" s="3048">
        <f>IF('Part III-Sources of Funds'!$I$37="","",-FV('Part III-Sources of Funds'!$K$37/12,12,C113/12,B127))</f>
        <v>624598.88501510653</v>
      </c>
      <c r="D127" s="3048">
        <f>IF('Part III-Sources of Funds'!$I$37="","",-FV('Part III-Sources of Funds'!$K$37/12,12,D113/12,C127))</f>
        <v>560069.161204139</v>
      </c>
      <c r="E127" s="3048">
        <f>IF('Part III-Sources of Funds'!$I$37="","",-FV('Part III-Sources of Funds'!$K$37/12,12,E113/12,D127))</f>
        <v>492068.90709661564</v>
      </c>
      <c r="F127" s="3048">
        <f>IF('Part III-Sources of Funds'!$I$37="","",-FV('Part III-Sources of Funds'!$K$37/12,12,F113/12,E127))</f>
        <v>420411.47102524282</v>
      </c>
      <c r="G127" s="18"/>
      <c r="H127" s="18"/>
      <c r="I127" s="18"/>
      <c r="J127" s="18"/>
      <c r="K127" s="18"/>
      <c r="M127" s="2903"/>
      <c r="N127" s="2904"/>
    </row>
    <row r="128" spans="1:14" ht="13.15" customHeight="1">
      <c r="A128" s="471" t="s">
        <v>2706</v>
      </c>
      <c r="B128" s="3045" t="str">
        <f>IF('Part III-Sources of Funds'!$I$38="","",-FV('Part III-Sources of Funds'!$K$38/12,12,B114/12,K98))</f>
        <v/>
      </c>
      <c r="C128" s="3045" t="str">
        <f>IF('Part III-Sources of Funds'!$I$38="","",-FV('Part III-Sources of Funds'!$K$38/12,12,C114/12,B128))</f>
        <v/>
      </c>
      <c r="D128" s="3045" t="str">
        <f>IF('Part III-Sources of Funds'!$I$38="","",-FV('Part III-Sources of Funds'!$K$38/12,12,D114/12,C128))</f>
        <v/>
      </c>
      <c r="E128" s="3045" t="str">
        <f>IF('Part III-Sources of Funds'!$I$38="","",-FV('Part III-Sources of Funds'!$K$38/12,12,E114/12,D128))</f>
        <v/>
      </c>
      <c r="F128" s="3045" t="str">
        <f>IF('Part III-Sources of Funds'!$I$38="","",-FV('Part III-Sources of Funds'!$K$38/12,12,F114/12,E128))</f>
        <v/>
      </c>
      <c r="G128" s="18"/>
      <c r="H128" s="18"/>
      <c r="I128" s="18"/>
      <c r="J128" s="18"/>
      <c r="K128" s="18"/>
      <c r="M128" s="2903"/>
      <c r="N128" s="2904"/>
    </row>
    <row r="129" spans="1:14" ht="13.15" customHeight="1">
      <c r="A129" s="471" t="s">
        <v>2707</v>
      </c>
      <c r="B129" s="3045" t="str">
        <f>IF('Part III-Sources of Funds'!$I$39="","",-FV('Part III-Sources of Funds'!$K$39/12,12,B115/12,K99))</f>
        <v/>
      </c>
      <c r="C129" s="3045" t="str">
        <f>IF('Part III-Sources of Funds'!$I$39="","",-FV('Part III-Sources of Funds'!$K$39/12,12,C115/12,B129))</f>
        <v/>
      </c>
      <c r="D129" s="3045" t="str">
        <f>IF('Part III-Sources of Funds'!$I$39="","",-FV('Part III-Sources of Funds'!$K$39/12,12,D115/12,C129))</f>
        <v/>
      </c>
      <c r="E129" s="3045" t="str">
        <f>IF('Part III-Sources of Funds'!$I$39="","",-FV('Part III-Sources of Funds'!$K$39/12,12,E115/12,D129))</f>
        <v/>
      </c>
      <c r="F129" s="3045" t="str">
        <f>IF('Part III-Sources of Funds'!$I$39="","",-FV('Part III-Sources of Funds'!$K$39/12,12,F115/12,E129))</f>
        <v/>
      </c>
      <c r="G129" s="18"/>
      <c r="H129" s="18"/>
      <c r="I129" s="18"/>
      <c r="J129" s="18"/>
      <c r="K129" s="18"/>
      <c r="M129" s="2903"/>
      <c r="N129" s="2904"/>
    </row>
    <row r="130" spans="1:14" ht="13.15" customHeight="1">
      <c r="A130" s="22" t="s">
        <v>816</v>
      </c>
      <c r="B130" s="3045" t="str">
        <f>IF('Part III-Sources of Funds'!$I$40="","",-FV('Part III-Sources of Funds'!$K$40/12,12,B116/12,K100))</f>
        <v/>
      </c>
      <c r="C130" s="3045" t="str">
        <f>IF('Part III-Sources of Funds'!$I$40="","",-FV('Part III-Sources of Funds'!$K$40/12,12,C116/12,B130))</f>
        <v/>
      </c>
      <c r="D130" s="3045" t="str">
        <f>IF('Part III-Sources of Funds'!$I$40="","",-FV('Part III-Sources of Funds'!$K$40/12,12,D116/12,C130))</f>
        <v/>
      </c>
      <c r="E130" s="3045" t="str">
        <f>IF('Part III-Sources of Funds'!$I$40="","",-FV('Part III-Sources of Funds'!$K$40/12,12,E116/12,D130))</f>
        <v/>
      </c>
      <c r="F130" s="3045" t="str">
        <f>IF('Part III-Sources of Funds'!$I$40="","",-FV('Part III-Sources of Funds'!$K$40/12,12,F116/12,E130))</f>
        <v/>
      </c>
      <c r="G130" s="18"/>
      <c r="H130" s="18"/>
      <c r="I130" s="18"/>
      <c r="J130" s="18"/>
      <c r="K130" s="18"/>
      <c r="M130" s="2903"/>
      <c r="N130" s="2904"/>
    </row>
    <row r="131" spans="1:14" ht="13.15" customHeight="1">
      <c r="A131" s="27" t="s">
        <v>1284</v>
      </c>
      <c r="B131" s="3047">
        <f>IF('Part III-Sources of Funds'!$I$42="","",-FV('Part III-Sources of Funds'!$K$42/12,12,B119/12,K101))</f>
        <v>0</v>
      </c>
      <c r="C131" s="3047">
        <f>IF('Part III-Sources of Funds'!$I$42="","",-FV('Part III-Sources of Funds'!$K$42/12,12,C119/12,B131))</f>
        <v>0</v>
      </c>
      <c r="D131" s="3047">
        <f>IF('Part III-Sources of Funds'!$I$42="","",-FV('Part III-Sources of Funds'!$K$42/12,12,D119/12,C131))</f>
        <v>0</v>
      </c>
      <c r="E131" s="3047">
        <f>IF('Part III-Sources of Funds'!$I$42="","",-FV('Part III-Sources of Funds'!$K$42/12,12,E119/12,D131))</f>
        <v>0</v>
      </c>
      <c r="F131" s="3047">
        <f>IF('Part III-Sources of Funds'!$I$42="","",-FV('Part III-Sources of Funds'!$K$42/12,12,F119/12,E131))</f>
        <v>0</v>
      </c>
      <c r="G131" s="18"/>
      <c r="H131" s="18"/>
      <c r="I131" s="18"/>
      <c r="J131" s="18"/>
      <c r="K131" s="18"/>
      <c r="M131" s="2906"/>
      <c r="N131" s="2907"/>
    </row>
    <row r="132" spans="1:14" ht="4.1500000000000004" customHeight="1"/>
    <row r="133" spans="1:14" ht="12" customHeight="1">
      <c r="A133" s="14" t="s">
        <v>592</v>
      </c>
      <c r="B133" s="14"/>
      <c r="G133" s="14" t="s">
        <v>1068</v>
      </c>
    </row>
    <row r="134" spans="1:14" ht="12" customHeight="1">
      <c r="B134" s="32"/>
    </row>
    <row r="135" spans="1:14" ht="210" customHeight="1">
      <c r="A135" s="2732" t="s">
        <v>4393</v>
      </c>
      <c r="B135" s="3049"/>
      <c r="C135" s="3049"/>
      <c r="D135" s="3049"/>
      <c r="E135" s="3049"/>
      <c r="F135" s="3050"/>
      <c r="G135" s="3051"/>
      <c r="H135" s="3052"/>
      <c r="I135" s="3052"/>
      <c r="J135" s="3052"/>
      <c r="K135" s="3053"/>
      <c r="M135" s="1534" t="s">
        <v>2796</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gAmu763mzfyizAC8RTcQh3LoMbhNmjQYKTutkNkI6ZX0ybhQEgrYn7g5wQnE6XlxHeQfGrZqI6hvC0n00oU89g==" saltValue="4XSyiBFTlZIusmFyMktYcA=="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topLeftCell="A418"/>
      <selection sqref="A1:XFD1048576"/>
      <selection pane="bottomLeft" activeCell="A423" sqref="A42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2016-079 The Pines Apartments, St. Marys, Camden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1912</v>
      </c>
    </row>
    <row r="4" spans="1:32" ht="3" customHeight="1" thickBot="1">
      <c r="A4" s="1414"/>
      <c r="B4" s="1723"/>
      <c r="C4" s="1723"/>
      <c r="D4" s="1723"/>
      <c r="E4" s="1414"/>
      <c r="F4" s="1414"/>
      <c r="G4" s="1414"/>
      <c r="H4" s="1414"/>
      <c r="I4" s="1414"/>
      <c r="J4" s="1414"/>
      <c r="K4" s="1414"/>
      <c r="L4" s="1414"/>
      <c r="M4" s="1414"/>
      <c r="N4" s="1414"/>
      <c r="P4" s="1414"/>
      <c r="Q4" s="1414"/>
    </row>
    <row r="5" spans="1:32" ht="10.9" hidden="1" customHeight="1">
      <c r="A5" s="1414"/>
      <c r="B5" s="1414"/>
      <c r="C5" s="1414"/>
      <c r="D5" s="1414"/>
      <c r="E5" s="1414"/>
      <c r="F5" s="1414"/>
      <c r="G5" s="1414"/>
      <c r="H5" s="1414"/>
      <c r="I5" s="1414"/>
      <c r="J5" s="1414"/>
      <c r="K5" s="1414"/>
      <c r="L5" s="1414"/>
      <c r="M5" s="1414"/>
      <c r="N5" s="1414"/>
      <c r="P5" s="1414"/>
      <c r="Q5" s="1414"/>
    </row>
    <row r="6" spans="1:32" ht="15" customHeight="1" thickBot="1">
      <c r="A6" s="136" t="s">
        <v>586</v>
      </c>
      <c r="J6" s="1414"/>
      <c r="K6" s="1465" t="s">
        <v>4197</v>
      </c>
      <c r="L6" s="1466"/>
      <c r="M6" s="1467"/>
      <c r="N6" s="1414"/>
      <c r="P6" s="1724"/>
      <c r="Q6" s="1725"/>
    </row>
    <row r="7" spans="1:32" ht="12.6" customHeight="1">
      <c r="A7" s="137" t="s">
        <v>3694</v>
      </c>
      <c r="C7" s="138"/>
      <c r="D7" s="138"/>
      <c r="J7" s="1414"/>
      <c r="K7" s="1414"/>
      <c r="L7" s="1414"/>
      <c r="M7" s="1414"/>
      <c r="N7" s="1414"/>
    </row>
    <row r="8" spans="1:32" ht="24.6" customHeight="1">
      <c r="A8" s="1726" t="s">
        <v>1462</v>
      </c>
      <c r="B8" s="1727"/>
      <c r="C8" s="1727"/>
      <c r="D8" s="1727"/>
      <c r="E8" s="1727"/>
      <c r="F8" s="1727"/>
      <c r="G8" s="1727"/>
      <c r="H8" s="1727"/>
      <c r="I8" s="1727"/>
      <c r="J8" s="1727"/>
      <c r="K8" s="1727"/>
      <c r="L8" s="1727"/>
      <c r="M8" s="1727"/>
      <c r="N8" s="1727"/>
      <c r="O8" s="1727"/>
      <c r="P8" s="1727"/>
      <c r="Q8" s="1728"/>
      <c r="R8" s="1733" t="s">
        <v>2107</v>
      </c>
      <c r="S8" s="1444"/>
    </row>
    <row r="9" spans="1:32" ht="24.6" customHeight="1">
      <c r="A9" s="1696" t="s">
        <v>235</v>
      </c>
      <c r="B9" s="1697"/>
      <c r="C9" s="1697"/>
      <c r="D9" s="1697"/>
      <c r="E9" s="1697"/>
      <c r="F9" s="1697"/>
      <c r="G9" s="1697"/>
      <c r="H9" s="1697"/>
      <c r="I9" s="1697"/>
      <c r="J9" s="1697"/>
      <c r="K9" s="1697"/>
      <c r="L9" s="1697"/>
      <c r="M9" s="1697"/>
      <c r="N9" s="1697"/>
      <c r="O9" s="1697"/>
      <c r="P9" s="1697"/>
      <c r="Q9" s="1698"/>
      <c r="R9" s="1733"/>
      <c r="S9" s="1444"/>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4"/>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4"/>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8"/>
      <c r="S12" s="1388"/>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8"/>
      <c r="S13" s="1388"/>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ht="11.25" customHeight="1">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2100</v>
      </c>
      <c r="B21" s="1697"/>
      <c r="C21" s="1697"/>
      <c r="D21" s="1697"/>
      <c r="E21" s="1697"/>
      <c r="F21" s="1697"/>
      <c r="G21" s="1697"/>
      <c r="H21" s="1697"/>
      <c r="I21" s="1697"/>
      <c r="J21" s="1697"/>
      <c r="K21" s="1697"/>
      <c r="L21" s="1697"/>
      <c r="M21" s="1697"/>
      <c r="N21" s="1697"/>
      <c r="O21" s="1697"/>
      <c r="P21" s="1697"/>
      <c r="Q21" s="1698"/>
    </row>
    <row r="22" spans="1:19" ht="11.25" customHeight="1">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ht="11.25" customHeight="1">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22"/>
      <c r="J29" s="1422"/>
      <c r="K29" s="1422"/>
      <c r="L29" s="1414"/>
      <c r="M29" s="1414"/>
      <c r="O29" s="142" t="s">
        <v>1938</v>
      </c>
      <c r="P29" s="1711"/>
      <c r="Q29" s="1712"/>
    </row>
    <row r="30" spans="1:19" ht="3" customHeight="1"/>
    <row r="31" spans="1:19" ht="12" customHeight="1">
      <c r="B31" s="152" t="s">
        <v>2058</v>
      </c>
      <c r="C31" s="54" t="s">
        <v>3882</v>
      </c>
      <c r="E31" s="1223"/>
      <c r="F31" s="1223"/>
      <c r="G31" s="1223"/>
      <c r="H31" s="1223"/>
      <c r="I31" s="43"/>
      <c r="J31" s="34"/>
      <c r="K31" s="43"/>
      <c r="L31" s="34"/>
      <c r="M31" s="34"/>
      <c r="O31" s="70" t="s">
        <v>618</v>
      </c>
      <c r="P31" s="3054" t="s">
        <v>3156</v>
      </c>
      <c r="Q31" s="627"/>
    </row>
    <row r="32" spans="1:19" ht="12" customHeight="1">
      <c r="B32" s="48" t="s">
        <v>2061</v>
      </c>
      <c r="C32" s="54" t="s">
        <v>746</v>
      </c>
      <c r="E32" s="1223"/>
      <c r="F32" s="1223"/>
      <c r="G32" s="1223"/>
      <c r="H32" s="1223"/>
      <c r="J32" s="3055" t="s">
        <v>4153</v>
      </c>
      <c r="K32" s="3056"/>
      <c r="L32" s="3056"/>
      <c r="M32" s="3056"/>
      <c r="N32" s="3057"/>
      <c r="O32" s="70"/>
      <c r="P32" s="70"/>
      <c r="Q32" s="70"/>
    </row>
    <row r="33" spans="1:295" ht="11.25" customHeight="1">
      <c r="B33" s="71" t="s">
        <v>1936</v>
      </c>
      <c r="C33" s="71"/>
      <c r="D33" s="71"/>
      <c r="E33" s="71"/>
      <c r="F33" s="71"/>
      <c r="G33" s="1422"/>
      <c r="H33" s="1422"/>
      <c r="I33" s="1422"/>
      <c r="J33" s="1422"/>
      <c r="K33" s="1414"/>
      <c r="L33" s="1414"/>
      <c r="M33" s="1414"/>
      <c r="N33" s="1414"/>
      <c r="O33" s="1414"/>
      <c r="P33" s="1222"/>
      <c r="S33" s="171"/>
      <c r="T33" s="171"/>
    </row>
    <row r="34" spans="1:295" ht="36" customHeight="1">
      <c r="A34" s="3058" t="s">
        <v>4314</v>
      </c>
      <c r="B34" s="3059"/>
      <c r="C34" s="3059"/>
      <c r="D34" s="3059"/>
      <c r="E34" s="3059"/>
      <c r="F34" s="3059"/>
      <c r="G34" s="3059"/>
      <c r="H34" s="3059"/>
      <c r="I34" s="3059"/>
      <c r="J34" s="3059"/>
      <c r="K34" s="3059"/>
      <c r="L34" s="3059"/>
      <c r="M34" s="3059"/>
      <c r="N34" s="3059"/>
      <c r="O34" s="3059"/>
      <c r="P34" s="3059"/>
      <c r="Q34" s="3060"/>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2"/>
      <c r="C37" s="1421"/>
      <c r="D37" s="1421"/>
      <c r="E37" s="1421"/>
      <c r="F37" s="1421"/>
      <c r="G37" s="1421"/>
      <c r="H37" s="1421"/>
      <c r="I37" s="1421"/>
      <c r="J37" s="1421"/>
      <c r="K37" s="1421"/>
      <c r="L37" s="1421"/>
      <c r="M37" s="1421"/>
      <c r="N37" s="1421"/>
      <c r="O37" s="1421"/>
      <c r="P37" s="1421"/>
      <c r="Q37" s="1414"/>
    </row>
    <row r="38" spans="1:295" ht="12.75" customHeight="1">
      <c r="A38" s="1428">
        <v>2</v>
      </c>
      <c r="B38" s="4" t="s">
        <v>2817</v>
      </c>
      <c r="C38" s="4"/>
      <c r="D38" s="4"/>
      <c r="E38" s="1421"/>
      <c r="G38" s="824"/>
      <c r="H38" s="824"/>
      <c r="I38" s="824"/>
      <c r="J38" s="43"/>
      <c r="L38" s="825"/>
      <c r="M38" s="825"/>
      <c r="N38" s="825"/>
      <c r="O38" s="142" t="s">
        <v>1938</v>
      </c>
      <c r="P38" s="1711"/>
      <c r="Q38" s="1712"/>
    </row>
    <row r="39" spans="1:295" ht="11.25" customHeight="1">
      <c r="A39" s="1699" t="s">
        <v>3695</v>
      </c>
      <c r="B39" s="1699"/>
      <c r="C39" s="1699"/>
      <c r="D39" s="1699"/>
      <c r="E39" s="1699"/>
      <c r="F39" s="1699"/>
      <c r="G39" s="1786" t="s">
        <v>2821</v>
      </c>
      <c r="H39" s="1787"/>
      <c r="I39" s="831"/>
      <c r="J39" s="43"/>
      <c r="K39" s="1713" t="s">
        <v>4045</v>
      </c>
      <c r="L39" s="1714"/>
      <c r="M39" s="1714"/>
      <c r="N39" s="1715"/>
    </row>
    <row r="40" spans="1:295" ht="11.25" customHeight="1">
      <c r="A40" s="1699"/>
      <c r="B40" s="1699"/>
      <c r="C40" s="1699"/>
      <c r="D40" s="1699"/>
      <c r="E40" s="1699"/>
      <c r="F40" s="1699"/>
      <c r="G40" s="1721" t="s">
        <v>359</v>
      </c>
      <c r="H40" s="1722"/>
      <c r="I40" s="831"/>
      <c r="J40" s="43"/>
      <c r="K40" s="1708" t="s">
        <v>4046</v>
      </c>
      <c r="L40" s="1709"/>
      <c r="M40" s="1709"/>
      <c r="N40" s="1710"/>
      <c r="P40" s="608" t="s">
        <v>2849</v>
      </c>
      <c r="Q40" s="3054" t="s">
        <v>3153</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2820</v>
      </c>
      <c r="E42" s="36"/>
      <c r="F42" s="833" t="s">
        <v>3697</v>
      </c>
      <c r="G42" s="1796" t="s">
        <v>3696</v>
      </c>
      <c r="H42" s="1796"/>
      <c r="I42" s="1796"/>
      <c r="J42" s="36"/>
      <c r="K42" s="833" t="s">
        <v>3697</v>
      </c>
      <c r="L42" s="1796" t="s">
        <v>3696</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3545</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1"/>
      <c r="P43" s="1700" t="s">
        <v>3547</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1"/>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1"/>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1"/>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1"/>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1"/>
      <c r="P48" s="1784" t="s">
        <v>4040</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3540</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92">
        <f>'Part IV-Uses of Funds'!$G$131</f>
        <v>9614942</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84" t="s">
        <v>4047</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74" t="s">
        <v>4038</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74" t="s">
        <v>4039</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75">
        <f>'Part IX A-Scoring Criteria'!O56</f>
        <v>2</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82" t="s">
        <v>2887</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10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10 units = </v>
      </c>
      <c r="I65" s="1141">
        <f>F65*G65</f>
        <v>1342030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01">
        <f>IF(P53&gt;1,P53, IF(AND('Part IV-Uses of Funds'!$T$164="Yes",'Part IX A-Scoring Criteria'!$O$314&gt;0),I71+N71,I71))</f>
        <v>12384982</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48</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48 units = </v>
      </c>
      <c r="I66" s="1141">
        <f>F66*G66</f>
        <v>8282208</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12</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12 units = </v>
      </c>
      <c r="I67" s="1141">
        <f>F67*G67</f>
        <v>2760744</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85" t="s">
        <v>2846</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70</v>
      </c>
      <c r="G69" s="834"/>
      <c r="H69" s="816"/>
      <c r="I69" s="817">
        <f>SUM(I64:I68)</f>
        <v>12384982</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5"/>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70</v>
      </c>
      <c r="G71" s="370"/>
      <c r="H71" s="823"/>
      <c r="I71" s="822">
        <f>I48+I55+I62+I69</f>
        <v>12384982</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2"/>
      <c r="J72" s="1422"/>
      <c r="K72" s="147" t="s">
        <v>1937</v>
      </c>
      <c r="L72" s="1414"/>
      <c r="M72" s="1414"/>
      <c r="N72" s="1414"/>
      <c r="O72" s="1414"/>
      <c r="P72" s="1414"/>
      <c r="Q72" s="1222"/>
    </row>
    <row r="73" spans="1:295" ht="10.5" customHeight="1">
      <c r="A73" s="3058" t="s">
        <v>4315</v>
      </c>
      <c r="B73" s="3059"/>
      <c r="C73" s="3059"/>
      <c r="D73" s="3059"/>
      <c r="E73" s="3059"/>
      <c r="F73" s="3059"/>
      <c r="G73" s="3059"/>
      <c r="H73" s="3059"/>
      <c r="I73" s="3059"/>
      <c r="J73" s="3060"/>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2"/>
      <c r="C74" s="1421"/>
      <c r="D74" s="1421"/>
      <c r="E74" s="1421"/>
      <c r="F74" s="1421"/>
      <c r="G74" s="1421"/>
      <c r="H74" s="1421"/>
      <c r="I74" s="1421"/>
      <c r="J74" s="1421"/>
      <c r="K74" s="1421"/>
      <c r="L74" s="1421"/>
      <c r="M74" s="1421"/>
      <c r="N74" s="1421"/>
      <c r="O74" s="1421"/>
      <c r="P74" s="1421"/>
      <c r="Q74" s="1414"/>
    </row>
    <row r="75" spans="1:295" ht="12.75" customHeight="1">
      <c r="A75" s="1428">
        <v>3</v>
      </c>
      <c r="B75" s="4" t="s">
        <v>1234</v>
      </c>
      <c r="C75" s="4"/>
      <c r="D75" s="4"/>
      <c r="E75" s="1421"/>
      <c r="F75" s="1421"/>
      <c r="G75" s="150" t="s">
        <v>101</v>
      </c>
      <c r="H75" s="1421"/>
      <c r="J75" s="3061" t="str">
        <f>'Part I-Project Information'!$H$67</f>
        <v>Family</v>
      </c>
      <c r="K75" s="3062"/>
      <c r="L75" s="3063"/>
      <c r="O75" s="142" t="s">
        <v>1938</v>
      </c>
      <c r="P75" s="1711"/>
      <c r="Q75" s="1712"/>
    </row>
    <row r="76" spans="1:295" ht="10.5" customHeight="1">
      <c r="B76" s="101" t="s">
        <v>1936</v>
      </c>
      <c r="D76" s="101"/>
      <c r="E76" s="101"/>
      <c r="F76" s="101"/>
      <c r="G76" s="101"/>
      <c r="H76" s="41"/>
      <c r="I76" s="1422"/>
      <c r="J76" s="1422"/>
      <c r="K76" s="147" t="s">
        <v>1937</v>
      </c>
      <c r="L76" s="1414"/>
      <c r="M76" s="1414"/>
      <c r="N76" s="1414"/>
      <c r="O76" s="1414"/>
      <c r="P76" s="1414"/>
      <c r="Q76" s="1222"/>
    </row>
    <row r="77" spans="1:295" ht="10.5" customHeight="1">
      <c r="A77" s="3058" t="s">
        <v>4316</v>
      </c>
      <c r="B77" s="3059"/>
      <c r="C77" s="3059"/>
      <c r="D77" s="3059"/>
      <c r="E77" s="3059"/>
      <c r="F77" s="3059"/>
      <c r="G77" s="3059"/>
      <c r="H77" s="3059"/>
      <c r="I77" s="3059"/>
      <c r="J77" s="3060"/>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4"/>
      <c r="B78" s="1422"/>
      <c r="C78" s="1421"/>
      <c r="D78" s="1421"/>
      <c r="E78" s="1421"/>
      <c r="F78" s="1421"/>
      <c r="G78" s="1421"/>
      <c r="H78" s="1421"/>
      <c r="I78" s="1421"/>
      <c r="J78" s="1421"/>
      <c r="K78" s="1421"/>
      <c r="L78" s="1421"/>
      <c r="M78" s="1421"/>
      <c r="N78" s="1421"/>
      <c r="O78" s="1421"/>
      <c r="P78" s="1421"/>
      <c r="Q78" s="1414"/>
    </row>
    <row r="79" spans="1:295" ht="12.75" customHeight="1">
      <c r="A79" s="1428">
        <v>4</v>
      </c>
      <c r="B79" s="1428" t="s">
        <v>2745</v>
      </c>
      <c r="C79" s="121"/>
      <c r="D79" s="1421"/>
      <c r="E79" s="1421"/>
      <c r="F79" s="1421"/>
      <c r="G79" s="1421"/>
      <c r="H79" s="1421"/>
      <c r="I79" s="1421"/>
      <c r="J79" s="1421"/>
      <c r="K79" s="1421"/>
      <c r="L79" s="1421"/>
      <c r="M79" s="1421"/>
      <c r="O79" s="142" t="s">
        <v>1938</v>
      </c>
      <c r="P79" s="1711"/>
      <c r="Q79" s="1712"/>
    </row>
    <row r="80" spans="1:295" ht="1.5" customHeight="1"/>
    <row r="81" spans="1:31" ht="10.5" customHeight="1">
      <c r="B81" s="865" t="s">
        <v>2058</v>
      </c>
      <c r="C81" s="435" t="s">
        <v>4147</v>
      </c>
      <c r="D81" s="1349"/>
      <c r="E81" s="1349"/>
      <c r="F81" s="1349"/>
      <c r="G81" s="1349"/>
      <c r="H81" s="1349"/>
      <c r="I81" s="1349"/>
      <c r="J81" s="1350" t="s">
        <v>4148</v>
      </c>
      <c r="K81" s="1349"/>
      <c r="L81" s="1349"/>
      <c r="M81" s="1349"/>
      <c r="O81" s="153"/>
      <c r="P81" s="3054" t="s">
        <v>4283</v>
      </c>
    </row>
    <row r="82" spans="1:31" ht="10.5" customHeight="1">
      <c r="B82" s="121" t="s">
        <v>2061</v>
      </c>
      <c r="C82" s="1223" t="s">
        <v>3886</v>
      </c>
      <c r="D82" s="1223"/>
      <c r="E82" s="1223"/>
      <c r="F82" s="1223"/>
      <c r="G82" s="1223"/>
      <c r="H82" s="1223"/>
      <c r="I82" s="1223"/>
      <c r="J82" s="1223"/>
      <c r="K82" s="1223"/>
      <c r="L82" s="1223"/>
      <c r="M82" s="1223"/>
      <c r="O82" s="1223"/>
      <c r="P82" s="1223"/>
      <c r="Q82" s="1223"/>
    </row>
    <row r="83" spans="1:31" ht="10.9" customHeight="1">
      <c r="A83" s="154"/>
      <c r="B83" s="70" t="s">
        <v>1803</v>
      </c>
      <c r="C83" s="1223" t="s">
        <v>3754</v>
      </c>
      <c r="E83" s="1426"/>
      <c r="F83" s="1426"/>
      <c r="G83" s="1426"/>
      <c r="H83" s="34"/>
      <c r="I83" s="37" t="s">
        <v>2809</v>
      </c>
      <c r="J83" s="3064" t="s">
        <v>4317</v>
      </c>
      <c r="K83" s="3065"/>
      <c r="L83" s="3065"/>
      <c r="M83" s="3065"/>
      <c r="N83" s="3065"/>
      <c r="O83" s="3065"/>
      <c r="P83" s="3065"/>
      <c r="Q83" s="3066"/>
    </row>
    <row r="84" spans="1:31" ht="10.9" customHeight="1">
      <c r="A84" s="154"/>
      <c r="B84" s="70" t="s">
        <v>1804</v>
      </c>
      <c r="C84" s="1223" t="s">
        <v>3884</v>
      </c>
      <c r="E84" s="1426"/>
      <c r="F84" s="1426"/>
      <c r="G84" s="1426"/>
      <c r="H84" s="34"/>
      <c r="I84" s="37" t="s">
        <v>2809</v>
      </c>
      <c r="J84" s="3067" t="s">
        <v>4318</v>
      </c>
      <c r="K84" s="3068"/>
      <c r="L84" s="3068"/>
      <c r="M84" s="3068"/>
      <c r="N84" s="3068"/>
      <c r="O84" s="3068"/>
      <c r="P84" s="3068"/>
      <c r="Q84" s="3069"/>
    </row>
    <row r="85" spans="1:31" ht="10.9" customHeight="1">
      <c r="A85" s="154"/>
      <c r="B85" s="70" t="s">
        <v>1805</v>
      </c>
      <c r="C85" s="1223" t="s">
        <v>3885</v>
      </c>
      <c r="E85" s="1426"/>
      <c r="F85" s="1426"/>
      <c r="G85" s="1426"/>
      <c r="H85" s="34"/>
      <c r="I85" s="37" t="s">
        <v>2809</v>
      </c>
      <c r="J85" s="3067"/>
      <c r="K85" s="3068"/>
      <c r="L85" s="3068"/>
      <c r="M85" s="3068"/>
      <c r="N85" s="3068"/>
      <c r="O85" s="3068"/>
      <c r="P85" s="3068"/>
      <c r="Q85" s="3069"/>
    </row>
    <row r="86" spans="1:31" ht="10.9" customHeight="1">
      <c r="A86" s="154"/>
      <c r="B86" s="525" t="s">
        <v>2448</v>
      </c>
      <c r="C86" s="1223" t="s">
        <v>3558</v>
      </c>
      <c r="E86" s="1426"/>
      <c r="I86" s="37" t="s">
        <v>2809</v>
      </c>
      <c r="J86" s="3070"/>
      <c r="K86" s="3071"/>
      <c r="L86" s="3071"/>
      <c r="M86" s="3071"/>
      <c r="N86" s="3071"/>
      <c r="O86" s="3071"/>
      <c r="P86" s="3071"/>
      <c r="Q86" s="3072"/>
    </row>
    <row r="87" spans="1:31" ht="10.9" customHeight="1">
      <c r="A87" s="154"/>
      <c r="B87" s="121" t="s">
        <v>779</v>
      </c>
      <c r="C87" s="41" t="s">
        <v>3853</v>
      </c>
      <c r="D87" s="1223"/>
      <c r="E87" s="1426"/>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73" t="s">
        <v>1006</v>
      </c>
      <c r="M88" s="3074"/>
      <c r="N88" s="3074"/>
      <c r="O88" s="3074"/>
      <c r="P88" s="3075"/>
      <c r="Q88" s="628"/>
    </row>
    <row r="89" spans="1:31" ht="10.5" customHeight="1">
      <c r="B89" s="101" t="s">
        <v>1936</v>
      </c>
      <c r="D89" s="101"/>
      <c r="E89" s="101"/>
      <c r="F89" s="101"/>
      <c r="G89" s="101"/>
      <c r="H89" s="41"/>
      <c r="I89" s="1422"/>
      <c r="J89" s="1422"/>
      <c r="K89" s="147" t="s">
        <v>1937</v>
      </c>
      <c r="L89" s="1414"/>
      <c r="M89" s="1414"/>
      <c r="N89" s="1414"/>
      <c r="O89" s="1414"/>
      <c r="P89" s="1414"/>
      <c r="Q89" s="1222"/>
    </row>
    <row r="90" spans="1:31" ht="34.5" customHeight="1">
      <c r="A90" s="3058" t="s">
        <v>4319</v>
      </c>
      <c r="B90" s="3059"/>
      <c r="C90" s="3059"/>
      <c r="D90" s="3059"/>
      <c r="E90" s="3059"/>
      <c r="F90" s="3059"/>
      <c r="G90" s="3059"/>
      <c r="H90" s="3059"/>
      <c r="I90" s="3059"/>
      <c r="J90" s="3060"/>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4"/>
      <c r="B91" s="1422"/>
      <c r="C91" s="1421"/>
      <c r="D91" s="1421"/>
      <c r="E91" s="1421"/>
      <c r="F91" s="1421"/>
      <c r="G91" s="1421"/>
      <c r="H91" s="1421"/>
      <c r="I91" s="1421"/>
      <c r="J91" s="1421"/>
      <c r="K91" s="1421"/>
      <c r="L91" s="1421"/>
      <c r="M91" s="1421"/>
      <c r="N91" s="1421"/>
      <c r="O91" s="1421"/>
      <c r="P91" s="1421"/>
      <c r="Q91" s="1414"/>
    </row>
    <row r="92" spans="1:31" ht="13.9" customHeight="1">
      <c r="A92" s="1428">
        <v>5</v>
      </c>
      <c r="B92" s="1428" t="s">
        <v>2746</v>
      </c>
      <c r="C92" s="1428"/>
      <c r="D92" s="1421"/>
      <c r="E92" s="1421"/>
      <c r="F92" s="1421"/>
      <c r="G92" s="1421"/>
      <c r="H92" s="1421"/>
      <c r="I92" s="1421"/>
      <c r="J92" s="1421"/>
      <c r="K92" s="1421"/>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76" t="s">
        <v>4320</v>
      </c>
      <c r="N94" s="3077"/>
      <c r="O94" s="3077"/>
      <c r="P94" s="3078"/>
      <c r="Q94" s="630"/>
    </row>
    <row r="95" spans="1:31" ht="12" customHeight="1">
      <c r="B95" s="48" t="s">
        <v>2061</v>
      </c>
      <c r="C95" s="54" t="s">
        <v>2113</v>
      </c>
      <c r="D95" s="144"/>
      <c r="E95" s="144"/>
      <c r="F95" s="144"/>
      <c r="L95" s="525" t="s">
        <v>2061</v>
      </c>
      <c r="M95" s="3079" t="s">
        <v>4321</v>
      </c>
      <c r="N95" s="3080"/>
      <c r="O95" s="3080"/>
      <c r="P95" s="3081"/>
      <c r="Q95" s="631"/>
    </row>
    <row r="96" spans="1:31" ht="12" customHeight="1">
      <c r="B96" s="48" t="s">
        <v>779</v>
      </c>
      <c r="C96" s="54" t="s">
        <v>3018</v>
      </c>
      <c r="D96" s="144"/>
      <c r="E96" s="144"/>
      <c r="F96" s="144"/>
      <c r="L96" s="525" t="s">
        <v>779</v>
      </c>
      <c r="M96" s="3082">
        <v>0.99</v>
      </c>
      <c r="N96" s="3083"/>
      <c r="O96" s="3083"/>
      <c r="P96" s="3084"/>
      <c r="Q96" s="631"/>
    </row>
    <row r="97" spans="1:31" ht="12" customHeight="1">
      <c r="B97" s="48" t="s">
        <v>2193</v>
      </c>
      <c r="C97" s="54" t="s">
        <v>4048</v>
      </c>
      <c r="D97" s="144"/>
      <c r="E97" s="144"/>
      <c r="F97" s="144"/>
      <c r="L97" s="525" t="s">
        <v>2193</v>
      </c>
      <c r="M97" s="3085">
        <v>4.9000000000000002E-2</v>
      </c>
      <c r="N97" s="3086"/>
      <c r="O97" s="3086"/>
      <c r="P97" s="3087"/>
      <c r="Q97" s="632"/>
    </row>
    <row r="98" spans="1:31" ht="12" customHeight="1">
      <c r="B98" s="152" t="s">
        <v>1801</v>
      </c>
      <c r="C98" s="1718" t="s">
        <v>3717</v>
      </c>
      <c r="D98" s="1718"/>
      <c r="E98" s="1718"/>
      <c r="F98" s="1718"/>
      <c r="G98" s="1718"/>
      <c r="H98" s="1718"/>
      <c r="I98" s="1718"/>
      <c r="J98" s="1718"/>
      <c r="K98" s="1718"/>
      <c r="L98" s="1718"/>
      <c r="M98" s="1718"/>
      <c r="N98" s="1718"/>
      <c r="O98" s="1718"/>
      <c r="P98" s="1718"/>
      <c r="Q98" s="1718"/>
    </row>
    <row r="99" spans="1:31" ht="12" customHeight="1">
      <c r="B99" s="48"/>
      <c r="C99" s="54"/>
      <c r="D99" s="1439" t="s">
        <v>2463</v>
      </c>
      <c r="E99" s="1223" t="s">
        <v>641</v>
      </c>
      <c r="F99" s="1223"/>
      <c r="H99" s="54"/>
      <c r="I99" s="1439" t="s">
        <v>2463</v>
      </c>
      <c r="J99" s="1223" t="s">
        <v>641</v>
      </c>
      <c r="K99" s="1223"/>
      <c r="M99" s="54"/>
      <c r="N99" s="1439" t="s">
        <v>2463</v>
      </c>
      <c r="O99" s="1223" t="s">
        <v>641</v>
      </c>
      <c r="P99" s="1223"/>
      <c r="Q99" s="525"/>
    </row>
    <row r="100" spans="1:31" ht="12" customHeight="1">
      <c r="B100" s="48"/>
      <c r="C100" s="54">
        <v>1</v>
      </c>
      <c r="D100" s="3088"/>
      <c r="E100" s="3089"/>
      <c r="F100" s="3089"/>
      <c r="G100" s="3089"/>
      <c r="H100" s="54">
        <v>3</v>
      </c>
      <c r="I100" s="3088"/>
      <c r="J100" s="3089"/>
      <c r="K100" s="3089"/>
      <c r="L100" s="3089"/>
      <c r="M100" s="54">
        <v>5</v>
      </c>
      <c r="N100" s="3088"/>
      <c r="O100" s="3089"/>
      <c r="P100" s="3089"/>
      <c r="Q100" s="3089"/>
    </row>
    <row r="101" spans="1:31" ht="12" customHeight="1">
      <c r="B101" s="48"/>
      <c r="C101" s="54">
        <v>2</v>
      </c>
      <c r="D101" s="3090"/>
      <c r="E101" s="3091"/>
      <c r="F101" s="3091"/>
      <c r="G101" s="3091"/>
      <c r="H101" s="54">
        <v>4</v>
      </c>
      <c r="I101" s="3090"/>
      <c r="J101" s="3091"/>
      <c r="K101" s="3091"/>
      <c r="L101" s="3091"/>
      <c r="M101" s="54">
        <v>6</v>
      </c>
      <c r="N101" s="3090"/>
      <c r="O101" s="3091"/>
      <c r="P101" s="3091"/>
      <c r="Q101" s="3091"/>
    </row>
    <row r="102" spans="1:31" ht="12" customHeight="1">
      <c r="B102" s="48" t="s">
        <v>1802</v>
      </c>
      <c r="C102" s="54" t="s">
        <v>0</v>
      </c>
      <c r="D102" s="144"/>
      <c r="E102" s="144"/>
      <c r="F102" s="144"/>
      <c r="G102" s="144"/>
      <c r="H102" s="144"/>
      <c r="I102" s="43"/>
      <c r="J102" s="43"/>
      <c r="K102" s="144"/>
      <c r="L102" s="1426"/>
      <c r="M102" s="1426"/>
      <c r="O102" s="525" t="s">
        <v>1802</v>
      </c>
      <c r="P102" s="3092" t="s">
        <v>3153</v>
      </c>
      <c r="Q102" s="638"/>
    </row>
    <row r="103" spans="1:31" ht="11.25" customHeight="1">
      <c r="B103" s="151" t="s">
        <v>1936</v>
      </c>
      <c r="D103" s="151"/>
      <c r="E103" s="151"/>
      <c r="F103" s="151"/>
      <c r="G103" s="151"/>
      <c r="H103" s="41"/>
      <c r="I103" s="1422"/>
      <c r="J103" s="1422"/>
      <c r="K103" s="1422"/>
      <c r="L103" s="1414"/>
      <c r="M103" s="1414"/>
      <c r="N103" s="1414"/>
      <c r="O103" s="1414"/>
      <c r="P103" s="1414"/>
      <c r="Q103" s="1222"/>
    </row>
    <row r="104" spans="1:31" ht="44.25" customHeight="1">
      <c r="A104" s="3058" t="s">
        <v>4322</v>
      </c>
      <c r="B104" s="3059"/>
      <c r="C104" s="3059"/>
      <c r="D104" s="3059"/>
      <c r="E104" s="3059"/>
      <c r="F104" s="3059"/>
      <c r="G104" s="3059"/>
      <c r="H104" s="3059"/>
      <c r="I104" s="3059"/>
      <c r="J104" s="3059"/>
      <c r="K104" s="3059"/>
      <c r="L104" s="3059"/>
      <c r="M104" s="3059"/>
      <c r="N104" s="3059"/>
      <c r="O104" s="3059"/>
      <c r="P104" s="3059"/>
      <c r="Q104" s="3060"/>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8">
        <v>6</v>
      </c>
      <c r="B107" s="1428" t="s">
        <v>2747</v>
      </c>
      <c r="C107" s="1428"/>
      <c r="D107" s="1421"/>
      <c r="E107" s="1421"/>
      <c r="F107" s="1421"/>
      <c r="G107" s="1421"/>
      <c r="H107" s="1421"/>
      <c r="I107" s="1421"/>
      <c r="J107" s="1421"/>
      <c r="K107" s="1421"/>
      <c r="L107" s="1421"/>
      <c r="M107" s="1421"/>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3" t="s">
        <v>3153</v>
      </c>
      <c r="Q109" s="630"/>
    </row>
    <row r="110" spans="1:31" ht="12" customHeight="1">
      <c r="B110" s="48" t="s">
        <v>2061</v>
      </c>
      <c r="C110" s="54" t="s">
        <v>1353</v>
      </c>
      <c r="D110" s="54"/>
      <c r="E110" s="54"/>
      <c r="F110" s="54"/>
      <c r="G110" s="54"/>
      <c r="H110" s="54"/>
      <c r="I110" s="54"/>
      <c r="J110" s="54"/>
      <c r="K110" s="54"/>
      <c r="L110" s="1223"/>
      <c r="M110" s="1223"/>
      <c r="O110" s="525" t="s">
        <v>2061</v>
      </c>
      <c r="P110" s="3094" t="s">
        <v>3153</v>
      </c>
      <c r="Q110" s="631"/>
    </row>
    <row r="111" spans="1:31" ht="12" customHeight="1">
      <c r="A111" s="143"/>
      <c r="B111" s="37"/>
      <c r="D111" s="40" t="s">
        <v>573</v>
      </c>
      <c r="E111" s="43"/>
      <c r="F111" s="43"/>
      <c r="G111" s="43"/>
      <c r="H111" s="43"/>
      <c r="I111" s="43"/>
      <c r="L111" s="70" t="s">
        <v>574</v>
      </c>
      <c r="M111" s="3073" t="s">
        <v>4323</v>
      </c>
      <c r="N111" s="3074"/>
      <c r="O111" s="3074"/>
      <c r="P111" s="3095"/>
      <c r="Q111" s="631"/>
    </row>
    <row r="112" spans="1:31">
      <c r="A112" s="154"/>
      <c r="B112" s="1422"/>
      <c r="C112" s="160" t="s">
        <v>1803</v>
      </c>
      <c r="D112" s="1719" t="s">
        <v>3730</v>
      </c>
      <c r="E112" s="1720"/>
      <c r="F112" s="1720"/>
      <c r="G112" s="1720"/>
      <c r="H112" s="1720"/>
      <c r="I112" s="1720"/>
      <c r="J112" s="1720"/>
      <c r="K112" s="1720"/>
      <c r="L112" s="1720"/>
      <c r="M112" s="1720"/>
      <c r="N112" s="1720"/>
      <c r="O112" s="160" t="s">
        <v>1803</v>
      </c>
      <c r="P112" s="3093" t="s">
        <v>3153</v>
      </c>
      <c r="Q112" s="631"/>
    </row>
    <row r="113" spans="1:32" ht="12" customHeight="1">
      <c r="A113" s="154"/>
      <c r="B113" s="1422"/>
      <c r="C113" s="70" t="s">
        <v>1804</v>
      </c>
      <c r="D113" s="1719" t="s">
        <v>3731</v>
      </c>
      <c r="E113" s="1720"/>
      <c r="F113" s="1720"/>
      <c r="G113" s="1720"/>
      <c r="H113" s="1720"/>
      <c r="I113" s="1720"/>
      <c r="J113" s="1720"/>
      <c r="K113" s="1720"/>
      <c r="L113" s="1720"/>
      <c r="M113" s="1720"/>
      <c r="N113" s="1720"/>
      <c r="O113" s="70" t="s">
        <v>1804</v>
      </c>
      <c r="P113" s="3096" t="s">
        <v>3153</v>
      </c>
      <c r="Q113" s="631"/>
    </row>
    <row r="114" spans="1:32" ht="12" customHeight="1">
      <c r="A114" s="154"/>
      <c r="B114" s="1422"/>
      <c r="C114" s="160" t="s">
        <v>1805</v>
      </c>
      <c r="D114" s="54" t="s">
        <v>3019</v>
      </c>
      <c r="E114" s="54"/>
      <c r="F114" s="54"/>
      <c r="G114" s="54"/>
      <c r="H114" s="54"/>
      <c r="I114" s="54"/>
      <c r="J114" s="54"/>
      <c r="K114" s="54"/>
      <c r="L114" s="54"/>
      <c r="M114" s="54"/>
      <c r="O114" s="160" t="s">
        <v>1805</v>
      </c>
      <c r="P114" s="3096" t="s">
        <v>3153</v>
      </c>
      <c r="Q114" s="631"/>
    </row>
    <row r="115" spans="1:32" s="143" customFormat="1" ht="24.75" customHeight="1">
      <c r="A115" s="154"/>
      <c r="B115" s="487"/>
      <c r="C115" s="174" t="s">
        <v>2448</v>
      </c>
      <c r="D115" s="1718" t="s">
        <v>2789</v>
      </c>
      <c r="E115" s="1718"/>
      <c r="F115" s="1718"/>
      <c r="G115" s="1718"/>
      <c r="H115" s="1718"/>
      <c r="I115" s="1718"/>
      <c r="J115" s="1718"/>
      <c r="K115" s="1718"/>
      <c r="L115" s="1718"/>
      <c r="M115" s="1718"/>
      <c r="N115" s="1718"/>
      <c r="O115" s="174" t="s">
        <v>2448</v>
      </c>
      <c r="P115" s="3097"/>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4" t="s">
        <v>3156</v>
      </c>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3" t="s">
        <v>3156</v>
      </c>
      <c r="Q118" s="630"/>
    </row>
    <row r="119" spans="1:32" ht="12" customHeight="1">
      <c r="B119" s="48"/>
      <c r="C119" s="70" t="s">
        <v>1804</v>
      </c>
      <c r="D119" s="54" t="s">
        <v>1484</v>
      </c>
      <c r="E119" s="54"/>
      <c r="F119" s="54"/>
      <c r="G119" s="54"/>
      <c r="H119" s="54"/>
      <c r="I119" s="54"/>
      <c r="J119" s="54"/>
      <c r="K119" s="54"/>
      <c r="L119" s="1223"/>
      <c r="M119" s="1223"/>
      <c r="O119" s="70" t="s">
        <v>1804</v>
      </c>
      <c r="P119" s="3096" t="s">
        <v>3156</v>
      </c>
      <c r="Q119" s="631"/>
    </row>
    <row r="120" spans="1:32" ht="12" customHeight="1">
      <c r="B120" s="48"/>
      <c r="C120" s="70" t="s">
        <v>1805</v>
      </c>
      <c r="D120" s="54" t="s">
        <v>1485</v>
      </c>
      <c r="E120" s="54"/>
      <c r="F120" s="54"/>
      <c r="G120" s="54"/>
      <c r="H120" s="54"/>
      <c r="I120" s="54"/>
      <c r="J120" s="54"/>
      <c r="K120" s="54"/>
      <c r="L120" s="1223"/>
      <c r="M120" s="1223"/>
      <c r="O120" s="70" t="s">
        <v>1805</v>
      </c>
      <c r="P120" s="3094" t="s">
        <v>3156</v>
      </c>
      <c r="Q120" s="632"/>
    </row>
    <row r="121" spans="1:32" ht="11.25" customHeight="1">
      <c r="B121" s="151" t="s">
        <v>1936</v>
      </c>
      <c r="D121" s="151"/>
      <c r="E121" s="151"/>
      <c r="F121" s="151"/>
      <c r="G121" s="151"/>
      <c r="H121" s="41"/>
      <c r="I121" s="1422"/>
      <c r="J121" s="1422"/>
      <c r="K121" s="1422"/>
      <c r="L121" s="1414"/>
      <c r="M121" s="1414"/>
      <c r="N121" s="1414"/>
      <c r="O121" s="1414"/>
      <c r="P121" s="1414"/>
      <c r="Q121" s="1222"/>
    </row>
    <row r="122" spans="1:32" ht="24" customHeight="1">
      <c r="A122" s="3058" t="s">
        <v>4379</v>
      </c>
      <c r="B122" s="3059"/>
      <c r="C122" s="3059"/>
      <c r="D122" s="3059"/>
      <c r="E122" s="3059"/>
      <c r="F122" s="3059"/>
      <c r="G122" s="3059"/>
      <c r="H122" s="3059"/>
      <c r="I122" s="3059"/>
      <c r="J122" s="3059"/>
      <c r="K122" s="3059"/>
      <c r="L122" s="3059"/>
      <c r="M122" s="3059"/>
      <c r="N122" s="3059"/>
      <c r="O122" s="3059"/>
      <c r="P122" s="3059"/>
      <c r="Q122" s="3060"/>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4"/>
      <c r="B125" s="1422"/>
      <c r="C125" s="1421"/>
      <c r="D125" s="1421"/>
      <c r="E125" s="1421"/>
      <c r="F125" s="1421"/>
      <c r="G125" s="1421"/>
      <c r="H125" s="1421"/>
      <c r="I125" s="1421"/>
      <c r="J125" s="1421"/>
      <c r="K125" s="1421"/>
      <c r="L125" s="1421"/>
      <c r="M125" s="1421"/>
      <c r="N125" s="1421"/>
      <c r="O125" s="1421"/>
      <c r="P125" s="1421"/>
      <c r="Q125" s="1414"/>
    </row>
    <row r="126" spans="1:32" ht="13.9" customHeight="1">
      <c r="A126" s="1428">
        <v>7</v>
      </c>
      <c r="B126" s="1428" t="s">
        <v>2748</v>
      </c>
      <c r="C126" s="41"/>
      <c r="D126" s="1421"/>
      <c r="E126" s="1421"/>
      <c r="F126" s="1421"/>
      <c r="G126" s="1421"/>
      <c r="H126" s="1421"/>
      <c r="I126" s="1421"/>
      <c r="J126" s="1421"/>
      <c r="K126" s="1421"/>
      <c r="L126" s="1421"/>
      <c r="M126" s="1421"/>
      <c r="O126" s="142" t="s">
        <v>1938</v>
      </c>
      <c r="P126" s="1711"/>
      <c r="Q126" s="1712"/>
    </row>
    <row r="127" spans="1:32" ht="6.6" customHeight="1"/>
    <row r="128" spans="1:32" ht="12" customHeight="1">
      <c r="B128" s="48" t="s">
        <v>2058</v>
      </c>
      <c r="C128" s="54" t="s">
        <v>4049</v>
      </c>
      <c r="D128" s="144"/>
      <c r="E128" s="144"/>
      <c r="F128" s="144"/>
      <c r="G128" s="144"/>
      <c r="H128" s="144"/>
      <c r="I128" s="43"/>
      <c r="J128" s="43"/>
      <c r="K128" s="43"/>
      <c r="L128" s="525" t="s">
        <v>2058</v>
      </c>
      <c r="M128" s="3098" t="s">
        <v>4380</v>
      </c>
      <c r="N128" s="3099"/>
      <c r="O128" s="3099"/>
      <c r="P128" s="3100"/>
      <c r="Q128" s="628"/>
    </row>
    <row r="129" spans="2:17" ht="12" customHeight="1">
      <c r="B129" s="48" t="s">
        <v>2061</v>
      </c>
      <c r="C129" s="54" t="s">
        <v>1595</v>
      </c>
      <c r="D129" s="144"/>
      <c r="E129" s="144"/>
      <c r="F129" s="144"/>
      <c r="G129" s="144"/>
      <c r="H129" s="144"/>
      <c r="I129" s="43"/>
      <c r="J129" s="43"/>
      <c r="K129" s="144"/>
      <c r="L129" s="144"/>
      <c r="M129" s="1426"/>
      <c r="O129" s="525" t="s">
        <v>2061</v>
      </c>
      <c r="P129" s="3093" t="s">
        <v>3156</v>
      </c>
      <c r="Q129" s="1351"/>
    </row>
    <row r="130" spans="2:17" ht="12" customHeight="1">
      <c r="B130" s="48" t="s">
        <v>779</v>
      </c>
      <c r="C130" s="54" t="s">
        <v>156</v>
      </c>
      <c r="D130" s="144"/>
      <c r="E130" s="144"/>
      <c r="F130" s="144"/>
      <c r="G130" s="144"/>
      <c r="H130" s="144"/>
      <c r="I130" s="43"/>
      <c r="J130" s="43"/>
      <c r="K130" s="144"/>
      <c r="L130" s="1426"/>
      <c r="M130" s="1426"/>
      <c r="O130" s="525" t="s">
        <v>779</v>
      </c>
      <c r="P130" s="3094" t="s">
        <v>3153</v>
      </c>
      <c r="Q130" s="1265"/>
    </row>
    <row r="131" spans="2:17" ht="12" customHeight="1">
      <c r="B131" s="48"/>
      <c r="C131" s="69" t="s">
        <v>1803</v>
      </c>
      <c r="D131" s="54" t="s">
        <v>2788</v>
      </c>
      <c r="E131" s="144"/>
      <c r="F131" s="144"/>
      <c r="G131" s="144"/>
      <c r="H131" s="144"/>
      <c r="I131" s="43"/>
      <c r="J131" s="43"/>
      <c r="K131" s="144"/>
      <c r="L131" s="70" t="s">
        <v>1803</v>
      </c>
      <c r="M131" s="3098" t="s">
        <v>4380</v>
      </c>
      <c r="N131" s="3099"/>
      <c r="O131" s="3099"/>
      <c r="P131" s="3100"/>
      <c r="Q131" s="628"/>
    </row>
    <row r="132" spans="2:17" ht="12" customHeight="1">
      <c r="B132" s="149"/>
      <c r="C132" s="70" t="s">
        <v>1804</v>
      </c>
      <c r="D132" s="37" t="s">
        <v>3732</v>
      </c>
      <c r="E132" s="43"/>
      <c r="F132" s="43"/>
      <c r="G132" s="43"/>
      <c r="H132" s="54"/>
      <c r="I132" s="43"/>
      <c r="J132" s="43"/>
      <c r="K132" s="144"/>
      <c r="L132" s="1426"/>
      <c r="M132" s="1426"/>
      <c r="O132" s="525" t="s">
        <v>1804</v>
      </c>
      <c r="P132" s="3101" t="s">
        <v>4381</v>
      </c>
      <c r="Q132" s="638"/>
    </row>
    <row r="133" spans="2:17" ht="12" customHeight="1">
      <c r="B133" s="149"/>
      <c r="C133" s="525" t="s">
        <v>1805</v>
      </c>
      <c r="D133" s="54" t="s">
        <v>1433</v>
      </c>
      <c r="E133" s="43"/>
      <c r="F133" s="43"/>
      <c r="G133" s="43"/>
      <c r="H133" s="54"/>
      <c r="I133" s="43"/>
      <c r="J133" s="43"/>
      <c r="K133" s="144"/>
      <c r="L133" s="1426"/>
      <c r="M133" s="1426"/>
      <c r="N133" s="1426"/>
      <c r="O133" s="1426"/>
    </row>
    <row r="134" spans="2:17" ht="11.45" customHeight="1">
      <c r="B134" s="1414"/>
      <c r="C134" s="70"/>
      <c r="D134" s="3102" t="s">
        <v>4382</v>
      </c>
      <c r="E134" s="3103"/>
      <c r="F134" s="3103"/>
      <c r="G134" s="3103"/>
      <c r="H134" s="3103"/>
      <c r="I134" s="3103"/>
      <c r="J134" s="3103"/>
      <c r="K134" s="3103"/>
      <c r="L134" s="3103"/>
      <c r="M134" s="3103"/>
      <c r="N134" s="3103"/>
      <c r="O134" s="3103"/>
      <c r="P134" s="3103"/>
      <c r="Q134" s="3104"/>
    </row>
    <row r="135" spans="2:17" ht="12" customHeight="1">
      <c r="B135" s="48" t="s">
        <v>2193</v>
      </c>
      <c r="C135" s="54" t="s">
        <v>1307</v>
      </c>
      <c r="D135" s="144"/>
      <c r="E135" s="144"/>
      <c r="F135" s="144"/>
      <c r="G135" s="144"/>
      <c r="H135" s="144"/>
      <c r="I135" s="43"/>
      <c r="J135" s="43"/>
      <c r="K135" s="144"/>
      <c r="L135" s="1426"/>
      <c r="M135" s="1426"/>
      <c r="N135" s="1426"/>
      <c r="O135" s="525" t="s">
        <v>2193</v>
      </c>
    </row>
    <row r="136" spans="2:17" ht="12" customHeight="1">
      <c r="B136" s="48"/>
      <c r="C136" s="70" t="s">
        <v>1803</v>
      </c>
      <c r="D136" s="54" t="s">
        <v>154</v>
      </c>
      <c r="E136" s="144"/>
      <c r="F136" s="144"/>
      <c r="G136" s="144"/>
      <c r="H136" s="144"/>
      <c r="I136" s="43"/>
      <c r="J136" s="43"/>
      <c r="K136" s="144"/>
      <c r="L136" s="1426"/>
      <c r="M136" s="1426"/>
      <c r="O136" s="70" t="s">
        <v>1803</v>
      </c>
      <c r="P136" s="3093" t="s">
        <v>3156</v>
      </c>
      <c r="Q136" s="630"/>
    </row>
    <row r="137" spans="2:17" ht="12" customHeight="1">
      <c r="B137" s="48"/>
      <c r="C137" s="70" t="s">
        <v>1804</v>
      </c>
      <c r="D137" s="54" t="s">
        <v>1308</v>
      </c>
      <c r="E137" s="144"/>
      <c r="F137" s="144"/>
      <c r="G137" s="144"/>
      <c r="H137" s="43"/>
      <c r="I137" s="43"/>
      <c r="J137" s="43"/>
      <c r="K137" s="144"/>
      <c r="L137" s="1426"/>
      <c r="M137" s="1426"/>
      <c r="O137" s="70" t="s">
        <v>1804</v>
      </c>
      <c r="P137" s="3096" t="s">
        <v>3156</v>
      </c>
      <c r="Q137" s="631"/>
    </row>
    <row r="138" spans="2:17" ht="12" customHeight="1">
      <c r="B138" s="48"/>
      <c r="C138" s="70"/>
      <c r="D138" s="54" t="s">
        <v>2724</v>
      </c>
      <c r="E138" s="497" t="s">
        <v>2520</v>
      </c>
      <c r="F138" s="54" t="s">
        <v>2725</v>
      </c>
      <c r="G138" s="43"/>
      <c r="H138" s="54"/>
      <c r="I138" s="43"/>
      <c r="J138" s="43"/>
      <c r="K138" s="144"/>
      <c r="L138" s="1426"/>
      <c r="M138" s="1426"/>
      <c r="O138" s="497" t="s">
        <v>2520</v>
      </c>
      <c r="P138" s="3105"/>
      <c r="Q138" s="1144"/>
    </row>
    <row r="139" spans="2:17" ht="12" customHeight="1">
      <c r="B139" s="48"/>
      <c r="C139" s="70"/>
      <c r="E139" s="497" t="s">
        <v>2521</v>
      </c>
      <c r="F139" s="54" t="s">
        <v>2726</v>
      </c>
      <c r="G139" s="43"/>
      <c r="H139" s="54"/>
      <c r="I139" s="43"/>
      <c r="J139" s="43"/>
      <c r="K139" s="144"/>
      <c r="L139" s="1426"/>
      <c r="M139" s="1426"/>
      <c r="O139" s="497" t="s">
        <v>2521</v>
      </c>
      <c r="P139" s="3096"/>
      <c r="Q139" s="631"/>
    </row>
    <row r="140" spans="2:17" ht="12" customHeight="1">
      <c r="B140" s="48"/>
      <c r="C140" s="70"/>
      <c r="E140" s="497" t="s">
        <v>2522</v>
      </c>
      <c r="F140" s="54" t="s">
        <v>2727</v>
      </c>
      <c r="G140" s="43"/>
      <c r="H140" s="54"/>
      <c r="I140" s="43"/>
      <c r="J140" s="43"/>
      <c r="K140" s="144"/>
      <c r="L140" s="1426"/>
      <c r="M140" s="1426"/>
      <c r="O140" s="497" t="s">
        <v>2522</v>
      </c>
      <c r="P140" s="3096"/>
      <c r="Q140" s="631"/>
    </row>
    <row r="141" spans="2:17" ht="12" customHeight="1">
      <c r="B141" s="48"/>
      <c r="C141" s="70" t="s">
        <v>1805</v>
      </c>
      <c r="D141" s="54" t="s">
        <v>1309</v>
      </c>
      <c r="E141" s="144"/>
      <c r="F141" s="144"/>
      <c r="G141" s="144"/>
      <c r="H141" s="54"/>
      <c r="I141" s="43"/>
      <c r="J141" s="43"/>
      <c r="K141" s="144"/>
      <c r="L141" s="1426"/>
      <c r="M141" s="1426"/>
      <c r="O141" s="70" t="s">
        <v>1805</v>
      </c>
      <c r="P141" s="3096" t="s">
        <v>3156</v>
      </c>
      <c r="Q141" s="631"/>
    </row>
    <row r="142" spans="2:17" ht="12" customHeight="1">
      <c r="B142" s="48"/>
      <c r="C142" s="70"/>
      <c r="D142" s="54" t="s">
        <v>2724</v>
      </c>
      <c r="E142" s="497" t="s">
        <v>2520</v>
      </c>
      <c r="F142" s="54" t="s">
        <v>2728</v>
      </c>
      <c r="G142" s="43"/>
      <c r="H142" s="54"/>
      <c r="I142" s="43"/>
      <c r="J142" s="43"/>
      <c r="K142" s="144"/>
      <c r="L142" s="1426"/>
      <c r="O142" s="497" t="s">
        <v>2520</v>
      </c>
      <c r="P142" s="3105"/>
      <c r="Q142" s="1144"/>
    </row>
    <row r="143" spans="2:17" ht="12" customHeight="1">
      <c r="B143" s="48"/>
      <c r="C143" s="70"/>
      <c r="E143" s="497" t="s">
        <v>2521</v>
      </c>
      <c r="F143" s="54" t="s">
        <v>2729</v>
      </c>
      <c r="G143" s="43"/>
      <c r="H143" s="54"/>
      <c r="I143" s="43"/>
      <c r="J143" s="43"/>
      <c r="O143" s="497" t="s">
        <v>2521</v>
      </c>
      <c r="P143" s="3096"/>
      <c r="Q143" s="631"/>
    </row>
    <row r="144" spans="2:17" ht="12" customHeight="1">
      <c r="B144" s="48"/>
      <c r="C144" s="70"/>
      <c r="E144" s="497" t="s">
        <v>2522</v>
      </c>
      <c r="F144" s="54" t="s">
        <v>2727</v>
      </c>
      <c r="G144" s="43"/>
      <c r="H144" s="54"/>
      <c r="I144" s="43"/>
      <c r="J144" s="43"/>
      <c r="O144" s="497" t="s">
        <v>2522</v>
      </c>
      <c r="P144" s="3096"/>
      <c r="Q144" s="631"/>
    </row>
    <row r="145" spans="1:32" ht="12" customHeight="1">
      <c r="B145" s="37"/>
      <c r="C145" s="70" t="s">
        <v>2448</v>
      </c>
      <c r="D145" s="54" t="s">
        <v>2730</v>
      </c>
      <c r="E145" s="144"/>
      <c r="F145" s="144"/>
      <c r="G145" s="144"/>
      <c r="H145" s="144"/>
      <c r="I145" s="43"/>
      <c r="J145" s="43"/>
      <c r="O145" s="70" t="s">
        <v>2448</v>
      </c>
      <c r="P145" s="3094" t="s">
        <v>3156</v>
      </c>
      <c r="Q145" s="632"/>
    </row>
    <row r="146" spans="1:32" ht="12" customHeight="1">
      <c r="B146" s="48" t="s">
        <v>1801</v>
      </c>
      <c r="C146" s="156" t="s">
        <v>2499</v>
      </c>
      <c r="D146" s="144"/>
      <c r="E146" s="144"/>
      <c r="F146" s="144"/>
      <c r="G146" s="144"/>
      <c r="H146" s="144"/>
      <c r="I146" s="43"/>
      <c r="J146" s="43"/>
      <c r="K146" s="144"/>
      <c r="L146" s="1426"/>
      <c r="M146" s="1426"/>
      <c r="N146" s="1426"/>
      <c r="O146" s="1426"/>
      <c r="P146" s="1426"/>
      <c r="Q146" s="1426"/>
    </row>
    <row r="147" spans="1:32" ht="12" customHeight="1">
      <c r="C147" s="70" t="s">
        <v>1803</v>
      </c>
      <c r="D147" s="54" t="s">
        <v>2581</v>
      </c>
      <c r="E147" s="144"/>
      <c r="F147" s="3093" t="s">
        <v>3156</v>
      </c>
      <c r="G147" s="630"/>
      <c r="H147" s="70" t="s">
        <v>1606</v>
      </c>
      <c r="I147" s="57" t="s">
        <v>2732</v>
      </c>
      <c r="L147" s="3093" t="s">
        <v>3156</v>
      </c>
      <c r="M147" s="630"/>
      <c r="N147" s="525" t="s">
        <v>531</v>
      </c>
      <c r="O147" s="54" t="s">
        <v>1609</v>
      </c>
      <c r="P147" s="3093" t="s">
        <v>3156</v>
      </c>
      <c r="Q147" s="630"/>
    </row>
    <row r="148" spans="1:32" ht="12" customHeight="1">
      <c r="B148" s="37"/>
      <c r="C148" s="70" t="s">
        <v>1804</v>
      </c>
      <c r="D148" s="54" t="s">
        <v>2922</v>
      </c>
      <c r="E148" s="144"/>
      <c r="F148" s="3096" t="s">
        <v>3156</v>
      </c>
      <c r="G148" s="631"/>
      <c r="H148" s="70" t="s">
        <v>1607</v>
      </c>
      <c r="I148" s="57" t="s">
        <v>2733</v>
      </c>
      <c r="L148" s="3096" t="s">
        <v>3156</v>
      </c>
      <c r="M148" s="631"/>
      <c r="N148" s="525" t="s">
        <v>532</v>
      </c>
      <c r="O148" s="54" t="s">
        <v>1608</v>
      </c>
      <c r="P148" s="3096" t="s">
        <v>3156</v>
      </c>
      <c r="Q148" s="631"/>
    </row>
    <row r="149" spans="1:32" ht="12" customHeight="1">
      <c r="B149" s="37"/>
      <c r="C149" s="70" t="s">
        <v>1805</v>
      </c>
      <c r="D149" s="54" t="s">
        <v>2731</v>
      </c>
      <c r="E149" s="144"/>
      <c r="F149" s="3096" t="s">
        <v>3156</v>
      </c>
      <c r="G149" s="631"/>
      <c r="H149" s="525" t="s">
        <v>100</v>
      </c>
      <c r="I149" s="57" t="s">
        <v>2923</v>
      </c>
      <c r="L149" s="3096" t="s">
        <v>3156</v>
      </c>
      <c r="M149" s="631"/>
      <c r="N149" s="525" t="s">
        <v>2925</v>
      </c>
      <c r="O149" s="54" t="s">
        <v>1610</v>
      </c>
      <c r="P149" s="3094" t="s">
        <v>3156</v>
      </c>
      <c r="Q149" s="632"/>
    </row>
    <row r="150" spans="1:32" ht="12" customHeight="1">
      <c r="B150" s="37"/>
      <c r="C150" s="70" t="s">
        <v>2448</v>
      </c>
      <c r="D150" s="54" t="s">
        <v>2926</v>
      </c>
      <c r="E150" s="144"/>
      <c r="F150" s="3094" t="s">
        <v>3156</v>
      </c>
      <c r="G150" s="632"/>
      <c r="H150" s="525" t="s">
        <v>530</v>
      </c>
      <c r="I150" s="54" t="s">
        <v>2921</v>
      </c>
      <c r="L150" s="3094"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3" t="s">
        <v>4383</v>
      </c>
      <c r="E152" s="3074"/>
      <c r="F152" s="3074"/>
      <c r="G152" s="3074"/>
      <c r="H152" s="3074"/>
      <c r="I152" s="3074"/>
      <c r="J152" s="3074"/>
      <c r="K152" s="3074"/>
      <c r="L152" s="3074"/>
      <c r="M152" s="3074"/>
      <c r="N152" s="3074"/>
      <c r="O152" s="3074"/>
      <c r="P152" s="3075"/>
      <c r="Q152" s="628"/>
    </row>
    <row r="153" spans="1:32" ht="12" customHeight="1">
      <c r="B153" s="48" t="s">
        <v>1802</v>
      </c>
      <c r="C153" s="54" t="s">
        <v>3856</v>
      </c>
      <c r="D153" s="144"/>
      <c r="E153" s="144"/>
      <c r="F153" s="144"/>
      <c r="G153" s="144"/>
      <c r="H153" s="144"/>
      <c r="I153" s="43"/>
      <c r="J153" s="43"/>
      <c r="K153" s="144"/>
      <c r="L153" s="144"/>
      <c r="M153" s="1426"/>
    </row>
    <row r="154" spans="1:32" ht="12" customHeight="1">
      <c r="A154" s="154"/>
      <c r="B154" s="43"/>
      <c r="C154" s="70" t="s">
        <v>1803</v>
      </c>
      <c r="D154" s="54" t="s">
        <v>2927</v>
      </c>
      <c r="E154" s="144"/>
      <c r="F154" s="144"/>
      <c r="G154" s="144"/>
      <c r="H154" s="144"/>
      <c r="O154" s="70" t="s">
        <v>1803</v>
      </c>
      <c r="P154" s="3093"/>
      <c r="Q154" s="630"/>
    </row>
    <row r="155" spans="1:32" ht="12" customHeight="1">
      <c r="A155" s="154"/>
      <c r="B155" s="1422"/>
      <c r="C155" s="70" t="s">
        <v>1804</v>
      </c>
      <c r="D155" s="54" t="s">
        <v>508</v>
      </c>
      <c r="E155" s="54"/>
      <c r="F155" s="54"/>
      <c r="G155" s="54"/>
      <c r="H155" s="54"/>
      <c r="I155" s="43"/>
      <c r="J155" s="43"/>
      <c r="K155" s="54"/>
      <c r="L155" s="54"/>
      <c r="M155" s="54"/>
      <c r="O155" s="70" t="s">
        <v>1804</v>
      </c>
      <c r="P155" s="3096"/>
      <c r="Q155" s="631"/>
    </row>
    <row r="156" spans="1:32" ht="12" customHeight="1">
      <c r="A156" s="154"/>
      <c r="B156" s="1422"/>
      <c r="C156" s="70" t="s">
        <v>1805</v>
      </c>
      <c r="D156" s="54" t="s">
        <v>707</v>
      </c>
      <c r="E156" s="54"/>
      <c r="F156" s="54"/>
      <c r="G156" s="54"/>
      <c r="H156" s="54"/>
      <c r="I156" s="43"/>
      <c r="J156" s="43"/>
      <c r="K156" s="54"/>
      <c r="L156" s="54"/>
      <c r="M156" s="54"/>
      <c r="O156" s="70" t="s">
        <v>1805</v>
      </c>
      <c r="P156" s="3096"/>
      <c r="Q156" s="631"/>
    </row>
    <row r="157" spans="1:32" ht="12" customHeight="1">
      <c r="B157" s="48" t="s">
        <v>2021</v>
      </c>
      <c r="C157" s="54" t="s">
        <v>1819</v>
      </c>
      <c r="D157" s="144"/>
      <c r="E157" s="144"/>
      <c r="F157" s="144"/>
      <c r="G157" s="144"/>
      <c r="H157" s="144"/>
      <c r="I157" s="43"/>
      <c r="J157" s="43"/>
      <c r="K157" s="144"/>
      <c r="L157" s="144"/>
      <c r="M157" s="1426"/>
      <c r="O157" s="525" t="s">
        <v>2021</v>
      </c>
      <c r="P157" s="3094"/>
      <c r="Q157" s="632"/>
    </row>
    <row r="158" spans="1:32" ht="12" customHeight="1">
      <c r="A158" s="460" t="s">
        <v>3718</v>
      </c>
      <c r="C158" s="54"/>
      <c r="D158" s="144"/>
      <c r="E158" s="144"/>
      <c r="F158" s="144"/>
      <c r="G158" s="144"/>
      <c r="H158" s="144"/>
      <c r="I158" s="43"/>
      <c r="J158" s="43"/>
      <c r="K158" s="144"/>
      <c r="L158" s="144"/>
      <c r="M158" s="1426"/>
      <c r="N158" s="1426"/>
      <c r="O158" s="1426"/>
      <c r="P158" s="1426"/>
      <c r="Q158" s="1426"/>
      <c r="R158" s="1426"/>
    </row>
    <row r="159" spans="1:32" s="1" customFormat="1" ht="23.45" customHeight="1">
      <c r="B159" s="152" t="s">
        <v>3559</v>
      </c>
      <c r="C159" s="1718" t="s">
        <v>153</v>
      </c>
      <c r="D159" s="1718"/>
      <c r="E159" s="1718"/>
      <c r="F159" s="1718"/>
      <c r="G159" s="1718"/>
      <c r="H159" s="1718"/>
      <c r="I159" s="1718"/>
      <c r="J159" s="1718"/>
      <c r="K159" s="1718"/>
      <c r="L159" s="1718"/>
      <c r="M159" s="174" t="s">
        <v>3559</v>
      </c>
      <c r="N159" s="3106" t="s">
        <v>1837</v>
      </c>
      <c r="O159" s="3107"/>
      <c r="P159" s="1765" t="s">
        <v>1837</v>
      </c>
      <c r="Q159" s="1766"/>
      <c r="AE159" s="5"/>
      <c r="AF159" s="5"/>
    </row>
    <row r="160" spans="1:32" s="1" customFormat="1" ht="12" customHeight="1">
      <c r="B160" s="48" t="s">
        <v>640</v>
      </c>
      <c r="C160" s="123" t="s">
        <v>1</v>
      </c>
      <c r="D160" s="1429"/>
      <c r="E160" s="1429"/>
      <c r="G160" s="525" t="s">
        <v>640</v>
      </c>
      <c r="H160" s="3102"/>
      <c r="I160" s="3103"/>
      <c r="J160" s="3103"/>
      <c r="K160" s="3103"/>
      <c r="L160" s="3103"/>
      <c r="M160" s="3103"/>
      <c r="N160" s="3103"/>
      <c r="O160" s="3103"/>
      <c r="P160" s="3104"/>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54"/>
      <c r="Q161" s="627"/>
      <c r="AE161" s="5"/>
      <c r="AF161" s="5"/>
    </row>
    <row r="162" spans="1:32" ht="11.25" customHeight="1">
      <c r="B162" s="151" t="s">
        <v>1936</v>
      </c>
      <c r="D162" s="151"/>
      <c r="E162" s="151"/>
      <c r="F162" s="151"/>
      <c r="G162" s="151"/>
      <c r="H162" s="41"/>
      <c r="I162" s="1422"/>
      <c r="J162" s="1422"/>
      <c r="K162" s="1422"/>
      <c r="L162" s="1414"/>
      <c r="M162" s="1414"/>
      <c r="N162" s="1414"/>
      <c r="O162" s="1414"/>
      <c r="P162" s="1414"/>
      <c r="Q162" s="1222"/>
    </row>
    <row r="163" spans="1:32" ht="11.45" customHeight="1">
      <c r="A163" s="3058" t="s">
        <v>4384</v>
      </c>
      <c r="B163" s="3059"/>
      <c r="C163" s="3059"/>
      <c r="D163" s="3059"/>
      <c r="E163" s="3059"/>
      <c r="F163" s="3059"/>
      <c r="G163" s="3059"/>
      <c r="H163" s="3059"/>
      <c r="I163" s="3059"/>
      <c r="J163" s="3059"/>
      <c r="K163" s="3059"/>
      <c r="L163" s="3059"/>
      <c r="M163" s="3059"/>
      <c r="N163" s="3059"/>
      <c r="O163" s="3059"/>
      <c r="P163" s="3059"/>
      <c r="Q163" s="3060"/>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4"/>
      <c r="B167" s="1422"/>
      <c r="C167" s="1421"/>
      <c r="D167" s="1421"/>
      <c r="E167" s="1421"/>
      <c r="F167" s="1421"/>
      <c r="G167" s="1421"/>
      <c r="H167" s="1421"/>
      <c r="I167" s="1421"/>
      <c r="J167" s="1421"/>
      <c r="K167" s="1421"/>
      <c r="L167" s="1421"/>
      <c r="M167" s="1421"/>
      <c r="N167" s="1421"/>
      <c r="O167" s="1421"/>
      <c r="P167" s="1421"/>
      <c r="Q167" s="1414"/>
    </row>
    <row r="168" spans="1:32" ht="13.9" customHeight="1">
      <c r="A168" s="1428">
        <v>8</v>
      </c>
      <c r="B168" s="1428" t="s">
        <v>2749</v>
      </c>
      <c r="C168" s="1428"/>
      <c r="D168" s="1421"/>
      <c r="E168" s="1421"/>
      <c r="F168" s="1421"/>
      <c r="G168" s="1421"/>
      <c r="H168" s="1421"/>
      <c r="I168" s="1421"/>
      <c r="J168" s="1421"/>
      <c r="K168" s="1421"/>
      <c r="O168" s="142" t="s">
        <v>1938</v>
      </c>
      <c r="P168" s="1711"/>
      <c r="Q168" s="1712"/>
    </row>
    <row r="169" spans="1:32" ht="12" customHeight="1">
      <c r="B169" s="48" t="s">
        <v>2058</v>
      </c>
      <c r="C169" s="54" t="s">
        <v>3888</v>
      </c>
      <c r="D169" s="54"/>
      <c r="E169" s="54"/>
      <c r="F169" s="54"/>
      <c r="G169" s="54"/>
      <c r="I169" s="54" t="s">
        <v>2811</v>
      </c>
      <c r="K169" s="3108">
        <v>43100</v>
      </c>
      <c r="L169" s="3109"/>
      <c r="N169" s="54"/>
      <c r="O169" s="525" t="s">
        <v>2058</v>
      </c>
      <c r="P169" s="3054" t="s">
        <v>3153</v>
      </c>
      <c r="Q169" s="627"/>
    </row>
    <row r="170" spans="1:32" ht="12" customHeight="1">
      <c r="A170" s="149"/>
      <c r="B170" s="48" t="s">
        <v>2061</v>
      </c>
      <c r="C170" s="150" t="s">
        <v>155</v>
      </c>
      <c r="D170" s="150"/>
      <c r="E170" s="150"/>
      <c r="F170" s="150"/>
      <c r="G170" s="150"/>
      <c r="H170" s="150"/>
      <c r="M170" s="525" t="s">
        <v>2061</v>
      </c>
      <c r="N170" s="3110" t="s">
        <v>4386</v>
      </c>
      <c r="O170" s="3111"/>
      <c r="P170" s="1734" t="s">
        <v>1837</v>
      </c>
      <c r="Q170" s="1735"/>
    </row>
    <row r="171" spans="1:32" ht="12" customHeight="1">
      <c r="A171" s="149"/>
      <c r="B171" s="48" t="s">
        <v>779</v>
      </c>
      <c r="C171" s="150" t="s">
        <v>708</v>
      </c>
      <c r="D171" s="150"/>
      <c r="E171" s="150"/>
      <c r="F171" s="150"/>
      <c r="G171" s="150"/>
      <c r="H171" s="150"/>
      <c r="J171" s="525" t="s">
        <v>779</v>
      </c>
      <c r="K171" s="3073" t="s">
        <v>4387</v>
      </c>
      <c r="L171" s="3074"/>
      <c r="M171" s="3074"/>
      <c r="N171" s="3074"/>
      <c r="O171" s="3074"/>
      <c r="P171" s="3075"/>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4" t="s">
        <v>3153</v>
      </c>
      <c r="Q172" s="627"/>
    </row>
    <row r="173" spans="1:32" ht="12" customHeight="1">
      <c r="B173" s="151" t="s">
        <v>1936</v>
      </c>
      <c r="D173" s="151"/>
      <c r="E173" s="151"/>
      <c r="F173" s="151"/>
      <c r="G173" s="151"/>
      <c r="H173" s="41"/>
      <c r="I173" s="1422"/>
      <c r="J173" s="1422"/>
      <c r="K173" s="1422"/>
      <c r="L173" s="1414"/>
      <c r="M173" s="1414"/>
      <c r="N173" s="1414"/>
      <c r="O173" s="1414"/>
      <c r="P173" s="1414"/>
      <c r="Q173" s="1222"/>
    </row>
    <row r="174" spans="1:32" ht="11.45" customHeight="1">
      <c r="A174" s="3058" t="s">
        <v>4394</v>
      </c>
      <c r="B174" s="3059"/>
      <c r="C174" s="3059"/>
      <c r="D174" s="3059"/>
      <c r="E174" s="3059"/>
      <c r="F174" s="3059"/>
      <c r="G174" s="3059"/>
      <c r="H174" s="3059"/>
      <c r="I174" s="3059"/>
      <c r="J174" s="3059"/>
      <c r="K174" s="3059"/>
      <c r="L174" s="3059"/>
      <c r="M174" s="3059"/>
      <c r="N174" s="3059"/>
      <c r="O174" s="3059"/>
      <c r="P174" s="3059"/>
      <c r="Q174" s="3060"/>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4"/>
      <c r="B177" s="1422"/>
      <c r="C177" s="1421"/>
      <c r="D177" s="1421"/>
      <c r="E177" s="1421"/>
      <c r="F177" s="1421"/>
      <c r="G177" s="1421"/>
      <c r="H177" s="1421"/>
      <c r="I177" s="1421"/>
      <c r="J177" s="1421"/>
      <c r="K177" s="1421"/>
      <c r="L177" s="1421"/>
      <c r="M177" s="1421"/>
      <c r="Q177" s="1414"/>
    </row>
    <row r="178" spans="1:31" ht="13.9" customHeight="1">
      <c r="A178" s="1428">
        <v>9</v>
      </c>
      <c r="B178" s="1428" t="s">
        <v>2750</v>
      </c>
      <c r="C178" s="1428"/>
      <c r="D178" s="1421"/>
      <c r="E178" s="1421"/>
      <c r="F178" s="1421"/>
      <c r="G178" s="1421"/>
      <c r="H178" s="1421"/>
      <c r="I178" s="1421"/>
      <c r="J178" s="1421"/>
      <c r="K178" s="1421"/>
      <c r="L178" s="1421"/>
      <c r="M178" s="1421"/>
      <c r="O178" s="142" t="s">
        <v>1938</v>
      </c>
      <c r="P178" s="1711"/>
      <c r="Q178" s="1712"/>
    </row>
    <row r="179" spans="1:31" ht="21.75" customHeight="1">
      <c r="B179" s="152" t="s">
        <v>2058</v>
      </c>
      <c r="C179" s="1718" t="s">
        <v>4050</v>
      </c>
      <c r="D179" s="1718"/>
      <c r="E179" s="1718"/>
      <c r="F179" s="1718"/>
      <c r="G179" s="1718"/>
      <c r="H179" s="1718"/>
      <c r="I179" s="1718"/>
      <c r="J179" s="1718"/>
      <c r="K179" s="1718"/>
      <c r="L179" s="1718"/>
      <c r="M179" s="1718"/>
      <c r="N179" s="1718"/>
      <c r="O179" s="174" t="s">
        <v>2058</v>
      </c>
      <c r="P179" s="3093" t="s">
        <v>3153</v>
      </c>
      <c r="Q179" s="630"/>
    </row>
    <row r="180" spans="1:31" ht="22.15" customHeight="1">
      <c r="B180" s="152" t="s">
        <v>2061</v>
      </c>
      <c r="C180" s="1718" t="s">
        <v>4051</v>
      </c>
      <c r="D180" s="1718"/>
      <c r="E180" s="1718"/>
      <c r="F180" s="1718"/>
      <c r="G180" s="1718"/>
      <c r="H180" s="1718"/>
      <c r="I180" s="1718"/>
      <c r="J180" s="1718"/>
      <c r="K180" s="1718"/>
      <c r="L180" s="1718"/>
      <c r="M180" s="1718"/>
      <c r="N180" s="1718"/>
      <c r="O180" s="174" t="s">
        <v>2061</v>
      </c>
      <c r="P180" s="3096"/>
      <c r="Q180" s="631"/>
    </row>
    <row r="181" spans="1:31" ht="21.75" customHeight="1">
      <c r="B181" s="152" t="s">
        <v>779</v>
      </c>
      <c r="C181" s="1718" t="s">
        <v>2734</v>
      </c>
      <c r="D181" s="1718"/>
      <c r="E181" s="1718"/>
      <c r="F181" s="1718"/>
      <c r="G181" s="1718"/>
      <c r="H181" s="1718"/>
      <c r="I181" s="1718"/>
      <c r="J181" s="1718"/>
      <c r="K181" s="1718"/>
      <c r="L181" s="1718"/>
      <c r="M181" s="1718"/>
      <c r="N181" s="1718"/>
      <c r="O181" s="174" t="s">
        <v>779</v>
      </c>
      <c r="P181" s="3094"/>
      <c r="Q181" s="632"/>
    </row>
    <row r="182" spans="1:31" ht="12" customHeight="1">
      <c r="B182" s="151" t="s">
        <v>1936</v>
      </c>
      <c r="D182" s="151"/>
      <c r="E182" s="151"/>
      <c r="F182" s="151"/>
      <c r="G182" s="151"/>
      <c r="H182" s="41"/>
      <c r="I182" s="1422"/>
      <c r="J182" s="1422"/>
      <c r="K182" s="1422"/>
      <c r="L182" s="1414"/>
      <c r="M182" s="1414"/>
      <c r="N182" s="1414"/>
      <c r="O182" s="1414"/>
      <c r="P182" s="1414"/>
      <c r="Q182" s="1222"/>
    </row>
    <row r="183" spans="1:31" ht="11.45" customHeight="1">
      <c r="A183" s="3058" t="s">
        <v>4385</v>
      </c>
      <c r="B183" s="3059"/>
      <c r="C183" s="3059"/>
      <c r="D183" s="3059"/>
      <c r="E183" s="3059"/>
      <c r="F183" s="3059"/>
      <c r="G183" s="3059"/>
      <c r="H183" s="3059"/>
      <c r="I183" s="3059"/>
      <c r="J183" s="3059"/>
      <c r="K183" s="3059"/>
      <c r="L183" s="3059"/>
      <c r="M183" s="3059"/>
      <c r="N183" s="3059"/>
      <c r="O183" s="3059"/>
      <c r="P183" s="3059"/>
      <c r="Q183" s="3060"/>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2"/>
      <c r="C186" s="1421"/>
      <c r="D186" s="1421"/>
      <c r="E186" s="1421"/>
      <c r="F186" s="1421"/>
      <c r="G186" s="1421"/>
      <c r="H186" s="1421"/>
      <c r="I186" s="1421"/>
      <c r="J186" s="1421"/>
      <c r="K186" s="1421"/>
      <c r="L186" s="1421"/>
      <c r="M186" s="1421"/>
      <c r="N186" s="1421"/>
      <c r="O186" s="1421"/>
      <c r="P186" s="1421"/>
      <c r="Q186" s="1414"/>
    </row>
    <row r="187" spans="1:31" ht="13.9" customHeight="1">
      <c r="A187" s="1402">
        <v>10</v>
      </c>
      <c r="B187" s="1748" t="s">
        <v>2751</v>
      </c>
      <c r="C187" s="1748"/>
      <c r="D187" s="174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093"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6"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6"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6"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6" t="s">
        <v>3153</v>
      </c>
      <c r="Q192" s="631"/>
    </row>
    <row r="193" spans="1:32" s="143" customFormat="1" ht="21.75" customHeight="1">
      <c r="B193" s="152"/>
      <c r="C193" s="1178"/>
      <c r="D193" s="1178"/>
      <c r="E193" s="174" t="s">
        <v>1805</v>
      </c>
      <c r="F193" s="1718" t="s">
        <v>3733</v>
      </c>
      <c r="G193" s="1718"/>
      <c r="H193" s="1718"/>
      <c r="I193" s="1718"/>
      <c r="J193" s="1718"/>
      <c r="K193" s="1718"/>
      <c r="L193" s="1718"/>
      <c r="M193" s="1718"/>
      <c r="N193" s="1718"/>
      <c r="O193" s="174" t="s">
        <v>1805</v>
      </c>
      <c r="P193" s="3096"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6" t="s">
        <v>3153</v>
      </c>
      <c r="Q194" s="631"/>
    </row>
    <row r="195" spans="1:32" s="143" customFormat="1" ht="21.75" customHeight="1">
      <c r="B195" s="152"/>
      <c r="C195" s="1178"/>
      <c r="D195" s="1178"/>
      <c r="E195" s="174" t="s">
        <v>1606</v>
      </c>
      <c r="F195" s="1718" t="s">
        <v>2740</v>
      </c>
      <c r="G195" s="1718"/>
      <c r="H195" s="1718"/>
      <c r="I195" s="1718"/>
      <c r="J195" s="1718"/>
      <c r="K195" s="1718"/>
      <c r="L195" s="1718"/>
      <c r="M195" s="1718"/>
      <c r="N195" s="1718"/>
      <c r="O195" s="174" t="s">
        <v>1606</v>
      </c>
      <c r="P195" s="3096" t="s">
        <v>4324</v>
      </c>
      <c r="Q195" s="634"/>
      <c r="AE195" s="528"/>
      <c r="AF195" s="528"/>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096"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6" t="s">
        <v>3153</v>
      </c>
      <c r="Q197" s="632"/>
    </row>
    <row r="198" spans="1:32" ht="12" customHeight="1">
      <c r="B198" s="151" t="s">
        <v>1936</v>
      </c>
      <c r="D198" s="151"/>
      <c r="E198" s="151"/>
      <c r="F198" s="151"/>
      <c r="G198" s="151"/>
      <c r="H198" s="41"/>
      <c r="I198" s="1422"/>
      <c r="J198" s="1422"/>
      <c r="K198" s="1422"/>
      <c r="L198" s="1414"/>
      <c r="M198" s="1414"/>
      <c r="N198" s="1414"/>
      <c r="O198" s="1414"/>
      <c r="P198" s="1414"/>
      <c r="Q198" s="1222"/>
    </row>
    <row r="199" spans="1:32" ht="11.45" customHeight="1">
      <c r="A199" s="3058" t="s">
        <v>4395</v>
      </c>
      <c r="B199" s="3059"/>
      <c r="C199" s="3059"/>
      <c r="D199" s="3059"/>
      <c r="E199" s="3059"/>
      <c r="F199" s="3059"/>
      <c r="G199" s="3059"/>
      <c r="H199" s="3059"/>
      <c r="I199" s="3059"/>
      <c r="J199" s="3059"/>
      <c r="K199" s="3059"/>
      <c r="L199" s="3059"/>
      <c r="M199" s="3059"/>
      <c r="N199" s="3059"/>
      <c r="O199" s="3059"/>
      <c r="P199" s="3059"/>
      <c r="Q199" s="3060"/>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4"/>
      <c r="B202" s="1422"/>
      <c r="C202" s="1421"/>
      <c r="D202" s="1421"/>
      <c r="E202" s="1421"/>
      <c r="F202" s="1421"/>
      <c r="G202" s="1421"/>
      <c r="H202" s="1421"/>
      <c r="I202" s="1421"/>
      <c r="J202" s="1421"/>
      <c r="K202" s="1421"/>
      <c r="L202" s="1421"/>
      <c r="M202" s="1421"/>
      <c r="N202" s="1421"/>
      <c r="O202" s="1421"/>
      <c r="P202" s="1421"/>
      <c r="Q202" s="1414"/>
    </row>
    <row r="203" spans="1:32" ht="13.9" customHeight="1">
      <c r="A203" s="1428">
        <v>11</v>
      </c>
      <c r="B203" s="1428" t="s">
        <v>2752</v>
      </c>
      <c r="C203" s="1428"/>
      <c r="D203" s="1421"/>
      <c r="E203" s="157"/>
      <c r="F203" s="157"/>
      <c r="G203" s="1421"/>
      <c r="J203" s="1224"/>
      <c r="K203" s="564"/>
      <c r="L203" s="564"/>
      <c r="M203" s="564"/>
      <c r="N203" s="564"/>
      <c r="O203" s="142" t="s">
        <v>1938</v>
      </c>
      <c r="P203" s="1711"/>
      <c r="Q203" s="1712"/>
    </row>
    <row r="204" spans="1:32" ht="12" customHeight="1">
      <c r="A204" s="149"/>
      <c r="B204" s="48" t="s">
        <v>2058</v>
      </c>
      <c r="C204" s="1718" t="s">
        <v>99</v>
      </c>
      <c r="D204" s="1718"/>
      <c r="E204" s="1718"/>
      <c r="F204" s="1718"/>
      <c r="G204" s="1718"/>
      <c r="H204" s="70" t="s">
        <v>1803</v>
      </c>
      <c r="I204" s="54" t="s">
        <v>157</v>
      </c>
      <c r="K204" s="3076" t="s">
        <v>1006</v>
      </c>
      <c r="L204" s="3077"/>
      <c r="M204" s="3077"/>
      <c r="N204" s="3112"/>
      <c r="O204" s="70" t="s">
        <v>1803</v>
      </c>
      <c r="P204" s="3093" t="s">
        <v>3156</v>
      </c>
      <c r="Q204" s="630"/>
    </row>
    <row r="205" spans="1:32" ht="12" customHeight="1">
      <c r="A205" s="149"/>
      <c r="B205" s="1422"/>
      <c r="C205" s="110"/>
      <c r="D205" s="110"/>
      <c r="E205" s="110"/>
      <c r="F205" s="110"/>
      <c r="H205" s="70" t="s">
        <v>1804</v>
      </c>
      <c r="I205" s="54" t="s">
        <v>1653</v>
      </c>
      <c r="K205" s="3113" t="s">
        <v>4325</v>
      </c>
      <c r="L205" s="3114"/>
      <c r="M205" s="3114"/>
      <c r="N205" s="3115"/>
      <c r="O205" s="70" t="s">
        <v>1804</v>
      </c>
      <c r="P205" s="3094" t="s">
        <v>3153</v>
      </c>
      <c r="Q205" s="632"/>
    </row>
    <row r="206" spans="1:32" ht="12" customHeight="1">
      <c r="B206" s="151" t="s">
        <v>1936</v>
      </c>
      <c r="D206" s="151"/>
      <c r="E206" s="151"/>
      <c r="F206" s="151"/>
      <c r="G206" s="151"/>
      <c r="J206" s="1422"/>
      <c r="K206" s="1422"/>
      <c r="L206" s="1414"/>
      <c r="M206" s="1414"/>
      <c r="N206" s="1414"/>
      <c r="O206" s="1414"/>
      <c r="P206" s="1414"/>
      <c r="Q206" s="1222"/>
    </row>
    <row r="207" spans="1:32" ht="11.45" customHeight="1">
      <c r="A207" s="3058" t="s">
        <v>4326</v>
      </c>
      <c r="B207" s="3059"/>
      <c r="C207" s="3059"/>
      <c r="D207" s="3059"/>
      <c r="E207" s="3059"/>
      <c r="F207" s="3059"/>
      <c r="G207" s="3059"/>
      <c r="H207" s="3059"/>
      <c r="I207" s="3059"/>
      <c r="J207" s="3059"/>
      <c r="K207" s="3059"/>
      <c r="L207" s="3059"/>
      <c r="M207" s="3059"/>
      <c r="N207" s="3059"/>
      <c r="O207" s="3059"/>
      <c r="P207" s="3059"/>
      <c r="Q207" s="3060"/>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2"/>
      <c r="C210" s="1421"/>
      <c r="D210" s="1421"/>
      <c r="E210" s="1421"/>
      <c r="F210" s="1421"/>
      <c r="G210" s="1421"/>
      <c r="H210" s="1421"/>
      <c r="I210" s="1421"/>
      <c r="J210" s="1421"/>
      <c r="K210" s="1421"/>
      <c r="L210" s="1421"/>
      <c r="M210" s="1421"/>
      <c r="Q210" s="1222"/>
    </row>
    <row r="211" spans="1:31" ht="13.9" customHeight="1">
      <c r="A211" s="1428">
        <v>12</v>
      </c>
      <c r="B211" s="4" t="s">
        <v>2753</v>
      </c>
      <c r="C211" s="4"/>
      <c r="D211" s="92"/>
      <c r="E211" s="92"/>
      <c r="F211" s="92"/>
      <c r="G211" s="1421"/>
      <c r="H211" s="1421"/>
      <c r="I211" s="1421"/>
      <c r="J211" s="1421"/>
      <c r="K211" s="1421"/>
      <c r="L211" s="1421"/>
      <c r="M211" s="1421"/>
      <c r="O211" s="142" t="s">
        <v>1938</v>
      </c>
      <c r="P211" s="1711"/>
      <c r="Q211" s="1712"/>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3"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6"/>
      <c r="Q214" s="631"/>
    </row>
    <row r="215" spans="1:31" ht="11.45" customHeight="1">
      <c r="A215" s="149"/>
      <c r="B215" s="152" t="s">
        <v>2061</v>
      </c>
      <c r="C215" s="1718" t="s">
        <v>1919</v>
      </c>
      <c r="D215" s="1718"/>
      <c r="E215" s="1718"/>
      <c r="F215" s="1718"/>
      <c r="G215" s="1718"/>
      <c r="H215" s="70" t="s">
        <v>1803</v>
      </c>
      <c r="I215" s="54" t="s">
        <v>659</v>
      </c>
      <c r="K215" s="3076" t="s">
        <v>4327</v>
      </c>
      <c r="L215" s="3077"/>
      <c r="M215" s="3077"/>
      <c r="N215" s="3112"/>
      <c r="O215" s="70" t="s">
        <v>1502</v>
      </c>
      <c r="P215" s="3096" t="s">
        <v>3153</v>
      </c>
      <c r="Q215" s="631"/>
    </row>
    <row r="216" spans="1:31" ht="11.45" customHeight="1">
      <c r="A216" s="149"/>
      <c r="B216" s="161"/>
      <c r="C216" s="1718"/>
      <c r="D216" s="1718"/>
      <c r="E216" s="1718"/>
      <c r="F216" s="1718"/>
      <c r="G216" s="1718"/>
      <c r="H216" s="70" t="s">
        <v>1804</v>
      </c>
      <c r="I216" s="54" t="s">
        <v>118</v>
      </c>
      <c r="K216" s="3076" t="s">
        <v>4327</v>
      </c>
      <c r="L216" s="3077"/>
      <c r="M216" s="3077"/>
      <c r="N216" s="3112"/>
      <c r="O216" s="70" t="s">
        <v>1804</v>
      </c>
      <c r="P216" s="3094" t="s">
        <v>3153</v>
      </c>
      <c r="Q216" s="632"/>
    </row>
    <row r="217" spans="1:31" ht="11.25" customHeight="1">
      <c r="B217" s="151" t="s">
        <v>1936</v>
      </c>
      <c r="D217" s="151"/>
      <c r="E217" s="151"/>
      <c r="F217" s="151"/>
      <c r="G217" s="151"/>
      <c r="H217" s="41"/>
      <c r="I217" s="1422"/>
      <c r="J217" s="1422"/>
      <c r="K217" s="1422"/>
      <c r="L217" s="1414"/>
      <c r="M217" s="1414"/>
      <c r="N217" s="1414"/>
      <c r="O217" s="1414"/>
      <c r="P217" s="1414"/>
      <c r="Q217" s="1222"/>
    </row>
    <row r="218" spans="1:31" ht="11.45" customHeight="1">
      <c r="A218" s="3058" t="s">
        <v>4396</v>
      </c>
      <c r="B218" s="3059"/>
      <c r="C218" s="3059"/>
      <c r="D218" s="3059"/>
      <c r="E218" s="3059"/>
      <c r="F218" s="3059"/>
      <c r="G218" s="3059"/>
      <c r="H218" s="3059"/>
      <c r="I218" s="3059"/>
      <c r="J218" s="3059"/>
      <c r="K218" s="3059"/>
      <c r="L218" s="3059"/>
      <c r="M218" s="3059"/>
      <c r="N218" s="3059"/>
      <c r="O218" s="3059"/>
      <c r="P218" s="3059"/>
      <c r="Q218" s="3060"/>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4"/>
      <c r="B221" s="1422"/>
      <c r="C221" s="1421"/>
      <c r="D221" s="1421"/>
      <c r="E221" s="1421"/>
      <c r="F221" s="1421"/>
      <c r="G221" s="1421"/>
      <c r="H221" s="1421"/>
      <c r="I221" s="1421"/>
      <c r="J221" s="1421"/>
      <c r="K221" s="1421"/>
      <c r="L221" s="1421"/>
      <c r="M221" s="1421"/>
      <c r="Q221" s="1414"/>
    </row>
    <row r="222" spans="1:31" ht="13.9" customHeight="1">
      <c r="A222" s="1428">
        <v>13</v>
      </c>
      <c r="B222" s="4" t="s">
        <v>2754</v>
      </c>
      <c r="C222" s="4"/>
      <c r="D222" s="92"/>
      <c r="E222" s="92"/>
      <c r="F222" s="92"/>
      <c r="G222" s="92"/>
      <c r="H222" s="1421"/>
      <c r="I222" s="1421"/>
      <c r="J222" s="1421"/>
      <c r="K222" s="1421"/>
      <c r="L222" s="1421"/>
      <c r="M222" s="1421"/>
      <c r="O222" s="142" t="s">
        <v>1938</v>
      </c>
      <c r="P222" s="1711"/>
      <c r="Q222" s="1712"/>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4" t="s">
        <v>3153</v>
      </c>
      <c r="Q224" s="627"/>
    </row>
    <row r="225" spans="1:32" ht="11.45" customHeight="1">
      <c r="B225" s="48"/>
      <c r="C225" s="54"/>
      <c r="D225" s="37" t="s">
        <v>3047</v>
      </c>
      <c r="E225" s="54"/>
      <c r="F225" s="54"/>
      <c r="G225" s="3116" t="s">
        <v>4328</v>
      </c>
      <c r="H225" s="3117"/>
      <c r="L225" s="1797" t="s">
        <v>3852</v>
      </c>
      <c r="M225" s="3116"/>
      <c r="N225" s="3117"/>
    </row>
    <row r="226" spans="1:32" ht="11.45" customHeight="1">
      <c r="B226" s="48"/>
      <c r="C226" s="54"/>
      <c r="D226" s="57" t="s">
        <v>3049</v>
      </c>
      <c r="E226" s="54"/>
      <c r="F226" s="54"/>
      <c r="G226" s="3118" t="s">
        <v>4329</v>
      </c>
      <c r="H226" s="3119"/>
      <c r="I226" s="3074"/>
      <c r="J226" s="3074"/>
      <c r="K226" s="3075"/>
      <c r="L226" s="1797"/>
      <c r="M226" s="3118"/>
      <c r="N226" s="3119"/>
      <c r="O226" s="3074"/>
      <c r="P226" s="3074"/>
      <c r="Q226" s="3075"/>
    </row>
    <row r="227" spans="1:32" ht="11.45" customHeight="1">
      <c r="B227" s="48"/>
      <c r="C227" s="54"/>
      <c r="D227" s="37" t="s">
        <v>3048</v>
      </c>
      <c r="E227" s="43"/>
      <c r="G227" s="3116">
        <v>42502</v>
      </c>
      <c r="H227" s="3117"/>
      <c r="I227" s="37"/>
      <c r="J227" s="43"/>
      <c r="K227" s="43"/>
      <c r="L227" s="1797"/>
      <c r="M227" s="3116"/>
      <c r="N227" s="3117"/>
    </row>
    <row r="228" spans="1:32" ht="11.45" customHeight="1">
      <c r="B228" s="48" t="s">
        <v>2061</v>
      </c>
      <c r="C228" s="54" t="s">
        <v>2928</v>
      </c>
      <c r="D228" s="54"/>
      <c r="E228" s="54"/>
      <c r="F228" s="54"/>
      <c r="G228" s="54"/>
      <c r="H228" s="54"/>
      <c r="I228" s="43"/>
      <c r="J228" s="43"/>
      <c r="K228" s="43"/>
      <c r="L228" s="150"/>
      <c r="M228" s="150"/>
      <c r="O228" s="174" t="s">
        <v>2061</v>
      </c>
      <c r="P228" s="3093" t="s">
        <v>3153</v>
      </c>
      <c r="Q228" s="630"/>
    </row>
    <row r="229" spans="1:32" ht="11.45" customHeight="1">
      <c r="B229" s="48" t="s">
        <v>779</v>
      </c>
      <c r="C229" s="54" t="s">
        <v>2929</v>
      </c>
      <c r="D229" s="54"/>
      <c r="E229" s="54"/>
      <c r="F229" s="54"/>
      <c r="G229" s="54"/>
      <c r="H229" s="54"/>
      <c r="I229" s="43"/>
      <c r="J229" s="43"/>
      <c r="K229" s="43"/>
      <c r="L229" s="150"/>
      <c r="M229" s="150"/>
      <c r="O229" s="174" t="s">
        <v>779</v>
      </c>
      <c r="P229" s="3096"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6" t="s">
        <v>3153</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4" t="s">
        <v>3153</v>
      </c>
      <c r="Q231" s="632"/>
      <c r="AE231" s="529"/>
      <c r="AF231" s="529"/>
    </row>
    <row r="232" spans="1:32" ht="11.25" customHeight="1">
      <c r="B232" s="151" t="s">
        <v>1936</v>
      </c>
      <c r="D232" s="151"/>
      <c r="E232" s="151"/>
      <c r="F232" s="151"/>
      <c r="G232" s="151"/>
      <c r="H232" s="41"/>
      <c r="I232" s="1422"/>
      <c r="J232" s="1422"/>
      <c r="K232" s="1422"/>
      <c r="L232" s="1414"/>
      <c r="M232" s="1414"/>
      <c r="N232" s="1414"/>
      <c r="O232" s="1414"/>
      <c r="P232" s="1414"/>
      <c r="Q232" s="1222"/>
    </row>
    <row r="233" spans="1:32" ht="13.15" customHeight="1">
      <c r="A233" s="3058" t="s">
        <v>4330</v>
      </c>
      <c r="B233" s="3059"/>
      <c r="C233" s="3059"/>
      <c r="D233" s="3059"/>
      <c r="E233" s="3059"/>
      <c r="F233" s="3059"/>
      <c r="G233" s="3059"/>
      <c r="H233" s="3059"/>
      <c r="I233" s="3059"/>
      <c r="J233" s="3059"/>
      <c r="K233" s="3059"/>
      <c r="L233" s="3059"/>
      <c r="M233" s="3059"/>
      <c r="N233" s="3059"/>
      <c r="O233" s="3059"/>
      <c r="P233" s="3059"/>
      <c r="Q233" s="3060"/>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4"/>
      <c r="B237" s="1422"/>
      <c r="C237" s="1421"/>
      <c r="D237" s="1421"/>
      <c r="E237" s="1421"/>
      <c r="F237" s="1421"/>
      <c r="G237" s="1421"/>
      <c r="H237" s="1421"/>
      <c r="I237" s="1421"/>
      <c r="J237" s="1421"/>
      <c r="K237" s="1421"/>
      <c r="L237" s="1421"/>
      <c r="M237" s="1421"/>
      <c r="Q237" s="1414"/>
    </row>
    <row r="238" spans="1:32" ht="13.9" customHeight="1">
      <c r="A238" s="1428">
        <v>14</v>
      </c>
      <c r="B238" s="1428" t="s">
        <v>2755</v>
      </c>
      <c r="C238" s="121"/>
      <c r="D238" s="1421"/>
      <c r="E238" s="1421"/>
      <c r="F238" s="1421"/>
      <c r="G238" s="1421"/>
      <c r="H238" s="1421"/>
      <c r="I238" s="1421"/>
      <c r="J238" s="1421"/>
      <c r="K238" s="1421"/>
      <c r="L238" s="1421"/>
      <c r="M238" s="1421"/>
      <c r="O238" s="142" t="s">
        <v>1938</v>
      </c>
      <c r="P238" s="1711"/>
      <c r="Q238" s="1712"/>
    </row>
    <row r="239" spans="1:32" s="28" customFormat="1" ht="11.45" customHeight="1">
      <c r="B239" s="155" t="s">
        <v>1235</v>
      </c>
      <c r="N239" s="130"/>
      <c r="P239" s="3054" t="s">
        <v>3156</v>
      </c>
      <c r="Q239" s="627"/>
      <c r="AE239" s="125"/>
      <c r="AF239" s="125"/>
    </row>
    <row r="240" spans="1:32" ht="12" customHeight="1">
      <c r="B240" s="48" t="s">
        <v>2058</v>
      </c>
      <c r="C240" s="37" t="s">
        <v>4157</v>
      </c>
      <c r="D240" s="43"/>
      <c r="E240" s="43"/>
      <c r="F240" s="43"/>
      <c r="G240" s="43"/>
      <c r="H240" s="43"/>
      <c r="I240" s="43"/>
      <c r="J240" s="43"/>
      <c r="K240" s="43"/>
      <c r="L240" s="43"/>
      <c r="M240" s="43"/>
      <c r="O240" s="525" t="s">
        <v>2058</v>
      </c>
      <c r="P240" s="3054" t="s">
        <v>4283</v>
      </c>
      <c r="Q240" s="627"/>
    </row>
    <row r="241" spans="1:32" ht="11.45" customHeight="1">
      <c r="B241" s="48"/>
      <c r="C241" s="70" t="s">
        <v>1803</v>
      </c>
      <c r="D241" s="54" t="s">
        <v>2005</v>
      </c>
      <c r="E241" s="54"/>
      <c r="F241" s="54"/>
      <c r="G241" s="54"/>
      <c r="H241" s="54"/>
      <c r="I241" s="43"/>
      <c r="K241" s="70" t="s">
        <v>1543</v>
      </c>
      <c r="L241" s="3073" t="s">
        <v>4331</v>
      </c>
      <c r="M241" s="3075"/>
      <c r="Q241" s="630"/>
    </row>
    <row r="242" spans="1:32" ht="11.45" customHeight="1">
      <c r="B242" s="48"/>
      <c r="C242" s="70" t="s">
        <v>1804</v>
      </c>
      <c r="D242" s="1223" t="s">
        <v>2829</v>
      </c>
      <c r="E242" s="1223"/>
      <c r="F242" s="1223"/>
      <c r="G242" s="1223"/>
      <c r="H242" s="1223"/>
      <c r="I242" s="43"/>
      <c r="K242" s="70" t="s">
        <v>1544</v>
      </c>
      <c r="L242" s="3120" t="s">
        <v>4332</v>
      </c>
      <c r="M242" s="3121"/>
      <c r="N242" s="3122" t="s">
        <v>2830</v>
      </c>
      <c r="O242" s="3123"/>
      <c r="P242" s="3124"/>
      <c r="Q242" s="631"/>
    </row>
    <row r="243" spans="1:32" ht="11.45" customHeight="1">
      <c r="B243" s="48"/>
      <c r="C243" s="70" t="s">
        <v>1805</v>
      </c>
      <c r="D243" s="1223" t="s">
        <v>577</v>
      </c>
      <c r="E243" s="1223"/>
      <c r="F243" s="1223"/>
      <c r="G243" s="1223"/>
      <c r="H243" s="1223"/>
      <c r="I243" s="43"/>
      <c r="K243" s="70" t="s">
        <v>1545</v>
      </c>
      <c r="L243" s="3073" t="s">
        <v>4333</v>
      </c>
      <c r="M243" s="3074"/>
      <c r="N243" s="3125"/>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4" t="s">
        <v>4283</v>
      </c>
      <c r="Q245" s="627"/>
    </row>
    <row r="246" spans="1:32" ht="10.9" customHeight="1">
      <c r="B246" s="48"/>
      <c r="C246" s="54" t="s">
        <v>3889</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6" t="s">
        <v>4334</v>
      </c>
      <c r="E248" s="3127"/>
      <c r="F248" s="3127"/>
      <c r="G248" s="3127"/>
      <c r="H248" s="3128"/>
      <c r="I248" s="640"/>
      <c r="J248" s="641"/>
      <c r="K248" s="70" t="s">
        <v>1805</v>
      </c>
      <c r="L248" s="3126"/>
      <c r="M248" s="3127"/>
      <c r="N248" s="3127"/>
      <c r="O248" s="3128"/>
      <c r="P248" s="630"/>
      <c r="Q248" s="641"/>
      <c r="AE248" s="56"/>
      <c r="AF248" s="56"/>
    </row>
    <row r="249" spans="1:32" s="44" customFormat="1" ht="11.45" customHeight="1">
      <c r="A249" s="100"/>
      <c r="B249" s="53"/>
      <c r="C249" s="70" t="s">
        <v>1804</v>
      </c>
      <c r="D249" s="3129" t="s">
        <v>4335</v>
      </c>
      <c r="E249" s="3130"/>
      <c r="F249" s="3130"/>
      <c r="G249" s="3130"/>
      <c r="H249" s="3131"/>
      <c r="I249" s="642"/>
      <c r="J249" s="643"/>
      <c r="K249" s="70" t="s">
        <v>2448</v>
      </c>
      <c r="L249" s="3129"/>
      <c r="M249" s="3130"/>
      <c r="N249" s="3130"/>
      <c r="O249" s="313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3" t="s">
        <v>4283</v>
      </c>
      <c r="Q251" s="630"/>
    </row>
    <row r="252" spans="1:32" ht="11.45" customHeight="1">
      <c r="B252" s="48"/>
      <c r="C252" s="70" t="s">
        <v>1803</v>
      </c>
      <c r="D252" s="54" t="s">
        <v>3723</v>
      </c>
      <c r="E252" s="54"/>
      <c r="F252" s="54"/>
      <c r="G252" s="54"/>
      <c r="H252" s="54"/>
      <c r="I252" s="43"/>
      <c r="J252" s="34"/>
      <c r="K252" s="43"/>
      <c r="L252" s="34"/>
      <c r="M252" s="34"/>
      <c r="O252" s="70" t="s">
        <v>1803</v>
      </c>
      <c r="P252" s="3096" t="s">
        <v>3153</v>
      </c>
      <c r="Q252" s="631"/>
    </row>
    <row r="253" spans="1:32" ht="11.45" customHeight="1">
      <c r="C253" s="70" t="s">
        <v>1804</v>
      </c>
      <c r="D253" s="1223" t="s">
        <v>2930</v>
      </c>
      <c r="E253" s="1223"/>
      <c r="F253" s="1223"/>
      <c r="G253" s="1223"/>
      <c r="H253" s="1223"/>
      <c r="I253" s="43"/>
      <c r="J253" s="34"/>
      <c r="K253" s="43"/>
      <c r="L253" s="34"/>
      <c r="M253" s="34"/>
      <c r="O253" s="70" t="s">
        <v>1804</v>
      </c>
      <c r="P253" s="3096" t="s">
        <v>3153</v>
      </c>
      <c r="Q253" s="631"/>
    </row>
    <row r="254" spans="1:32" ht="11.45" customHeight="1">
      <c r="C254" s="70" t="s">
        <v>1805</v>
      </c>
      <c r="D254" s="1223" t="s">
        <v>2931</v>
      </c>
      <c r="E254" s="1223"/>
      <c r="F254" s="1223"/>
      <c r="G254" s="1223"/>
      <c r="H254" s="1223"/>
      <c r="I254" s="43"/>
      <c r="J254" s="34"/>
      <c r="K254" s="43"/>
      <c r="L254" s="34"/>
      <c r="M254" s="34"/>
      <c r="O254" s="70" t="s">
        <v>1805</v>
      </c>
      <c r="P254" s="3096"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096"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096" t="s">
        <v>3153</v>
      </c>
      <c r="Q256" s="631"/>
    </row>
    <row r="257" spans="1:31" ht="11.45" customHeight="1">
      <c r="B257" s="48"/>
      <c r="C257" s="525" t="s">
        <v>1607</v>
      </c>
      <c r="D257" s="54" t="s">
        <v>806</v>
      </c>
      <c r="E257" s="54"/>
      <c r="F257" s="54"/>
      <c r="G257" s="54"/>
      <c r="H257" s="54"/>
      <c r="I257" s="43"/>
      <c r="J257" s="34"/>
      <c r="K257" s="43"/>
      <c r="L257" s="34"/>
      <c r="M257" s="34"/>
      <c r="O257" s="525" t="s">
        <v>2918</v>
      </c>
      <c r="P257" s="3096" t="s">
        <v>3153</v>
      </c>
      <c r="Q257" s="631"/>
    </row>
    <row r="258" spans="1:31" ht="11.45" customHeight="1">
      <c r="B258" s="48"/>
      <c r="C258" s="70"/>
      <c r="D258" s="54" t="s">
        <v>1546</v>
      </c>
      <c r="E258" s="54"/>
      <c r="F258" s="54"/>
      <c r="G258" s="54"/>
      <c r="H258" s="54"/>
      <c r="I258" s="43"/>
      <c r="J258" s="34"/>
      <c r="K258" s="43"/>
      <c r="L258" s="34"/>
      <c r="M258" s="34"/>
      <c r="O258" s="525" t="s">
        <v>2919</v>
      </c>
      <c r="P258" s="3096" t="s">
        <v>3153</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4096</v>
      </c>
      <c r="D260" s="54"/>
      <c r="E260" s="54"/>
      <c r="F260" s="54"/>
      <c r="G260" s="54"/>
      <c r="H260" s="54"/>
      <c r="I260" s="54"/>
      <c r="J260" s="54"/>
      <c r="K260" s="43"/>
      <c r="L260" s="54"/>
      <c r="M260" s="54"/>
      <c r="O260" s="525" t="s">
        <v>2193</v>
      </c>
      <c r="P260" s="3093" t="s">
        <v>1006</v>
      </c>
      <c r="Q260" s="630"/>
    </row>
    <row r="261" spans="1:31" ht="11.45" customHeight="1">
      <c r="B261" s="48"/>
      <c r="C261" s="70" t="s">
        <v>1803</v>
      </c>
      <c r="D261" s="40" t="s">
        <v>1302</v>
      </c>
      <c r="E261" s="43"/>
      <c r="F261" s="43"/>
      <c r="G261" s="40"/>
      <c r="H261" s="1223"/>
      <c r="I261" s="43"/>
      <c r="J261" s="1223"/>
      <c r="K261" s="43"/>
      <c r="L261" s="1223"/>
      <c r="M261" s="1223"/>
      <c r="O261" s="70" t="s">
        <v>1803</v>
      </c>
      <c r="P261" s="3096"/>
      <c r="Q261" s="631"/>
    </row>
    <row r="262" spans="1:31" ht="11.45" customHeight="1">
      <c r="B262" s="48"/>
      <c r="C262" s="70" t="s">
        <v>1804</v>
      </c>
      <c r="D262" s="40" t="s">
        <v>151</v>
      </c>
      <c r="E262" s="43"/>
      <c r="F262" s="43"/>
      <c r="G262" s="1223"/>
      <c r="H262" s="1223"/>
      <c r="I262" s="43"/>
      <c r="J262" s="1223"/>
      <c r="K262" s="43"/>
      <c r="L262" s="1223"/>
      <c r="M262" s="1223"/>
      <c r="O262" s="70" t="s">
        <v>1804</v>
      </c>
      <c r="P262" s="3096"/>
      <c r="Q262" s="631"/>
    </row>
    <row r="263" spans="1:31" ht="11.45" customHeight="1">
      <c r="B263" s="48"/>
      <c r="C263" s="70" t="s">
        <v>1805</v>
      </c>
      <c r="D263" s="1223" t="s">
        <v>4052</v>
      </c>
      <c r="E263" s="43"/>
      <c r="F263" s="43"/>
      <c r="G263" s="1223"/>
      <c r="H263" s="1223"/>
      <c r="I263" s="43"/>
      <c r="J263" s="1223"/>
      <c r="K263" s="43"/>
      <c r="L263" s="1223"/>
      <c r="M263" s="1223"/>
      <c r="O263" s="70" t="s">
        <v>2454</v>
      </c>
      <c r="P263" s="3096"/>
      <c r="Q263" s="631"/>
    </row>
    <row r="264" spans="1:31" ht="11.45" customHeight="1">
      <c r="B264" s="37"/>
      <c r="C264" s="43"/>
      <c r="D264" s="1223" t="s">
        <v>1334</v>
      </c>
      <c r="E264" s="43"/>
      <c r="F264" s="43"/>
      <c r="G264" s="1223"/>
      <c r="H264" s="1223"/>
      <c r="I264" s="43"/>
      <c r="J264" s="1223"/>
      <c r="K264" s="43"/>
      <c r="L264" s="1223"/>
      <c r="M264" s="1223"/>
      <c r="O264" s="70" t="s">
        <v>2455</v>
      </c>
      <c r="P264" s="3094"/>
      <c r="Q264" s="632"/>
    </row>
    <row r="265" spans="1:31" ht="11.25" customHeight="1">
      <c r="B265" s="151" t="s">
        <v>1936</v>
      </c>
      <c r="D265" s="151"/>
      <c r="E265" s="151"/>
      <c r="F265" s="151"/>
      <c r="G265" s="151"/>
      <c r="H265" s="41"/>
      <c r="I265" s="1422"/>
      <c r="J265" s="1422"/>
      <c r="K265" s="1422"/>
      <c r="L265" s="1414"/>
      <c r="M265" s="1414"/>
      <c r="N265" s="1414"/>
      <c r="O265" s="1414"/>
      <c r="P265" s="1414"/>
      <c r="Q265" s="1222"/>
    </row>
    <row r="266" spans="1:31" ht="11.45" customHeight="1">
      <c r="A266" s="3058" t="s">
        <v>4336</v>
      </c>
      <c r="B266" s="3059"/>
      <c r="C266" s="3059"/>
      <c r="D266" s="3059"/>
      <c r="E266" s="3059"/>
      <c r="F266" s="3059"/>
      <c r="G266" s="3059"/>
      <c r="H266" s="3059"/>
      <c r="I266" s="3059"/>
      <c r="J266" s="3059"/>
      <c r="K266" s="3059"/>
      <c r="L266" s="3059"/>
      <c r="M266" s="3059"/>
      <c r="N266" s="3059"/>
      <c r="O266" s="3059"/>
      <c r="P266" s="3059"/>
      <c r="Q266" s="3060"/>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4"/>
      <c r="B269" s="1422"/>
      <c r="C269" s="1421"/>
      <c r="D269" s="1421"/>
      <c r="E269" s="1421"/>
      <c r="F269" s="1421"/>
      <c r="G269" s="1421"/>
      <c r="H269" s="1421"/>
      <c r="I269" s="1421"/>
      <c r="J269" s="1421"/>
      <c r="K269" s="1421"/>
      <c r="L269" s="1421"/>
      <c r="M269" s="1421"/>
      <c r="Q269" s="1414"/>
    </row>
    <row r="270" spans="1:31" ht="13.9" customHeight="1">
      <c r="A270" s="1428">
        <v>15</v>
      </c>
      <c r="B270" s="4" t="s">
        <v>2756</v>
      </c>
      <c r="C270" s="4"/>
      <c r="D270" s="92"/>
      <c r="E270" s="92"/>
      <c r="F270" s="92"/>
      <c r="G270" s="92"/>
      <c r="H270" s="1421"/>
      <c r="I270" s="1421"/>
      <c r="J270" s="1421"/>
      <c r="K270" s="1421"/>
      <c r="L270" s="1421"/>
      <c r="M270" s="1421"/>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5" t="s">
        <v>2058</v>
      </c>
      <c r="L272" s="3076" t="s">
        <v>4337</v>
      </c>
      <c r="M272" s="3077"/>
      <c r="N272" s="3077"/>
      <c r="O272" s="3112"/>
      <c r="P272" s="1738" t="s">
        <v>1837</v>
      </c>
      <c r="Q272" s="1739"/>
    </row>
    <row r="273" spans="1:32" ht="11.45" customHeight="1">
      <c r="B273" s="48" t="s">
        <v>2061</v>
      </c>
      <c r="C273" s="54" t="s">
        <v>2934</v>
      </c>
      <c r="D273" s="54"/>
      <c r="E273" s="54"/>
      <c r="F273" s="54"/>
      <c r="G273" s="54"/>
      <c r="H273" s="54"/>
      <c r="I273" s="43"/>
      <c r="J273" s="43"/>
      <c r="K273" s="525" t="s">
        <v>2061</v>
      </c>
      <c r="L273" s="3132">
        <v>42496</v>
      </c>
      <c r="M273" s="3133"/>
      <c r="N273" s="3133"/>
      <c r="O273" s="3134"/>
      <c r="P273" s="1761"/>
      <c r="Q273" s="1762"/>
    </row>
    <row r="274" spans="1:32" s="158" customFormat="1" ht="11.45" customHeight="1">
      <c r="B274" s="48" t="s">
        <v>779</v>
      </c>
      <c r="C274" s="54" t="s">
        <v>2019</v>
      </c>
      <c r="D274" s="54"/>
      <c r="E274" s="54"/>
      <c r="F274" s="54"/>
      <c r="G274" s="54"/>
      <c r="H274" s="54"/>
      <c r="I274" s="100"/>
      <c r="J274" s="100"/>
      <c r="K274" s="525" t="s">
        <v>779</v>
      </c>
      <c r="L274" s="3113" t="s">
        <v>4338</v>
      </c>
      <c r="M274" s="3114"/>
      <c r="N274" s="3114"/>
      <c r="O274" s="3115"/>
      <c r="P274" s="1736"/>
      <c r="Q274" s="1737"/>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3" t="s">
        <v>3153</v>
      </c>
      <c r="Q275" s="630"/>
      <c r="AE275" s="529"/>
      <c r="AF275" s="529"/>
    </row>
    <row r="276" spans="1:32" s="158" customFormat="1" ht="22.15" customHeight="1">
      <c r="B276" s="152" t="s">
        <v>1801</v>
      </c>
      <c r="C276" s="1718" t="s">
        <v>2857</v>
      </c>
      <c r="D276" s="1718"/>
      <c r="E276" s="1718"/>
      <c r="F276" s="1718"/>
      <c r="G276" s="1718"/>
      <c r="H276" s="1718"/>
      <c r="I276" s="1718"/>
      <c r="J276" s="1718"/>
      <c r="K276" s="1718"/>
      <c r="L276" s="1718"/>
      <c r="M276" s="1718"/>
      <c r="N276" s="1718"/>
      <c r="O276" s="174" t="s">
        <v>1801</v>
      </c>
      <c r="P276" s="3094" t="s">
        <v>4283</v>
      </c>
      <c r="Q276" s="632"/>
      <c r="T276" s="529"/>
      <c r="AE276" s="529"/>
      <c r="AF276" s="529"/>
    </row>
    <row r="277" spans="1:32" ht="11.25" customHeight="1">
      <c r="B277" s="151" t="s">
        <v>1936</v>
      </c>
      <c r="D277" s="151"/>
      <c r="E277" s="151"/>
      <c r="F277" s="151"/>
      <c r="G277" s="151"/>
      <c r="H277" s="41"/>
      <c r="I277" s="1422"/>
      <c r="J277" s="1422"/>
      <c r="K277" s="1422"/>
      <c r="L277" s="1414"/>
      <c r="M277" s="1414"/>
      <c r="N277" s="1414"/>
      <c r="O277" s="1414"/>
      <c r="P277" s="1414"/>
      <c r="Q277" s="1222"/>
    </row>
    <row r="278" spans="1:32" ht="13.15" customHeight="1">
      <c r="A278" s="3058" t="s">
        <v>4339</v>
      </c>
      <c r="B278" s="3059"/>
      <c r="C278" s="3059"/>
      <c r="D278" s="3059"/>
      <c r="E278" s="3059"/>
      <c r="F278" s="3059"/>
      <c r="G278" s="3059"/>
      <c r="H278" s="3059"/>
      <c r="I278" s="3059"/>
      <c r="J278" s="3059"/>
      <c r="K278" s="3059"/>
      <c r="L278" s="3059"/>
      <c r="M278" s="3059"/>
      <c r="N278" s="3059"/>
      <c r="O278" s="3059"/>
      <c r="P278" s="3059"/>
      <c r="Q278" s="3060"/>
      <c r="R278" s="500" t="s">
        <v>1301</v>
      </c>
      <c r="S278" s="501"/>
      <c r="U278" s="146"/>
      <c r="V278" s="146"/>
      <c r="W278" s="146"/>
      <c r="X278" s="146"/>
      <c r="Y278" s="146"/>
      <c r="Z278" s="146"/>
      <c r="AA278" s="146"/>
      <c r="AB278" s="146"/>
      <c r="AC278" s="146"/>
      <c r="AD278" s="146"/>
      <c r="AE278" s="527"/>
    </row>
    <row r="279" spans="1:32" ht="10.9" customHeight="1">
      <c r="B279" s="147" t="s">
        <v>1937</v>
      </c>
      <c r="C279" s="148"/>
      <c r="D279" s="1421"/>
      <c r="E279" s="1421"/>
      <c r="F279" s="1421"/>
      <c r="G279" s="1421"/>
      <c r="H279" s="1421"/>
      <c r="I279" s="1421"/>
      <c r="J279" s="1421"/>
      <c r="K279" s="1421"/>
      <c r="L279" s="1421"/>
      <c r="M279" s="1421"/>
      <c r="N279" s="1421"/>
      <c r="O279" s="1421"/>
      <c r="P279" s="1421"/>
      <c r="Q279" s="1421"/>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4"/>
      <c r="B281" s="1422"/>
      <c r="C281" s="1421"/>
      <c r="D281" s="1421"/>
      <c r="E281" s="1421"/>
      <c r="F281" s="1421"/>
      <c r="G281" s="1421"/>
      <c r="H281" s="1421"/>
      <c r="I281" s="1421"/>
      <c r="J281" s="1421"/>
      <c r="K281" s="1421"/>
      <c r="L281" s="1421"/>
      <c r="M281" s="1421"/>
      <c r="Q281" s="1414"/>
    </row>
    <row r="282" spans="1:32" ht="13.9" customHeight="1">
      <c r="A282" s="1428">
        <v>16</v>
      </c>
      <c r="B282" s="4" t="s">
        <v>2757</v>
      </c>
      <c r="C282" s="4"/>
      <c r="D282" s="92"/>
      <c r="E282" s="92"/>
      <c r="F282" s="92"/>
      <c r="G282" s="92"/>
      <c r="H282" s="1421"/>
      <c r="I282" s="1421"/>
      <c r="J282" s="1421"/>
      <c r="K282" s="1421"/>
      <c r="L282" s="1421"/>
      <c r="M282" s="1421"/>
      <c r="O282" s="142" t="s">
        <v>1938</v>
      </c>
      <c r="P282" s="1711"/>
      <c r="Q282" s="1712"/>
    </row>
    <row r="283" spans="1:32" ht="3" customHeight="1"/>
    <row r="284" spans="1:32" s="465" customFormat="1" ht="21.75" customHeight="1">
      <c r="B284" s="152" t="s">
        <v>2058</v>
      </c>
      <c r="C284" s="1718" t="s">
        <v>2935</v>
      </c>
      <c r="D284" s="1718"/>
      <c r="E284" s="1718"/>
      <c r="F284" s="1718"/>
      <c r="G284" s="1718"/>
      <c r="H284" s="1718"/>
      <c r="I284" s="1718"/>
      <c r="J284" s="1718"/>
      <c r="K284" s="1718"/>
      <c r="L284" s="1718"/>
      <c r="M284" s="1718"/>
      <c r="N284" s="1718"/>
      <c r="O284" s="174" t="s">
        <v>2058</v>
      </c>
      <c r="P284" s="3135"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4" t="s">
        <v>3153</v>
      </c>
      <c r="Q285" s="632"/>
      <c r="AE285" s="529"/>
      <c r="AF285" s="529"/>
    </row>
    <row r="286" spans="1:32" ht="11.25" customHeight="1">
      <c r="B286" s="151" t="s">
        <v>1936</v>
      </c>
      <c r="D286" s="151"/>
      <c r="E286" s="151"/>
      <c r="F286" s="151"/>
      <c r="G286" s="151"/>
      <c r="H286" s="41"/>
      <c r="I286" s="1422"/>
      <c r="J286" s="1422"/>
      <c r="K286" s="1422"/>
      <c r="L286" s="1414"/>
      <c r="M286" s="1414"/>
      <c r="N286" s="1414"/>
      <c r="O286" s="1414"/>
      <c r="P286" s="1414"/>
      <c r="Q286" s="1222"/>
    </row>
    <row r="287" spans="1:32" ht="13.15" customHeight="1">
      <c r="A287" s="3058" t="s">
        <v>4340</v>
      </c>
      <c r="B287" s="3059"/>
      <c r="C287" s="3059"/>
      <c r="D287" s="3059"/>
      <c r="E287" s="3059"/>
      <c r="F287" s="3059"/>
      <c r="G287" s="3059"/>
      <c r="H287" s="3059"/>
      <c r="I287" s="3059"/>
      <c r="J287" s="3059"/>
      <c r="K287" s="3059"/>
      <c r="L287" s="3059"/>
      <c r="M287" s="3059"/>
      <c r="N287" s="3059"/>
      <c r="O287" s="3059"/>
      <c r="P287" s="3059"/>
      <c r="Q287" s="3060"/>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8">
        <v>17</v>
      </c>
      <c r="B290" s="1428" t="s">
        <v>2758</v>
      </c>
      <c r="C290" s="1428"/>
      <c r="D290" s="1421"/>
      <c r="E290" s="1421"/>
      <c r="F290" s="1421"/>
      <c r="G290" s="1421"/>
      <c r="H290" s="1421"/>
      <c r="I290" s="1421"/>
      <c r="J290" s="1421"/>
      <c r="K290" s="1421"/>
      <c r="L290" s="1421"/>
      <c r="M290" s="1421"/>
      <c r="O290" s="142" t="s">
        <v>1938</v>
      </c>
      <c r="P290" s="1711"/>
      <c r="Q290" s="1712"/>
    </row>
    <row r="291" spans="1:32" ht="3" customHeight="1"/>
    <row r="292" spans="1:32" s="465" customFormat="1" ht="21.75" customHeight="1">
      <c r="B292" s="152" t="s">
        <v>2058</v>
      </c>
      <c r="C292" s="1744" t="s">
        <v>2936</v>
      </c>
      <c r="D292" s="1565"/>
      <c r="E292" s="1565"/>
      <c r="F292" s="1565"/>
      <c r="G292" s="1565"/>
      <c r="H292" s="1565"/>
      <c r="I292" s="1565"/>
      <c r="J292" s="1565"/>
      <c r="K292" s="1565"/>
      <c r="L292" s="1565"/>
      <c r="M292" s="1565"/>
      <c r="N292" s="1565"/>
      <c r="O292" s="174" t="s">
        <v>2058</v>
      </c>
      <c r="P292" s="3093" t="s">
        <v>4283</v>
      </c>
      <c r="Q292" s="630"/>
      <c r="AE292" s="530"/>
      <c r="AF292" s="530"/>
    </row>
    <row r="293" spans="1:32" s="465" customFormat="1" ht="21.75" customHeight="1">
      <c r="B293" s="152" t="s">
        <v>2061</v>
      </c>
      <c r="C293" s="1744" t="s">
        <v>2937</v>
      </c>
      <c r="D293" s="1565"/>
      <c r="E293" s="1565"/>
      <c r="F293" s="1565"/>
      <c r="G293" s="1565"/>
      <c r="H293" s="1565"/>
      <c r="I293" s="1565"/>
      <c r="J293" s="1565"/>
      <c r="K293" s="1565"/>
      <c r="L293" s="1565"/>
      <c r="M293" s="1565"/>
      <c r="N293" s="1565"/>
      <c r="O293" s="174" t="s">
        <v>2061</v>
      </c>
      <c r="P293" s="3094" t="s">
        <v>4283</v>
      </c>
      <c r="Q293" s="632"/>
      <c r="AE293" s="530"/>
      <c r="AF293" s="530"/>
    </row>
    <row r="294" spans="1:32" ht="11.25" customHeight="1">
      <c r="B294" s="151" t="s">
        <v>1936</v>
      </c>
      <c r="D294" s="151"/>
      <c r="E294" s="151"/>
      <c r="F294" s="151"/>
      <c r="G294" s="151"/>
      <c r="H294" s="41"/>
      <c r="I294" s="1422"/>
      <c r="J294" s="1422"/>
      <c r="K294" s="1422"/>
      <c r="L294" s="1414"/>
      <c r="M294" s="1414"/>
      <c r="N294" s="1414"/>
      <c r="O294" s="1414"/>
      <c r="P294" s="1414"/>
      <c r="Q294" s="1222"/>
    </row>
    <row r="295" spans="1:32" ht="13.15" customHeight="1">
      <c r="A295" s="3058" t="s">
        <v>4341</v>
      </c>
      <c r="B295" s="3059"/>
      <c r="C295" s="3059"/>
      <c r="D295" s="3059"/>
      <c r="E295" s="3059"/>
      <c r="F295" s="3059"/>
      <c r="G295" s="3059"/>
      <c r="H295" s="3059"/>
      <c r="I295" s="3059"/>
      <c r="J295" s="3059"/>
      <c r="K295" s="3059"/>
      <c r="L295" s="3059"/>
      <c r="M295" s="3059"/>
      <c r="N295" s="3059"/>
      <c r="O295" s="3059"/>
      <c r="P295" s="3059"/>
      <c r="Q295" s="3060"/>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8">
        <v>18</v>
      </c>
      <c r="B298" s="1428" t="s">
        <v>2759</v>
      </c>
      <c r="C298" s="159"/>
      <c r="D298" s="1427"/>
      <c r="E298" s="1421"/>
      <c r="F298" s="1421"/>
      <c r="G298" s="1421"/>
      <c r="H298" s="1421"/>
      <c r="I298" s="1421"/>
      <c r="J298" s="1421"/>
      <c r="K298" s="1421"/>
      <c r="L298" s="1421"/>
      <c r="M298" s="1421"/>
      <c r="O298" s="142" t="s">
        <v>1938</v>
      </c>
      <c r="P298" s="1711"/>
      <c r="Q298" s="1712"/>
    </row>
    <row r="299" spans="1:32" ht="3" customHeight="1"/>
    <row r="300" spans="1:32" s="158" customFormat="1" ht="42.75" customHeight="1">
      <c r="B300" s="152" t="s">
        <v>2058</v>
      </c>
      <c r="C300" s="160" t="s">
        <v>1803</v>
      </c>
      <c r="D300" s="1744" t="s">
        <v>3735</v>
      </c>
      <c r="E300" s="1744"/>
      <c r="F300" s="1744"/>
      <c r="G300" s="1744"/>
      <c r="H300" s="1744"/>
      <c r="I300" s="1744"/>
      <c r="J300" s="1744"/>
      <c r="K300" s="1744"/>
      <c r="L300" s="1744"/>
      <c r="M300" s="1744"/>
      <c r="N300" s="1744"/>
      <c r="O300" s="174" t="s">
        <v>2833</v>
      </c>
      <c r="P300" s="3135" t="s">
        <v>3153</v>
      </c>
      <c r="Q300" s="630"/>
      <c r="AE300" s="529"/>
      <c r="AF300" s="529"/>
    </row>
    <row r="301" spans="1:32" s="465" customFormat="1" ht="21.75" customHeight="1">
      <c r="B301" s="152"/>
      <c r="C301" s="160" t="s">
        <v>1804</v>
      </c>
      <c r="D301" s="1744" t="s">
        <v>3719</v>
      </c>
      <c r="E301" s="1744"/>
      <c r="F301" s="1744"/>
      <c r="G301" s="1744"/>
      <c r="H301" s="1744"/>
      <c r="I301" s="1744"/>
      <c r="J301" s="1744"/>
      <c r="K301" s="1744"/>
      <c r="L301" s="1744"/>
      <c r="M301" s="1744"/>
      <c r="N301" s="1744"/>
      <c r="O301" s="160" t="s">
        <v>1804</v>
      </c>
      <c r="P301" s="3097" t="s">
        <v>3156</v>
      </c>
      <c r="Q301" s="634"/>
      <c r="AE301" s="530"/>
      <c r="AF301" s="530"/>
    </row>
    <row r="302" spans="1:32" s="100" customFormat="1" ht="11.25" customHeight="1">
      <c r="B302" s="48"/>
      <c r="C302" s="525" t="s">
        <v>1805</v>
      </c>
      <c r="D302" s="1746" t="s">
        <v>4053</v>
      </c>
      <c r="E302" s="1746"/>
      <c r="F302" s="1746"/>
      <c r="G302" s="1746"/>
      <c r="H302" s="1746"/>
      <c r="I302" s="1746"/>
      <c r="J302" s="1746"/>
      <c r="K302" s="1746"/>
      <c r="L302" s="1746"/>
      <c r="M302" s="1746"/>
      <c r="N302" s="1746"/>
      <c r="O302" s="525" t="s">
        <v>1805</v>
      </c>
      <c r="P302" s="3136" t="s">
        <v>3153</v>
      </c>
      <c r="Q302" s="1265"/>
      <c r="AE302" s="531"/>
      <c r="AF302" s="531"/>
    </row>
    <row r="303" spans="1:32" s="100" customFormat="1" ht="11.25" customHeight="1">
      <c r="B303" s="152" t="s">
        <v>2061</v>
      </c>
      <c r="C303" s="160" t="s">
        <v>1803</v>
      </c>
      <c r="D303" s="1744" t="s">
        <v>4054</v>
      </c>
      <c r="E303" s="1744"/>
      <c r="F303" s="1744"/>
      <c r="G303" s="1744"/>
      <c r="H303" s="1744"/>
      <c r="I303" s="1744"/>
      <c r="J303" s="1744"/>
      <c r="K303" s="1744"/>
      <c r="L303" s="1744"/>
      <c r="M303" s="1744"/>
      <c r="N303" s="1744"/>
      <c r="O303" s="525" t="s">
        <v>4056</v>
      </c>
      <c r="P303" s="3093" t="s">
        <v>3153</v>
      </c>
      <c r="Q303" s="630"/>
      <c r="AE303" s="531"/>
      <c r="AF303" s="531"/>
    </row>
    <row r="304" spans="1:32" s="100" customFormat="1" ht="11.25" customHeight="1">
      <c r="B304" s="152"/>
      <c r="C304" s="160"/>
      <c r="D304" s="1744" t="s">
        <v>4055</v>
      </c>
      <c r="E304" s="1744"/>
      <c r="F304" s="1744"/>
      <c r="G304" s="1744"/>
      <c r="H304" s="1744"/>
      <c r="I304" s="1744"/>
      <c r="J304" s="1744"/>
      <c r="K304" s="1744"/>
      <c r="L304" s="1744"/>
      <c r="M304" s="1744"/>
      <c r="N304" s="1744"/>
      <c r="O304" s="525" t="s">
        <v>2195</v>
      </c>
      <c r="P304" s="3096" t="s">
        <v>3153</v>
      </c>
      <c r="Q304" s="631"/>
      <c r="AE304" s="531"/>
      <c r="AF304" s="531"/>
    </row>
    <row r="305" spans="1:32" s="100" customFormat="1" ht="11.25" customHeight="1">
      <c r="B305" s="152"/>
      <c r="C305" s="160" t="s">
        <v>1804</v>
      </c>
      <c r="D305" s="1744" t="s">
        <v>2832</v>
      </c>
      <c r="E305" s="1744"/>
      <c r="F305" s="1744"/>
      <c r="G305" s="1744"/>
      <c r="H305" s="1744"/>
      <c r="I305" s="1744"/>
      <c r="J305" s="1744"/>
      <c r="K305" s="1744"/>
      <c r="L305" s="1744"/>
      <c r="M305" s="1744"/>
      <c r="N305" s="1744"/>
      <c r="O305" s="525" t="s">
        <v>1804</v>
      </c>
      <c r="P305" s="3094" t="s">
        <v>3153</v>
      </c>
      <c r="Q305" s="632"/>
      <c r="AE305" s="531"/>
      <c r="AF305" s="531"/>
    </row>
    <row r="306" spans="1:32" s="100" customFormat="1" ht="21.75" customHeight="1">
      <c r="B306" s="152" t="s">
        <v>779</v>
      </c>
      <c r="C306" s="1751" t="s">
        <v>4058</v>
      </c>
      <c r="D306" s="1751"/>
      <c r="E306" s="1751"/>
      <c r="F306" s="1751"/>
      <c r="G306" s="1751"/>
      <c r="H306" s="1751"/>
      <c r="I306" s="1751"/>
      <c r="J306" s="1751"/>
      <c r="K306" s="1751"/>
      <c r="L306" s="1751"/>
      <c r="M306" s="1751"/>
      <c r="N306" s="1751"/>
      <c r="O306" s="174" t="s">
        <v>779</v>
      </c>
      <c r="P306" s="3137" t="s">
        <v>3153</v>
      </c>
      <c r="Q306" s="628"/>
      <c r="AE306" s="531"/>
      <c r="AF306" s="531"/>
    </row>
    <row r="307" spans="1:32" s="100" customFormat="1" ht="11.25" customHeight="1">
      <c r="B307" s="152"/>
      <c r="C307" s="435" t="s">
        <v>4059</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4057</v>
      </c>
      <c r="E308" s="1744"/>
      <c r="F308" s="1744"/>
      <c r="G308" s="1744"/>
      <c r="H308" s="1744"/>
      <c r="I308" s="1744"/>
      <c r="J308" s="1744"/>
      <c r="K308" s="1744"/>
      <c r="L308" s="1744"/>
      <c r="M308" s="1744"/>
      <c r="N308" s="1744"/>
      <c r="O308" s="174" t="s">
        <v>4062</v>
      </c>
      <c r="P308" s="3135" t="s">
        <v>3153</v>
      </c>
      <c r="Q308" s="633"/>
      <c r="AE308" s="530"/>
      <c r="AF308" s="530"/>
    </row>
    <row r="309" spans="1:32" s="465" customFormat="1" ht="11.25" customHeight="1">
      <c r="B309" s="152"/>
      <c r="C309" s="160" t="s">
        <v>1804</v>
      </c>
      <c r="D309" s="1744" t="s">
        <v>4130</v>
      </c>
      <c r="E309" s="1744"/>
      <c r="F309" s="1744"/>
      <c r="G309" s="1744"/>
      <c r="H309" s="1744"/>
      <c r="I309" s="1744"/>
      <c r="J309" s="1744"/>
      <c r="K309" s="1744"/>
      <c r="L309" s="1744"/>
      <c r="M309" s="1744"/>
      <c r="N309" s="1744"/>
      <c r="O309" s="174" t="s">
        <v>4063</v>
      </c>
      <c r="P309" s="3097" t="s">
        <v>3153</v>
      </c>
      <c r="Q309" s="634"/>
      <c r="AE309" s="530"/>
      <c r="AF309" s="530"/>
    </row>
    <row r="310" spans="1:32" s="465" customFormat="1" ht="32.25" customHeight="1">
      <c r="B310" s="152"/>
      <c r="C310" s="174" t="s">
        <v>1805</v>
      </c>
      <c r="D310" s="1744" t="s">
        <v>4060</v>
      </c>
      <c r="E310" s="1744"/>
      <c r="F310" s="1744"/>
      <c r="G310" s="1744"/>
      <c r="H310" s="1744"/>
      <c r="I310" s="1744"/>
      <c r="J310" s="1744"/>
      <c r="K310" s="1744"/>
      <c r="L310" s="1744"/>
      <c r="M310" s="1744"/>
      <c r="N310" s="1744"/>
      <c r="O310" s="174" t="s">
        <v>4064</v>
      </c>
      <c r="P310" s="3097" t="s">
        <v>3153</v>
      </c>
      <c r="Q310" s="634"/>
      <c r="AE310" s="530"/>
      <c r="AF310" s="530"/>
    </row>
    <row r="311" spans="1:32" s="465" customFormat="1" ht="32.25" customHeight="1">
      <c r="B311" s="152"/>
      <c r="C311" s="174" t="s">
        <v>2448</v>
      </c>
      <c r="D311" s="1744" t="s">
        <v>4061</v>
      </c>
      <c r="E311" s="1744"/>
      <c r="F311" s="1744"/>
      <c r="G311" s="1744"/>
      <c r="H311" s="1744"/>
      <c r="I311" s="1744"/>
      <c r="J311" s="1744"/>
      <c r="K311" s="1744"/>
      <c r="L311" s="1744"/>
      <c r="M311" s="1744"/>
      <c r="N311" s="1744"/>
      <c r="O311" s="174" t="s">
        <v>4065</v>
      </c>
      <c r="P311" s="3138" t="s">
        <v>3153</v>
      </c>
      <c r="Q311" s="635"/>
      <c r="AE311" s="530"/>
      <c r="AF311" s="530"/>
    </row>
    <row r="312" spans="1:32" ht="11.25" customHeight="1">
      <c r="B312" s="151" t="s">
        <v>1936</v>
      </c>
      <c r="D312" s="151"/>
      <c r="E312" s="151"/>
      <c r="F312" s="151"/>
      <c r="G312" s="151"/>
      <c r="H312" s="41"/>
      <c r="I312" s="1422"/>
      <c r="J312" s="1422"/>
      <c r="K312" s="1422"/>
      <c r="L312" s="1414"/>
      <c r="M312" s="1414"/>
      <c r="N312" s="1414"/>
      <c r="O312" s="1414"/>
      <c r="P312" s="1414"/>
      <c r="Q312" s="1222"/>
    </row>
    <row r="313" spans="1:32" ht="11.45" customHeight="1">
      <c r="A313" s="3058" t="s">
        <v>4372</v>
      </c>
      <c r="B313" s="3059"/>
      <c r="C313" s="3059"/>
      <c r="D313" s="3059"/>
      <c r="E313" s="3059"/>
      <c r="F313" s="3059"/>
      <c r="G313" s="3059"/>
      <c r="H313" s="3059"/>
      <c r="I313" s="3059"/>
      <c r="J313" s="3059"/>
      <c r="K313" s="3059"/>
      <c r="L313" s="3059"/>
      <c r="M313" s="3059"/>
      <c r="N313" s="3059"/>
      <c r="O313" s="3059"/>
      <c r="P313" s="3059"/>
      <c r="Q313" s="3060"/>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8">
        <v>19</v>
      </c>
      <c r="B316" s="10" t="s">
        <v>2760</v>
      </c>
      <c r="C316" s="10"/>
      <c r="D316" s="10"/>
      <c r="E316" s="10"/>
      <c r="F316" s="10"/>
      <c r="G316" s="10"/>
      <c r="H316" s="1421"/>
      <c r="I316" s="1421"/>
      <c r="J316" s="1421"/>
      <c r="K316" s="1421"/>
      <c r="L316" s="1421"/>
      <c r="M316" s="1421"/>
      <c r="O316" s="142" t="s">
        <v>1938</v>
      </c>
      <c r="P316" s="1763"/>
      <c r="Q316" s="1764"/>
    </row>
    <row r="317" spans="1:32" ht="11.45" customHeight="1">
      <c r="B317" s="155" t="s">
        <v>2332</v>
      </c>
      <c r="P317" s="3093" t="s">
        <v>3153</v>
      </c>
      <c r="Q317" s="630"/>
    </row>
    <row r="318" spans="1:32" ht="12" customHeight="1">
      <c r="B318" s="1178" t="s">
        <v>2290</v>
      </c>
      <c r="C318" s="1178"/>
      <c r="D318" s="1178"/>
      <c r="E318" s="1178"/>
      <c r="F318" s="1178"/>
      <c r="G318" s="1178"/>
      <c r="H318" s="1178"/>
      <c r="I318" s="1178"/>
      <c r="J318" s="1178"/>
      <c r="K318" s="1178"/>
      <c r="L318" s="1178"/>
      <c r="P318" s="3094"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44" t="s">
        <v>3020</v>
      </c>
      <c r="D320" s="1744"/>
      <c r="E320" s="1744"/>
      <c r="F320" s="1744"/>
      <c r="G320" s="1744"/>
      <c r="H320" s="1744"/>
      <c r="I320" s="1744"/>
      <c r="J320" s="1744"/>
      <c r="K320" s="1744"/>
      <c r="L320" s="1744"/>
      <c r="M320" s="1744"/>
      <c r="N320" s="1744"/>
      <c r="O320" s="174" t="s">
        <v>2058</v>
      </c>
      <c r="P320" s="3139" t="s">
        <v>3153</v>
      </c>
      <c r="Q320" s="639"/>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4"/>
      <c r="Q321" s="1222"/>
    </row>
    <row r="322" spans="1:256 1523:1523" ht="23.25" customHeight="1">
      <c r="A322" s="154"/>
      <c r="C322" s="232" t="s">
        <v>1803</v>
      </c>
      <c r="D322" s="233" t="s">
        <v>1170</v>
      </c>
      <c r="E322" s="143"/>
      <c r="F322" s="143"/>
      <c r="G322" s="3140" t="s">
        <v>1172</v>
      </c>
      <c r="H322" s="3141"/>
      <c r="I322" s="3141"/>
      <c r="J322" s="3141"/>
      <c r="K322" s="3141"/>
      <c r="L322" s="3141"/>
      <c r="M322" s="3141"/>
      <c r="N322" s="3142"/>
      <c r="O322" s="236" t="s">
        <v>1803</v>
      </c>
      <c r="P322" s="3135" t="s">
        <v>3153</v>
      </c>
      <c r="Q322" s="633"/>
      <c r="BFO322" s="158" t="s">
        <v>2834</v>
      </c>
    </row>
    <row r="323" spans="1:256 1523:1523" ht="23.25" customHeight="1">
      <c r="A323" s="154"/>
      <c r="C323" s="232" t="s">
        <v>1804</v>
      </c>
      <c r="D323" s="1718" t="s">
        <v>1171</v>
      </c>
      <c r="E323" s="1771"/>
      <c r="F323" s="1772"/>
      <c r="G323" s="3129" t="s">
        <v>2743</v>
      </c>
      <c r="H323" s="3143"/>
      <c r="I323" s="3143"/>
      <c r="J323" s="3143"/>
      <c r="K323" s="3143"/>
      <c r="L323" s="3143"/>
      <c r="M323" s="3143"/>
      <c r="N323" s="3144"/>
      <c r="O323" s="236" t="s">
        <v>1804</v>
      </c>
      <c r="P323" s="3138" t="s">
        <v>3153</v>
      </c>
      <c r="Q323" s="635"/>
    </row>
    <row r="324" spans="1:256 1523:1523" ht="3" customHeight="1">
      <c r="A324" s="1414"/>
      <c r="B324" s="1414"/>
      <c r="C324" s="1414"/>
      <c r="D324" s="1414"/>
      <c r="E324" s="1414"/>
      <c r="F324" s="1414"/>
      <c r="G324" s="1414"/>
      <c r="H324" s="1414"/>
      <c r="I324" s="1414"/>
      <c r="J324" s="1414"/>
      <c r="K324" s="1414"/>
      <c r="L324" s="1414"/>
      <c r="M324" s="1414"/>
      <c r="N324" s="1414"/>
      <c r="O324" s="1414"/>
      <c r="P324" s="1414"/>
      <c r="Q324" s="1414"/>
      <c r="R324" s="1414"/>
      <c r="S324" s="1414"/>
      <c r="T324" s="1414"/>
      <c r="U324" s="1414"/>
      <c r="V324" s="1414"/>
      <c r="W324" s="1414"/>
      <c r="X324" s="1414"/>
      <c r="Y324" s="1414"/>
      <c r="Z324" s="1414"/>
      <c r="AA324" s="1414"/>
      <c r="AB324" s="1414"/>
      <c r="AC324" s="1414"/>
      <c r="AD324" s="1414"/>
      <c r="AE324" s="1222"/>
      <c r="AF324" s="1222"/>
      <c r="AG324" s="1414"/>
      <c r="AH324" s="1414"/>
      <c r="AI324" s="1414"/>
      <c r="AJ324" s="1414"/>
      <c r="AK324" s="1414"/>
      <c r="AL324" s="1414"/>
      <c r="AM324" s="1414"/>
      <c r="AN324" s="1414"/>
      <c r="AO324" s="1414"/>
      <c r="AP324" s="1414"/>
      <c r="AQ324" s="1414"/>
      <c r="AR324" s="1414"/>
      <c r="AS324" s="1414"/>
      <c r="AT324" s="1414"/>
      <c r="AU324" s="1414"/>
      <c r="AV324" s="1414"/>
      <c r="AW324" s="1414"/>
      <c r="AX324" s="1414"/>
      <c r="AY324" s="1414"/>
      <c r="AZ324" s="1414"/>
      <c r="BA324" s="1414"/>
      <c r="BB324" s="1414"/>
      <c r="BC324" s="1414"/>
      <c r="BD324" s="1414"/>
      <c r="BE324" s="1414"/>
      <c r="BF324" s="1414"/>
      <c r="BG324" s="1414"/>
      <c r="BH324" s="1414"/>
      <c r="BI324" s="1414"/>
      <c r="BJ324" s="1414"/>
      <c r="BK324" s="1414"/>
      <c r="BL324" s="1414"/>
      <c r="BM324" s="1414"/>
      <c r="BN324" s="1414"/>
      <c r="BO324" s="1414"/>
      <c r="BP324" s="1414"/>
      <c r="BQ324" s="1414"/>
      <c r="BR324" s="1414"/>
      <c r="BS324" s="1414"/>
      <c r="BT324" s="1414"/>
      <c r="BU324" s="1414"/>
      <c r="BV324" s="1414"/>
      <c r="BW324" s="1414"/>
      <c r="BX324" s="1414"/>
      <c r="BY324" s="1414"/>
      <c r="BZ324" s="1414"/>
      <c r="CA324" s="1414"/>
      <c r="CB324" s="1414"/>
      <c r="CC324" s="1414"/>
      <c r="CD324" s="1414"/>
      <c r="CE324" s="1414"/>
      <c r="CF324" s="1414"/>
      <c r="CG324" s="1414"/>
      <c r="CH324" s="1414"/>
      <c r="CI324" s="1414"/>
      <c r="CJ324" s="1414"/>
      <c r="CK324" s="1414"/>
      <c r="CL324" s="1414"/>
      <c r="CM324" s="1414"/>
      <c r="CN324" s="1414"/>
      <c r="CO324" s="1414"/>
      <c r="CP324" s="1414"/>
      <c r="CQ324" s="1414"/>
      <c r="CR324" s="1414"/>
      <c r="CS324" s="1414"/>
      <c r="CT324" s="1414"/>
      <c r="CU324" s="1414"/>
      <c r="CV324" s="1414"/>
      <c r="CW324" s="1414"/>
      <c r="CX324" s="1414"/>
      <c r="CY324" s="1414"/>
      <c r="CZ324" s="1414"/>
      <c r="DA324" s="1414"/>
      <c r="DB324" s="1414"/>
      <c r="DC324" s="1414"/>
      <c r="DD324" s="1414"/>
      <c r="DE324" s="1414"/>
      <c r="DF324" s="1414"/>
      <c r="DG324" s="1414"/>
      <c r="DH324" s="1414"/>
      <c r="DI324" s="1414"/>
      <c r="DJ324" s="1414"/>
      <c r="DK324" s="1414"/>
      <c r="DL324" s="1414"/>
      <c r="DM324" s="1414"/>
      <c r="DN324" s="1414"/>
      <c r="DO324" s="1414"/>
      <c r="DP324" s="1414"/>
      <c r="DQ324" s="1414"/>
      <c r="DR324" s="1414"/>
      <c r="DS324" s="1414"/>
      <c r="DT324" s="1414"/>
      <c r="DU324" s="1414"/>
      <c r="DV324" s="1414"/>
      <c r="DW324" s="1414"/>
      <c r="DX324" s="1414"/>
      <c r="DY324" s="1414"/>
      <c r="DZ324" s="1414"/>
      <c r="EA324" s="1414"/>
      <c r="EB324" s="1414"/>
      <c r="EC324" s="1414"/>
      <c r="ED324" s="1414"/>
      <c r="EE324" s="1414"/>
      <c r="EF324" s="1414"/>
      <c r="EG324" s="1414"/>
      <c r="EH324" s="1414"/>
      <c r="EI324" s="1414"/>
      <c r="EJ324" s="1414"/>
      <c r="EK324" s="1414"/>
      <c r="EL324" s="1414"/>
      <c r="EM324" s="1414"/>
      <c r="EN324" s="1414"/>
      <c r="EO324" s="1414"/>
      <c r="EP324" s="1414"/>
      <c r="EQ324" s="1414"/>
      <c r="ER324" s="1414"/>
      <c r="ES324" s="1414"/>
      <c r="ET324" s="1414"/>
      <c r="EU324" s="1414"/>
      <c r="EV324" s="1414"/>
      <c r="EW324" s="1414"/>
      <c r="EX324" s="1414"/>
      <c r="EY324" s="1414"/>
      <c r="EZ324" s="1414"/>
      <c r="FA324" s="1414"/>
      <c r="FB324" s="1414"/>
      <c r="FC324" s="1414"/>
      <c r="FD324" s="1414"/>
      <c r="FE324" s="1414"/>
      <c r="FF324" s="1414"/>
      <c r="FG324" s="1414"/>
      <c r="FH324" s="1414"/>
      <c r="FI324" s="1414"/>
      <c r="FJ324" s="1414"/>
      <c r="FK324" s="1414"/>
      <c r="FL324" s="1414"/>
      <c r="FM324" s="1414"/>
      <c r="FN324" s="1414"/>
      <c r="FO324" s="1414"/>
      <c r="FP324" s="1414"/>
      <c r="FQ324" s="1414"/>
      <c r="FR324" s="1414"/>
      <c r="FS324" s="1414"/>
      <c r="FT324" s="1414"/>
      <c r="FU324" s="1414"/>
      <c r="FV324" s="1414"/>
      <c r="FW324" s="1414"/>
      <c r="FX324" s="1414"/>
      <c r="FY324" s="1414"/>
      <c r="FZ324" s="1414"/>
      <c r="GA324" s="1414"/>
      <c r="GB324" s="1414"/>
      <c r="GC324" s="1414"/>
      <c r="GD324" s="1414"/>
      <c r="GE324" s="1414"/>
      <c r="GF324" s="1414"/>
      <c r="GG324" s="1414"/>
      <c r="GH324" s="1414"/>
      <c r="GI324" s="1414"/>
      <c r="GJ324" s="1414"/>
      <c r="GK324" s="1414"/>
      <c r="GL324" s="1414"/>
      <c r="GM324" s="1414"/>
      <c r="GN324" s="1414"/>
      <c r="GO324" s="1414"/>
      <c r="GP324" s="1414"/>
      <c r="GQ324" s="1414"/>
      <c r="GR324" s="1414"/>
      <c r="GS324" s="1414"/>
      <c r="GT324" s="1414"/>
      <c r="GU324" s="1414"/>
      <c r="GV324" s="1414"/>
      <c r="GW324" s="1414"/>
      <c r="GX324" s="1414"/>
      <c r="GY324" s="1414"/>
      <c r="GZ324" s="1414"/>
      <c r="HA324" s="1414"/>
      <c r="HB324" s="1414"/>
      <c r="HC324" s="1414"/>
      <c r="HD324" s="1414"/>
      <c r="HE324" s="1414"/>
      <c r="HF324" s="1414"/>
      <c r="HG324" s="1414"/>
      <c r="HH324" s="1414"/>
      <c r="HI324" s="1414"/>
      <c r="HJ324" s="1414"/>
      <c r="HK324" s="1414"/>
      <c r="HL324" s="1414"/>
      <c r="HM324" s="1414"/>
      <c r="HN324" s="1414"/>
      <c r="HO324" s="1414"/>
      <c r="HP324" s="1414"/>
      <c r="HQ324" s="1414"/>
      <c r="HR324" s="1414"/>
      <c r="HS324" s="1414"/>
      <c r="HT324" s="1414"/>
      <c r="HU324" s="1414"/>
      <c r="HV324" s="1414"/>
      <c r="HW324" s="1414"/>
      <c r="HX324" s="1414"/>
      <c r="HY324" s="1414"/>
      <c r="HZ324" s="1414"/>
      <c r="IA324" s="1414"/>
      <c r="IB324" s="1414"/>
      <c r="IC324" s="1414"/>
      <c r="ID324" s="1414"/>
      <c r="IE324" s="1414"/>
      <c r="IF324" s="1414"/>
      <c r="IG324" s="1414"/>
      <c r="IH324" s="1414"/>
      <c r="II324" s="1414"/>
      <c r="IJ324" s="1414"/>
      <c r="IK324" s="1414"/>
      <c r="IL324" s="1414"/>
      <c r="IM324" s="1414"/>
      <c r="IN324" s="1414"/>
      <c r="IO324" s="1414"/>
      <c r="IP324" s="1414"/>
      <c r="IQ324" s="1414"/>
      <c r="IR324" s="1414"/>
      <c r="IS324" s="1414"/>
      <c r="IT324" s="1414"/>
      <c r="IU324" s="1414"/>
      <c r="IV324" s="1414"/>
    </row>
    <row r="325" spans="1:256 1523:1523" s="143" customFormat="1" ht="22.5" customHeight="1">
      <c r="B325" s="152" t="s">
        <v>779</v>
      </c>
      <c r="C325" s="1752" t="s">
        <v>2766</v>
      </c>
      <c r="D325" s="1752"/>
      <c r="E325" s="1752"/>
      <c r="F325" s="1752"/>
      <c r="G325" s="1752"/>
      <c r="H325" s="1752"/>
      <c r="I325" s="1752"/>
      <c r="J325" s="1752"/>
      <c r="K325" s="1752"/>
      <c r="L325" s="1752"/>
      <c r="M325" s="1752"/>
      <c r="N325" s="1752"/>
      <c r="O325" s="497" t="s">
        <v>779</v>
      </c>
      <c r="P325" s="1414"/>
      <c r="Q325" s="1222"/>
      <c r="AE325" s="528"/>
      <c r="AF325" s="528"/>
    </row>
    <row r="326" spans="1:256 1523:1523" s="143" customFormat="1" ht="11.25" customHeight="1">
      <c r="A326" s="154"/>
      <c r="C326" s="232" t="s">
        <v>1803</v>
      </c>
      <c r="D326" s="3126" t="s">
        <v>1006</v>
      </c>
      <c r="E326" s="3127"/>
      <c r="F326" s="3127"/>
      <c r="G326" s="3127"/>
      <c r="H326" s="3127"/>
      <c r="I326" s="3127"/>
      <c r="J326" s="3127"/>
      <c r="K326" s="3127"/>
      <c r="L326" s="3127"/>
      <c r="M326" s="3127"/>
      <c r="N326" s="3128"/>
      <c r="O326" s="236" t="s">
        <v>1803</v>
      </c>
      <c r="P326" s="3135"/>
      <c r="Q326" s="633"/>
      <c r="AE326" s="528"/>
      <c r="AF326" s="528"/>
    </row>
    <row r="327" spans="1:256 1523:1523" s="143" customFormat="1" ht="11.25" customHeight="1">
      <c r="A327" s="154"/>
      <c r="C327" s="232" t="s">
        <v>1804</v>
      </c>
      <c r="D327" s="3129" t="s">
        <v>1006</v>
      </c>
      <c r="E327" s="3130"/>
      <c r="F327" s="3130"/>
      <c r="G327" s="3130"/>
      <c r="H327" s="3130"/>
      <c r="I327" s="3130"/>
      <c r="J327" s="3130"/>
      <c r="K327" s="3130"/>
      <c r="L327" s="3130"/>
      <c r="M327" s="3130"/>
      <c r="N327" s="3131"/>
      <c r="O327" s="236" t="s">
        <v>1804</v>
      </c>
      <c r="P327" s="3138"/>
      <c r="Q327" s="635"/>
      <c r="AE327" s="528"/>
      <c r="AF327" s="528"/>
    </row>
    <row r="328" spans="1:256 1523:1523" ht="3" customHeight="1">
      <c r="A328" s="1414"/>
      <c r="B328" s="1414"/>
      <c r="C328" s="1414"/>
      <c r="D328" s="1414"/>
      <c r="E328" s="1414"/>
      <c r="F328" s="1414"/>
      <c r="G328" s="1414"/>
      <c r="H328" s="1414"/>
      <c r="I328" s="1414"/>
      <c r="J328" s="1414"/>
      <c r="K328" s="1414"/>
      <c r="L328" s="1414"/>
      <c r="M328" s="1414"/>
      <c r="N328" s="1414"/>
      <c r="O328" s="1414"/>
      <c r="P328" s="1414"/>
      <c r="Q328" s="1414"/>
      <c r="R328" s="1414"/>
      <c r="S328" s="1414"/>
      <c r="T328" s="1414"/>
      <c r="U328" s="1414"/>
      <c r="V328" s="1414"/>
      <c r="W328" s="1414"/>
      <c r="X328" s="1414"/>
      <c r="Y328" s="1414"/>
      <c r="Z328" s="1414"/>
      <c r="AA328" s="1414"/>
      <c r="AB328" s="1414"/>
      <c r="AC328" s="1414"/>
      <c r="AD328" s="1414"/>
      <c r="AE328" s="1222"/>
      <c r="AF328" s="1222"/>
      <c r="AG328" s="1414"/>
      <c r="AH328" s="1414"/>
      <c r="AI328" s="1414"/>
      <c r="AJ328" s="1414"/>
      <c r="AK328" s="1414"/>
      <c r="AL328" s="1414"/>
      <c r="AM328" s="1414"/>
      <c r="AN328" s="1414"/>
      <c r="AO328" s="1414"/>
      <c r="AP328" s="1414"/>
      <c r="AQ328" s="1414"/>
      <c r="AR328" s="1414"/>
      <c r="AS328" s="1414"/>
      <c r="AT328" s="1414"/>
      <c r="AU328" s="1414"/>
      <c r="AV328" s="1414"/>
      <c r="AW328" s="1414"/>
      <c r="AX328" s="1414"/>
      <c r="AY328" s="1414"/>
      <c r="AZ328" s="1414"/>
      <c r="BA328" s="1414"/>
      <c r="BB328" s="1414"/>
      <c r="BC328" s="1414"/>
      <c r="BD328" s="1414"/>
      <c r="BE328" s="1414"/>
      <c r="BF328" s="1414"/>
      <c r="BG328" s="1414"/>
      <c r="BH328" s="1414"/>
      <c r="BI328" s="1414"/>
      <c r="BJ328" s="1414"/>
      <c r="BK328" s="1414"/>
      <c r="BL328" s="1414"/>
      <c r="BM328" s="1414"/>
      <c r="BN328" s="1414"/>
      <c r="BO328" s="1414"/>
      <c r="BP328" s="1414"/>
      <c r="BQ328" s="1414"/>
      <c r="BR328" s="1414"/>
      <c r="BS328" s="1414"/>
      <c r="BT328" s="1414"/>
      <c r="BU328" s="1414"/>
      <c r="BV328" s="1414"/>
      <c r="BW328" s="1414"/>
      <c r="BX328" s="1414"/>
      <c r="BY328" s="1414"/>
      <c r="BZ328" s="1414"/>
      <c r="CA328" s="1414"/>
      <c r="CB328" s="1414"/>
      <c r="CC328" s="1414"/>
      <c r="CD328" s="1414"/>
      <c r="CE328" s="1414"/>
      <c r="CF328" s="1414"/>
      <c r="CG328" s="1414"/>
      <c r="CH328" s="1414"/>
      <c r="CI328" s="1414"/>
      <c r="CJ328" s="1414"/>
      <c r="CK328" s="1414"/>
      <c r="CL328" s="1414"/>
      <c r="CM328" s="1414"/>
      <c r="CN328" s="1414"/>
      <c r="CO328" s="1414"/>
      <c r="CP328" s="1414"/>
      <c r="CQ328" s="1414"/>
      <c r="CR328" s="1414"/>
      <c r="CS328" s="1414"/>
      <c r="CT328" s="1414"/>
      <c r="CU328" s="1414"/>
      <c r="CV328" s="1414"/>
      <c r="CW328" s="1414"/>
      <c r="CX328" s="1414"/>
      <c r="CY328" s="1414"/>
      <c r="CZ328" s="1414"/>
      <c r="DA328" s="1414"/>
      <c r="DB328" s="1414"/>
      <c r="DC328" s="1414"/>
      <c r="DD328" s="1414"/>
      <c r="DE328" s="1414"/>
      <c r="DF328" s="1414"/>
      <c r="DG328" s="1414"/>
      <c r="DH328" s="1414"/>
      <c r="DI328" s="1414"/>
      <c r="DJ328" s="1414"/>
      <c r="DK328" s="1414"/>
      <c r="DL328" s="1414"/>
      <c r="DM328" s="1414"/>
      <c r="DN328" s="1414"/>
      <c r="DO328" s="1414"/>
      <c r="DP328" s="1414"/>
      <c r="DQ328" s="1414"/>
      <c r="DR328" s="1414"/>
      <c r="DS328" s="1414"/>
      <c r="DT328" s="1414"/>
      <c r="DU328" s="1414"/>
      <c r="DV328" s="1414"/>
      <c r="DW328" s="1414"/>
      <c r="DX328" s="1414"/>
      <c r="DY328" s="1414"/>
      <c r="DZ328" s="1414"/>
      <c r="EA328" s="1414"/>
      <c r="EB328" s="1414"/>
      <c r="EC328" s="1414"/>
      <c r="ED328" s="1414"/>
      <c r="EE328" s="1414"/>
      <c r="EF328" s="1414"/>
      <c r="EG328" s="1414"/>
      <c r="EH328" s="1414"/>
      <c r="EI328" s="1414"/>
      <c r="EJ328" s="1414"/>
      <c r="EK328" s="1414"/>
      <c r="EL328" s="1414"/>
      <c r="EM328" s="1414"/>
      <c r="EN328" s="1414"/>
      <c r="EO328" s="1414"/>
      <c r="EP328" s="1414"/>
      <c r="EQ328" s="1414"/>
      <c r="ER328" s="1414"/>
      <c r="ES328" s="1414"/>
      <c r="ET328" s="1414"/>
      <c r="EU328" s="1414"/>
      <c r="EV328" s="1414"/>
      <c r="EW328" s="1414"/>
      <c r="EX328" s="1414"/>
      <c r="EY328" s="1414"/>
      <c r="EZ328" s="1414"/>
      <c r="FA328" s="1414"/>
      <c r="FB328" s="1414"/>
      <c r="FC328" s="1414"/>
      <c r="FD328" s="1414"/>
      <c r="FE328" s="1414"/>
      <c r="FF328" s="1414"/>
      <c r="FG328" s="1414"/>
      <c r="FH328" s="1414"/>
      <c r="FI328" s="1414"/>
      <c r="FJ328" s="1414"/>
      <c r="FK328" s="1414"/>
      <c r="FL328" s="1414"/>
      <c r="FM328" s="1414"/>
      <c r="FN328" s="1414"/>
      <c r="FO328" s="1414"/>
      <c r="FP328" s="1414"/>
      <c r="FQ328" s="1414"/>
      <c r="FR328" s="1414"/>
      <c r="FS328" s="1414"/>
      <c r="FT328" s="1414"/>
      <c r="FU328" s="1414"/>
      <c r="FV328" s="1414"/>
      <c r="FW328" s="1414"/>
      <c r="FX328" s="1414"/>
      <c r="FY328" s="1414"/>
      <c r="FZ328" s="1414"/>
      <c r="GA328" s="1414"/>
      <c r="GB328" s="1414"/>
      <c r="GC328" s="1414"/>
      <c r="GD328" s="1414"/>
      <c r="GE328" s="1414"/>
      <c r="GF328" s="1414"/>
      <c r="GG328" s="1414"/>
      <c r="GH328" s="1414"/>
      <c r="GI328" s="1414"/>
      <c r="GJ328" s="1414"/>
      <c r="GK328" s="1414"/>
      <c r="GL328" s="1414"/>
      <c r="GM328" s="1414"/>
      <c r="GN328" s="1414"/>
      <c r="GO328" s="1414"/>
      <c r="GP328" s="1414"/>
      <c r="GQ328" s="1414"/>
      <c r="GR328" s="1414"/>
      <c r="GS328" s="1414"/>
      <c r="GT328" s="1414"/>
      <c r="GU328" s="1414"/>
      <c r="GV328" s="1414"/>
      <c r="GW328" s="1414"/>
      <c r="GX328" s="1414"/>
      <c r="GY328" s="1414"/>
      <c r="GZ328" s="1414"/>
      <c r="HA328" s="1414"/>
      <c r="HB328" s="1414"/>
      <c r="HC328" s="1414"/>
      <c r="HD328" s="1414"/>
      <c r="HE328" s="1414"/>
      <c r="HF328" s="1414"/>
      <c r="HG328" s="1414"/>
      <c r="HH328" s="1414"/>
      <c r="HI328" s="1414"/>
      <c r="HJ328" s="1414"/>
      <c r="HK328" s="1414"/>
      <c r="HL328" s="1414"/>
      <c r="HM328" s="1414"/>
      <c r="HN328" s="1414"/>
      <c r="HO328" s="1414"/>
      <c r="HP328" s="1414"/>
      <c r="HQ328" s="1414"/>
      <c r="HR328" s="1414"/>
      <c r="HS328" s="1414"/>
      <c r="HT328" s="1414"/>
      <c r="HU328" s="1414"/>
      <c r="HV328" s="1414"/>
      <c r="HW328" s="1414"/>
      <c r="HX328" s="1414"/>
      <c r="HY328" s="1414"/>
      <c r="HZ328" s="1414"/>
      <c r="IA328" s="1414"/>
      <c r="IB328" s="1414"/>
      <c r="IC328" s="1414"/>
      <c r="ID328" s="1414"/>
      <c r="IE328" s="1414"/>
      <c r="IF328" s="1414"/>
      <c r="IG328" s="1414"/>
      <c r="IH328" s="1414"/>
      <c r="II328" s="1414"/>
      <c r="IJ328" s="1414"/>
      <c r="IK328" s="1414"/>
      <c r="IL328" s="1414"/>
      <c r="IM328" s="1414"/>
      <c r="IN328" s="1414"/>
      <c r="IO328" s="1414"/>
      <c r="IP328" s="1414"/>
      <c r="IQ328" s="1414"/>
      <c r="IR328" s="1414"/>
      <c r="IS328" s="1414"/>
      <c r="IT328" s="1414"/>
      <c r="IU328" s="1414"/>
      <c r="IV328" s="1414"/>
    </row>
    <row r="329" spans="1:256 1523:1523" ht="11.25" customHeight="1">
      <c r="B329" s="151" t="s">
        <v>1936</v>
      </c>
      <c r="D329" s="151"/>
      <c r="E329" s="151"/>
      <c r="F329" s="151"/>
      <c r="G329" s="151"/>
      <c r="H329" s="41"/>
      <c r="I329" s="1422"/>
      <c r="J329" s="1422"/>
      <c r="K329" s="1422"/>
      <c r="L329" s="1414"/>
      <c r="M329" s="1414"/>
      <c r="N329" s="1414"/>
      <c r="O329" s="1414"/>
      <c r="P329" s="1414"/>
      <c r="Q329" s="1222"/>
    </row>
    <row r="330" spans="1:256 1523:1523" ht="11.45" customHeight="1">
      <c r="A330" s="3058" t="s">
        <v>4397</v>
      </c>
      <c r="B330" s="3059"/>
      <c r="C330" s="3059"/>
      <c r="D330" s="3059"/>
      <c r="E330" s="3059"/>
      <c r="F330" s="3059"/>
      <c r="G330" s="3059"/>
      <c r="H330" s="3059"/>
      <c r="I330" s="3059"/>
      <c r="J330" s="3059"/>
      <c r="K330" s="3059"/>
      <c r="L330" s="3059"/>
      <c r="M330" s="3059"/>
      <c r="N330" s="3059"/>
      <c r="O330" s="3059"/>
      <c r="P330" s="3059"/>
      <c r="Q330" s="3060"/>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8">
        <v>20</v>
      </c>
      <c r="B333" s="1428" t="s">
        <v>3025</v>
      </c>
      <c r="C333" s="1428"/>
      <c r="D333" s="1421"/>
      <c r="E333" s="1421"/>
      <c r="F333" s="1421"/>
      <c r="G333" s="1421"/>
      <c r="H333" s="1421"/>
      <c r="O333" s="142" t="s">
        <v>1938</v>
      </c>
      <c r="P333" s="1711"/>
      <c r="Q333" s="1712"/>
    </row>
    <row r="334" spans="1:256 1523:1523" ht="11.45" customHeight="1">
      <c r="B334" s="57" t="s">
        <v>3026</v>
      </c>
      <c r="P334" s="3093" t="s">
        <v>3153</v>
      </c>
      <c r="Q334" s="630"/>
    </row>
    <row r="335" spans="1:256 1523:1523" ht="11.45" customHeight="1">
      <c r="B335" s="155" t="s">
        <v>2431</v>
      </c>
      <c r="P335" s="3094" t="s">
        <v>3156</v>
      </c>
      <c r="Q335" s="632"/>
    </row>
    <row r="336" spans="1:256 1523:1523" ht="11.45" customHeight="1">
      <c r="B336" s="57" t="s">
        <v>3027</v>
      </c>
      <c r="M336" s="3145" t="s">
        <v>3029</v>
      </c>
      <c r="N336" s="3146"/>
      <c r="O336" s="3147"/>
    </row>
    <row r="337" spans="1:31" ht="11.45" customHeight="1">
      <c r="B337" s="460" t="s">
        <v>2432</v>
      </c>
      <c r="M337" s="1756" t="s">
        <v>3028</v>
      </c>
      <c r="N337" s="1757"/>
      <c r="O337" s="1758"/>
    </row>
    <row r="338" spans="1:31" ht="11.25" customHeight="1">
      <c r="B338" s="151" t="s">
        <v>1936</v>
      </c>
      <c r="D338" s="151"/>
      <c r="E338" s="151"/>
      <c r="F338" s="151"/>
      <c r="G338" s="151"/>
      <c r="H338" s="41"/>
      <c r="I338" s="1422"/>
      <c r="J338" s="1422"/>
      <c r="K338" s="1422"/>
      <c r="L338" s="1414"/>
      <c r="M338" s="1414"/>
      <c r="N338" s="1414"/>
      <c r="O338" s="1414"/>
      <c r="P338" s="1414"/>
      <c r="Q338" s="1222"/>
    </row>
    <row r="339" spans="1:31" ht="13.15" customHeight="1">
      <c r="A339" s="3058" t="s">
        <v>4371</v>
      </c>
      <c r="B339" s="3059"/>
      <c r="C339" s="3059"/>
      <c r="D339" s="3059"/>
      <c r="E339" s="3059"/>
      <c r="F339" s="3059"/>
      <c r="G339" s="3059"/>
      <c r="H339" s="3059"/>
      <c r="I339" s="3059"/>
      <c r="J339" s="3059"/>
      <c r="K339" s="3059"/>
      <c r="L339" s="3059"/>
      <c r="M339" s="3059"/>
      <c r="N339" s="3059"/>
      <c r="O339" s="3059"/>
      <c r="P339" s="3059"/>
      <c r="Q339" s="3060"/>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8">
        <v>21</v>
      </c>
      <c r="B342" s="4" t="s">
        <v>2761</v>
      </c>
      <c r="C342" s="4"/>
      <c r="D342" s="92"/>
      <c r="E342" s="1421"/>
      <c r="F342" s="1421"/>
      <c r="G342" s="1421"/>
      <c r="H342" s="1421"/>
      <c r="I342" s="1421"/>
      <c r="J342" s="1421"/>
      <c r="K342" s="1421"/>
      <c r="L342" s="1421"/>
      <c r="M342" s="1421"/>
      <c r="O342" s="142" t="s">
        <v>1938</v>
      </c>
      <c r="P342" s="1711"/>
      <c r="Q342" s="1712"/>
    </row>
    <row r="343" spans="1:31">
      <c r="B343" s="152" t="s">
        <v>2058</v>
      </c>
      <c r="C343" s="1718" t="s">
        <v>4089</v>
      </c>
      <c r="D343" s="1718"/>
      <c r="E343" s="1718"/>
      <c r="F343" s="1718"/>
      <c r="G343" s="1718"/>
      <c r="H343" s="1718"/>
      <c r="I343" s="1718"/>
      <c r="J343" s="1718"/>
      <c r="K343" s="1718"/>
      <c r="L343" s="1718"/>
      <c r="M343" s="1718"/>
      <c r="N343" s="1718"/>
      <c r="O343" s="174" t="s">
        <v>2058</v>
      </c>
      <c r="P343" s="3093" t="s">
        <v>3156</v>
      </c>
      <c r="Q343" s="630"/>
    </row>
    <row r="344" spans="1:31">
      <c r="B344" s="152" t="s">
        <v>2061</v>
      </c>
      <c r="C344" s="1718" t="s">
        <v>4090</v>
      </c>
      <c r="D344" s="1718"/>
      <c r="E344" s="1718"/>
      <c r="F344" s="1718"/>
      <c r="G344" s="1718"/>
      <c r="H344" s="1718"/>
      <c r="I344" s="1718"/>
      <c r="J344" s="1718"/>
      <c r="K344" s="1718"/>
      <c r="L344" s="1718"/>
      <c r="M344" s="1718"/>
      <c r="N344" s="1718"/>
      <c r="O344" s="174" t="s">
        <v>2061</v>
      </c>
      <c r="P344" s="3096"/>
      <c r="Q344" s="631"/>
    </row>
    <row r="345" spans="1:31" ht="22.5" customHeight="1">
      <c r="B345" s="152" t="s">
        <v>779</v>
      </c>
      <c r="C345" s="1718" t="s">
        <v>3736</v>
      </c>
      <c r="D345" s="1718"/>
      <c r="E345" s="1718"/>
      <c r="F345" s="1718"/>
      <c r="G345" s="1718"/>
      <c r="H345" s="1718"/>
      <c r="I345" s="1718"/>
      <c r="J345" s="1718"/>
      <c r="K345" s="1718"/>
      <c r="L345" s="1718"/>
      <c r="M345" s="1718"/>
      <c r="N345" s="1718"/>
      <c r="O345" s="174" t="s">
        <v>779</v>
      </c>
      <c r="P345" s="3094" t="s">
        <v>3156</v>
      </c>
      <c r="Q345" s="631"/>
    </row>
    <row r="346" spans="1:31" ht="11.25" customHeight="1">
      <c r="B346" s="151" t="s">
        <v>1936</v>
      </c>
      <c r="D346" s="151"/>
      <c r="E346" s="151"/>
      <c r="F346" s="151"/>
      <c r="G346" s="151"/>
      <c r="H346" s="41"/>
      <c r="I346" s="1422"/>
      <c r="J346" s="1422"/>
      <c r="K346" s="1422"/>
      <c r="L346" s="1414"/>
      <c r="M346" s="1414"/>
      <c r="N346" s="1414"/>
      <c r="O346" s="1414"/>
      <c r="P346" s="1414"/>
      <c r="Q346" s="1222"/>
    </row>
    <row r="347" spans="1:31" ht="11.45" customHeight="1">
      <c r="A347" s="3058" t="s">
        <v>4342</v>
      </c>
      <c r="B347" s="3059"/>
      <c r="C347" s="3059"/>
      <c r="D347" s="3059"/>
      <c r="E347" s="3059"/>
      <c r="F347" s="3059"/>
      <c r="G347" s="3059"/>
      <c r="H347" s="3059"/>
      <c r="I347" s="3059"/>
      <c r="J347" s="3059"/>
      <c r="K347" s="3059"/>
      <c r="L347" s="3059"/>
      <c r="M347" s="3059"/>
      <c r="N347" s="3059"/>
      <c r="O347" s="3059"/>
      <c r="P347" s="3059"/>
      <c r="Q347" s="3060"/>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4"/>
      <c r="B350" s="1422"/>
      <c r="C350" s="1421"/>
      <c r="D350" s="1421"/>
      <c r="E350" s="1421"/>
      <c r="F350" s="1421"/>
      <c r="G350" s="1421"/>
      <c r="H350" s="1421"/>
      <c r="I350" s="1421"/>
      <c r="J350" s="1421"/>
      <c r="K350" s="1421"/>
      <c r="L350" s="1421"/>
      <c r="M350" s="1421"/>
      <c r="N350" s="1421"/>
      <c r="O350" s="1421"/>
      <c r="P350" s="1421"/>
      <c r="Q350" s="1222"/>
      <c r="R350" s="8"/>
      <c r="S350" s="8"/>
    </row>
    <row r="351" spans="1:31" ht="13.9" customHeight="1">
      <c r="A351" s="1428">
        <v>22</v>
      </c>
      <c r="B351" s="4" t="s">
        <v>2782</v>
      </c>
      <c r="C351" s="4"/>
      <c r="D351" s="4"/>
      <c r="E351" s="4"/>
      <c r="F351" s="4"/>
      <c r="G351" s="4"/>
      <c r="H351" s="1421"/>
      <c r="I351" s="1421"/>
      <c r="J351" s="1421"/>
      <c r="K351" s="1421"/>
      <c r="L351" s="1421"/>
      <c r="M351" s="1421"/>
      <c r="O351" s="142" t="s">
        <v>1938</v>
      </c>
      <c r="P351" s="1711"/>
      <c r="Q351" s="1712"/>
    </row>
    <row r="352" spans="1:31" ht="12" customHeight="1">
      <c r="B352" s="48" t="s">
        <v>2058</v>
      </c>
      <c r="C352" s="126" t="s">
        <v>2780</v>
      </c>
      <c r="D352" s="161"/>
      <c r="E352" s="161"/>
      <c r="F352" s="161"/>
      <c r="G352" s="161"/>
      <c r="H352" s="161"/>
      <c r="I352" s="43"/>
      <c r="J352" s="525" t="s">
        <v>2058</v>
      </c>
      <c r="K352" s="3073" t="s">
        <v>1006</v>
      </c>
      <c r="L352" s="3074"/>
      <c r="M352" s="3074"/>
      <c r="N352" s="3074"/>
      <c r="O352" s="3074"/>
      <c r="P352" s="3075"/>
      <c r="Q352" s="627"/>
    </row>
    <row r="353" spans="1:32" ht="21.75" customHeight="1">
      <c r="B353" s="152" t="s">
        <v>2061</v>
      </c>
      <c r="C353" s="1719" t="s">
        <v>3890</v>
      </c>
      <c r="D353" s="1719"/>
      <c r="E353" s="1719"/>
      <c r="F353" s="1719"/>
      <c r="G353" s="1719"/>
      <c r="H353" s="1719"/>
      <c r="I353" s="1719"/>
      <c r="J353" s="1719"/>
      <c r="K353" s="1719"/>
      <c r="L353" s="1719"/>
      <c r="M353" s="1719"/>
      <c r="N353" s="1719"/>
      <c r="O353" s="174" t="s">
        <v>2061</v>
      </c>
      <c r="P353" s="3135"/>
      <c r="Q353" s="630"/>
    </row>
    <row r="354" spans="1:32" ht="21.75" customHeight="1">
      <c r="B354" s="152" t="s">
        <v>779</v>
      </c>
      <c r="C354" s="1718" t="s">
        <v>3891</v>
      </c>
      <c r="D354" s="1718"/>
      <c r="E354" s="1718"/>
      <c r="F354" s="1718"/>
      <c r="G354" s="1718"/>
      <c r="H354" s="1718"/>
      <c r="I354" s="1718"/>
      <c r="J354" s="1718"/>
      <c r="K354" s="1718"/>
      <c r="L354" s="1718"/>
      <c r="M354" s="1718"/>
      <c r="N354" s="1718"/>
      <c r="O354" s="174" t="s">
        <v>779</v>
      </c>
      <c r="P354" s="3097"/>
      <c r="Q354" s="634"/>
    </row>
    <row r="355" spans="1:32" ht="11.45" customHeight="1">
      <c r="B355" s="48" t="s">
        <v>2193</v>
      </c>
      <c r="C355" s="54" t="s">
        <v>2781</v>
      </c>
      <c r="D355" s="54"/>
      <c r="E355" s="54"/>
      <c r="F355" s="54"/>
      <c r="G355" s="54"/>
      <c r="H355" s="54"/>
      <c r="I355" s="54"/>
      <c r="J355" s="54"/>
      <c r="K355" s="54"/>
      <c r="L355" s="54"/>
      <c r="M355" s="54"/>
      <c r="O355" s="525" t="s">
        <v>2193</v>
      </c>
      <c r="P355" s="3096"/>
      <c r="Q355" s="631"/>
    </row>
    <row r="356" spans="1:32" s="143" customFormat="1" ht="21.75" customHeight="1">
      <c r="B356" s="152" t="s">
        <v>1801</v>
      </c>
      <c r="C356" s="1718" t="s">
        <v>3892</v>
      </c>
      <c r="D356" s="1718"/>
      <c r="E356" s="1718"/>
      <c r="F356" s="1718"/>
      <c r="G356" s="1718"/>
      <c r="H356" s="1718"/>
      <c r="I356" s="1718"/>
      <c r="J356" s="1718"/>
      <c r="K356" s="1718"/>
      <c r="L356" s="1718"/>
      <c r="M356" s="1718"/>
      <c r="N356" s="1718"/>
      <c r="O356" s="174" t="s">
        <v>1801</v>
      </c>
      <c r="P356" s="3148"/>
      <c r="Q356" s="1179"/>
      <c r="AE356" s="528"/>
      <c r="AF356" s="528"/>
    </row>
    <row r="357" spans="1:32" s="143" customFormat="1" ht="11.45" customHeight="1">
      <c r="B357" s="152" t="s">
        <v>1802</v>
      </c>
      <c r="C357" s="1718" t="s">
        <v>2783</v>
      </c>
      <c r="D357" s="1718"/>
      <c r="E357" s="1718"/>
      <c r="F357" s="1718"/>
      <c r="G357" s="1718"/>
      <c r="H357" s="1718"/>
      <c r="I357" s="1718"/>
      <c r="J357" s="1718"/>
      <c r="K357" s="1718"/>
      <c r="L357" s="1718"/>
      <c r="M357" s="1718"/>
      <c r="N357" s="1718"/>
      <c r="O357" s="174" t="s">
        <v>1802</v>
      </c>
      <c r="P357" s="3135"/>
      <c r="Q357" s="633"/>
      <c r="AE357" s="528"/>
      <c r="AF357" s="528"/>
    </row>
    <row r="358" spans="1:32" s="143" customFormat="1" ht="11.45" customHeight="1">
      <c r="B358" s="152"/>
      <c r="C358" s="232" t="s">
        <v>1803</v>
      </c>
      <c r="D358" s="1178" t="s">
        <v>3893</v>
      </c>
      <c r="E358" s="1421"/>
      <c r="F358" s="1421"/>
      <c r="G358" s="1421"/>
      <c r="H358" s="1421"/>
      <c r="I358" s="1421"/>
      <c r="J358" s="1421"/>
      <c r="K358" s="1421"/>
      <c r="L358" s="1421"/>
      <c r="M358" s="1421"/>
      <c r="N358" s="1421"/>
      <c r="O358" s="174"/>
      <c r="P358" s="3138"/>
      <c r="Q358" s="635"/>
      <c r="AE358" s="528"/>
      <c r="AF358" s="528"/>
    </row>
    <row r="359" spans="1:32" ht="21.75" customHeight="1">
      <c r="B359" s="152" t="s">
        <v>2021</v>
      </c>
      <c r="C359" s="1718" t="s">
        <v>3894</v>
      </c>
      <c r="D359" s="1718"/>
      <c r="E359" s="1718"/>
      <c r="F359" s="1718"/>
      <c r="G359" s="1718"/>
      <c r="H359" s="1718"/>
      <c r="I359" s="1718"/>
      <c r="J359" s="1718"/>
      <c r="K359" s="1718"/>
      <c r="L359" s="1718"/>
      <c r="M359" s="1718"/>
      <c r="N359" s="1718"/>
      <c r="O359" s="174" t="s">
        <v>2021</v>
      </c>
      <c r="P359" s="3135"/>
      <c r="Q359" s="633"/>
    </row>
    <row r="360" spans="1:32" ht="33" customHeight="1">
      <c r="B360" s="152" t="s">
        <v>3559</v>
      </c>
      <c r="C360" s="1745" t="s">
        <v>3895</v>
      </c>
      <c r="D360" s="1745"/>
      <c r="E360" s="1745"/>
      <c r="F360" s="1745"/>
      <c r="G360" s="1745"/>
      <c r="H360" s="1745"/>
      <c r="I360" s="1745"/>
      <c r="J360" s="1745"/>
      <c r="K360" s="1745"/>
      <c r="L360" s="1745"/>
      <c r="M360" s="1745"/>
      <c r="N360" s="1745"/>
      <c r="O360" s="174" t="s">
        <v>3559</v>
      </c>
      <c r="P360" s="3138"/>
      <c r="Q360" s="635"/>
    </row>
    <row r="361" spans="1:32" ht="11.25" customHeight="1">
      <c r="B361" s="151" t="s">
        <v>1936</v>
      </c>
      <c r="D361" s="151"/>
      <c r="E361" s="151"/>
      <c r="F361" s="151"/>
      <c r="G361" s="151"/>
      <c r="H361" s="41"/>
      <c r="I361" s="1422"/>
      <c r="J361" s="1422"/>
      <c r="K361" s="1422"/>
      <c r="L361" s="1414"/>
      <c r="M361" s="1414"/>
      <c r="N361" s="1414"/>
      <c r="O361" s="1414"/>
      <c r="P361" s="1414"/>
      <c r="Q361" s="1222"/>
    </row>
    <row r="362" spans="1:32" ht="11.45" customHeight="1">
      <c r="A362" s="3058" t="s">
        <v>4343</v>
      </c>
      <c r="B362" s="3059"/>
      <c r="C362" s="3059"/>
      <c r="D362" s="3059"/>
      <c r="E362" s="3059"/>
      <c r="F362" s="3059"/>
      <c r="G362" s="3059"/>
      <c r="H362" s="3059"/>
      <c r="I362" s="3059"/>
      <c r="J362" s="3059"/>
      <c r="K362" s="3059"/>
      <c r="L362" s="3059"/>
      <c r="M362" s="3059"/>
      <c r="N362" s="3059"/>
      <c r="O362" s="3059"/>
      <c r="P362" s="3059"/>
      <c r="Q362" s="3060"/>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4"/>
      <c r="B365" s="1422"/>
      <c r="C365" s="1421"/>
      <c r="D365" s="1421"/>
      <c r="E365" s="1421"/>
      <c r="F365" s="1421"/>
      <c r="G365" s="1421"/>
      <c r="H365" s="1421"/>
      <c r="I365" s="1421"/>
      <c r="J365" s="1421"/>
      <c r="K365" s="1421"/>
      <c r="L365" s="1421"/>
      <c r="M365" s="1421"/>
      <c r="Q365" s="1222"/>
    </row>
    <row r="366" spans="1:32" ht="13.9" customHeight="1">
      <c r="A366" s="1428">
        <v>23</v>
      </c>
      <c r="B366" s="4" t="s">
        <v>2784</v>
      </c>
      <c r="C366" s="4"/>
      <c r="D366" s="4"/>
      <c r="E366" s="4"/>
      <c r="F366" s="4"/>
      <c r="G366" s="4"/>
      <c r="H366" s="1421"/>
      <c r="I366" s="1421"/>
      <c r="J366" s="1421"/>
      <c r="O366" s="142" t="s">
        <v>1938</v>
      </c>
      <c r="P366" s="1711"/>
      <c r="Q366" s="1712"/>
    </row>
    <row r="367" spans="1:32" ht="11.45" customHeight="1">
      <c r="B367" s="48" t="s">
        <v>2058</v>
      </c>
      <c r="C367" s="126" t="s">
        <v>1071</v>
      </c>
      <c r="E367" s="3098" t="s">
        <v>1006</v>
      </c>
      <c r="F367" s="3099"/>
      <c r="G367" s="3099"/>
      <c r="H367" s="3099"/>
      <c r="I367" s="3100"/>
      <c r="J367" s="1767" t="s">
        <v>2765</v>
      </c>
      <c r="K367" s="1768"/>
      <c r="L367" s="1769"/>
      <c r="M367" s="3098" t="s">
        <v>1006</v>
      </c>
      <c r="N367" s="3099"/>
      <c r="O367" s="3099"/>
      <c r="P367" s="3099"/>
      <c r="Q367" s="3100"/>
    </row>
    <row r="368" spans="1:32" ht="11.45" customHeight="1">
      <c r="B368" s="48" t="s">
        <v>2061</v>
      </c>
      <c r="C368" s="54" t="s">
        <v>3720</v>
      </c>
      <c r="D368" s="54"/>
      <c r="E368" s="54"/>
      <c r="F368" s="54"/>
      <c r="G368" s="54"/>
      <c r="H368" s="54"/>
      <c r="I368" s="54"/>
      <c r="J368" s="54"/>
      <c r="K368" s="54"/>
      <c r="L368" s="1223"/>
      <c r="M368" s="1223"/>
      <c r="O368" s="525" t="s">
        <v>2061</v>
      </c>
      <c r="P368" s="3093"/>
      <c r="Q368" s="630"/>
    </row>
    <row r="369" spans="1:31" ht="22.5" customHeight="1">
      <c r="B369" s="152" t="s">
        <v>779</v>
      </c>
      <c r="C369" s="1719" t="s">
        <v>3737</v>
      </c>
      <c r="D369" s="1719"/>
      <c r="E369" s="1719"/>
      <c r="F369" s="1719"/>
      <c r="G369" s="1719"/>
      <c r="H369" s="1719"/>
      <c r="I369" s="1719"/>
      <c r="J369" s="1719"/>
      <c r="K369" s="1719"/>
      <c r="L369" s="1719"/>
      <c r="M369" s="1719"/>
      <c r="N369" s="1719"/>
      <c r="O369" s="525" t="s">
        <v>779</v>
      </c>
      <c r="P369" s="3094"/>
      <c r="Q369" s="632"/>
    </row>
    <row r="370" spans="1:31">
      <c r="B370" s="48" t="s">
        <v>2193</v>
      </c>
      <c r="C370" s="57" t="s">
        <v>4150</v>
      </c>
      <c r="G370" s="1426"/>
      <c r="H370" s="1426"/>
      <c r="I370" s="1426"/>
      <c r="J370" s="1223" t="s">
        <v>4151</v>
      </c>
      <c r="L370" s="1426"/>
      <c r="M370" s="1759">
        <f>'Part III-Sources of Funds'!E10</f>
        <v>0</v>
      </c>
      <c r="N370" s="1760"/>
      <c r="O370" s="525" t="s">
        <v>2193</v>
      </c>
      <c r="P370" s="3094"/>
      <c r="Q370" s="632"/>
    </row>
    <row r="371" spans="1:31" ht="11.25" customHeight="1">
      <c r="B371" s="151" t="s">
        <v>1936</v>
      </c>
      <c r="D371" s="151"/>
      <c r="E371" s="151"/>
      <c r="F371" s="151"/>
      <c r="G371" s="151"/>
      <c r="H371" s="41"/>
      <c r="I371" s="1422"/>
      <c r="J371" s="1422"/>
      <c r="K371" s="1422"/>
      <c r="L371" s="1414"/>
      <c r="M371" s="1414"/>
      <c r="N371" s="1414"/>
      <c r="O371" s="1414"/>
      <c r="P371" s="1414"/>
      <c r="Q371" s="1222"/>
    </row>
    <row r="372" spans="1:31" ht="11.45" customHeight="1">
      <c r="A372" s="3058" t="s">
        <v>4344</v>
      </c>
      <c r="B372" s="3059"/>
      <c r="C372" s="3059"/>
      <c r="D372" s="3059"/>
      <c r="E372" s="3059"/>
      <c r="F372" s="3059"/>
      <c r="G372" s="3059"/>
      <c r="H372" s="3059"/>
      <c r="I372" s="3059"/>
      <c r="J372" s="3059"/>
      <c r="K372" s="3059"/>
      <c r="L372" s="3059"/>
      <c r="M372" s="3059"/>
      <c r="N372" s="3059"/>
      <c r="O372" s="3059"/>
      <c r="P372" s="3059"/>
      <c r="Q372" s="3060"/>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4"/>
      <c r="B375" s="1422"/>
      <c r="C375" s="1421"/>
      <c r="D375" s="1421"/>
      <c r="E375" s="1421"/>
      <c r="F375" s="1421"/>
      <c r="G375" s="1421"/>
      <c r="H375" s="1421"/>
      <c r="I375" s="1421"/>
      <c r="J375" s="1421"/>
      <c r="K375" s="1421"/>
      <c r="L375" s="1421"/>
      <c r="M375" s="1421"/>
      <c r="Q375" s="1222"/>
    </row>
    <row r="376" spans="1:31" ht="13.9" customHeight="1">
      <c r="A376" s="1428">
        <v>24</v>
      </c>
      <c r="B376" s="4" t="s">
        <v>2762</v>
      </c>
      <c r="C376" s="4"/>
      <c r="D376" s="4"/>
      <c r="E376" s="1421"/>
      <c r="G376" s="150" t="s">
        <v>729</v>
      </c>
      <c r="H376" s="1421"/>
      <c r="I376" s="1421"/>
      <c r="J376" s="1421"/>
      <c r="K376" s="1421"/>
      <c r="L376" s="1421"/>
      <c r="M376" s="1421"/>
      <c r="O376" s="142" t="s">
        <v>1938</v>
      </c>
      <c r="P376" s="1711"/>
      <c r="Q376" s="1750"/>
    </row>
    <row r="377" spans="1:31" ht="12" customHeight="1">
      <c r="A377" s="154"/>
      <c r="B377" s="48" t="s">
        <v>2058</v>
      </c>
      <c r="C377" s="54" t="s">
        <v>2767</v>
      </c>
      <c r="D377" s="1224"/>
      <c r="E377" s="1224"/>
      <c r="H377" s="150"/>
      <c r="O377" s="525" t="s">
        <v>2058</v>
      </c>
      <c r="P377" s="3093" t="s">
        <v>3153</v>
      </c>
      <c r="Q377" s="630"/>
    </row>
    <row r="378" spans="1:31" ht="12" customHeight="1">
      <c r="A378" s="154"/>
      <c r="B378" s="48" t="s">
        <v>2061</v>
      </c>
      <c r="C378" s="54" t="s">
        <v>3896</v>
      </c>
      <c r="D378" s="1224"/>
      <c r="E378" s="1224"/>
      <c r="O378" s="525" t="s">
        <v>2061</v>
      </c>
      <c r="P378" s="3096" t="s">
        <v>3156</v>
      </c>
      <c r="Q378" s="631"/>
    </row>
    <row r="379" spans="1:31" ht="12" customHeight="1">
      <c r="A379" s="154"/>
      <c r="B379" s="48" t="s">
        <v>779</v>
      </c>
      <c r="C379" s="54" t="s">
        <v>3897</v>
      </c>
      <c r="D379" s="1224"/>
      <c r="E379" s="1224"/>
      <c r="O379" s="525" t="s">
        <v>779</v>
      </c>
      <c r="P379" s="3096" t="s">
        <v>3156</v>
      </c>
      <c r="Q379" s="631"/>
    </row>
    <row r="380" spans="1:31" ht="12" customHeight="1">
      <c r="A380" s="154"/>
      <c r="B380" s="48" t="s">
        <v>2193</v>
      </c>
      <c r="C380" s="54" t="s">
        <v>3898</v>
      </c>
      <c r="E380" s="150"/>
      <c r="O380" s="525" t="s">
        <v>2193</v>
      </c>
      <c r="P380" s="3096" t="s">
        <v>3156</v>
      </c>
      <c r="Q380" s="631"/>
    </row>
    <row r="381" spans="1:31" ht="12" customHeight="1">
      <c r="B381" s="48" t="s">
        <v>1801</v>
      </c>
      <c r="C381" s="54" t="s">
        <v>2157</v>
      </c>
      <c r="E381" s="150"/>
      <c r="G381" s="525" t="s">
        <v>1801</v>
      </c>
      <c r="H381" s="3149" t="s">
        <v>1006</v>
      </c>
      <c r="I381" s="3150"/>
      <c r="J381" s="3150"/>
      <c r="K381" s="3150"/>
      <c r="L381" s="3150"/>
      <c r="M381" s="3150"/>
      <c r="N381" s="3150"/>
      <c r="O381" s="3151"/>
      <c r="P381" s="3094" t="s">
        <v>3156</v>
      </c>
      <c r="Q381" s="632"/>
    </row>
    <row r="382" spans="1:31" ht="11.25" customHeight="1">
      <c r="B382" s="151" t="s">
        <v>1936</v>
      </c>
      <c r="D382" s="151"/>
      <c r="E382" s="151"/>
      <c r="F382" s="151"/>
      <c r="G382" s="151"/>
      <c r="H382" s="41"/>
      <c r="I382" s="1422"/>
      <c r="J382" s="1422"/>
      <c r="K382" s="1422"/>
      <c r="L382" s="1414"/>
      <c r="M382" s="1414"/>
      <c r="N382" s="1414"/>
      <c r="O382" s="1414"/>
      <c r="P382" s="1414"/>
      <c r="Q382" s="1222"/>
    </row>
    <row r="383" spans="1:31" ht="11.45" customHeight="1">
      <c r="A383" s="3058" t="s">
        <v>4345</v>
      </c>
      <c r="B383" s="3059"/>
      <c r="C383" s="3059"/>
      <c r="D383" s="3059"/>
      <c r="E383" s="3059"/>
      <c r="F383" s="3059"/>
      <c r="G383" s="3059"/>
      <c r="H383" s="3059"/>
      <c r="I383" s="3059"/>
      <c r="J383" s="3059"/>
      <c r="K383" s="3059"/>
      <c r="L383" s="3059"/>
      <c r="M383" s="3059"/>
      <c r="N383" s="3059"/>
      <c r="O383" s="3059"/>
      <c r="P383" s="3059"/>
      <c r="Q383" s="3060"/>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4"/>
      <c r="B386" s="1422"/>
      <c r="C386" s="1421"/>
      <c r="D386" s="1421"/>
      <c r="E386" s="1421"/>
      <c r="F386" s="1421"/>
      <c r="G386" s="1421"/>
      <c r="H386" s="1421"/>
      <c r="I386" s="1421"/>
      <c r="J386" s="1421"/>
      <c r="K386" s="1421"/>
      <c r="L386" s="1421"/>
      <c r="M386" s="1421"/>
      <c r="N386" s="1421"/>
      <c r="O386" s="1421"/>
      <c r="P386" s="1421"/>
      <c r="Q386" s="1414"/>
    </row>
    <row r="387" spans="1:32" ht="13.9" customHeight="1">
      <c r="A387" s="1428">
        <v>25</v>
      </c>
      <c r="B387" s="4" t="s">
        <v>2763</v>
      </c>
      <c r="C387" s="4"/>
      <c r="D387" s="4"/>
      <c r="E387" s="4"/>
      <c r="F387" s="4"/>
      <c r="G387" s="4"/>
      <c r="H387" s="1421"/>
      <c r="I387" s="1421"/>
      <c r="J387" s="1421"/>
      <c r="K387" s="1421"/>
      <c r="L387" s="1421"/>
      <c r="M387" s="1421"/>
      <c r="O387" s="142" t="s">
        <v>1938</v>
      </c>
      <c r="P387" s="1711"/>
      <c r="Q387" s="1750"/>
    </row>
    <row r="388" spans="1:32" ht="12" customHeight="1">
      <c r="A388" s="43"/>
      <c r="B388" s="48" t="s">
        <v>2058</v>
      </c>
      <c r="C388" s="40" t="s">
        <v>782</v>
      </c>
      <c r="D388" s="43"/>
      <c r="E388" s="43"/>
      <c r="F388" s="43"/>
      <c r="G388" s="43"/>
      <c r="H388" s="43"/>
      <c r="I388" s="43"/>
      <c r="J388" s="43"/>
      <c r="K388" s="43"/>
      <c r="L388" s="43"/>
      <c r="M388" s="43"/>
      <c r="N388" s="43"/>
      <c r="O388" s="525" t="s">
        <v>2058</v>
      </c>
      <c r="P388" s="3093" t="s">
        <v>3153</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4" t="s">
        <v>3153</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3" t="s">
        <v>3156</v>
      </c>
      <c r="Q391" s="630"/>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137" t="s">
        <v>3153</v>
      </c>
      <c r="Q392" s="628"/>
      <c r="AE392" s="529"/>
      <c r="AF392" s="529"/>
    </row>
    <row r="393" spans="1:32" ht="12" customHeight="1">
      <c r="A393" s="43"/>
      <c r="B393" s="48" t="s">
        <v>779</v>
      </c>
      <c r="C393" s="1719" t="s">
        <v>2280</v>
      </c>
      <c r="D393" s="1719"/>
      <c r="E393" s="1719"/>
      <c r="F393" s="1719"/>
      <c r="G393" s="1719"/>
      <c r="H393" s="1719"/>
      <c r="I393" s="1719"/>
      <c r="J393" s="1719"/>
      <c r="K393" s="1719"/>
      <c r="L393" s="1719"/>
      <c r="M393" s="1719"/>
      <c r="N393" s="1719"/>
      <c r="O393" s="525" t="s">
        <v>779</v>
      </c>
      <c r="P393" s="3094" t="s">
        <v>3153</v>
      </c>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2" t="s">
        <v>4346</v>
      </c>
      <c r="H395" s="644"/>
      <c r="J395" s="145" t="s">
        <v>2284</v>
      </c>
      <c r="K395" s="1223"/>
      <c r="N395" s="3152" t="s">
        <v>4346</v>
      </c>
      <c r="O395" s="644"/>
    </row>
    <row r="396" spans="1:32" ht="12" customHeight="1">
      <c r="A396" s="43"/>
      <c r="B396" s="48"/>
      <c r="C396" s="145" t="s">
        <v>2282</v>
      </c>
      <c r="D396" s="37"/>
      <c r="E396" s="43"/>
      <c r="F396" s="1223"/>
      <c r="G396" s="3153" t="s">
        <v>4346</v>
      </c>
      <c r="H396" s="645"/>
      <c r="J396" s="145" t="s">
        <v>2285</v>
      </c>
      <c r="K396" s="1223"/>
      <c r="N396" s="3154" t="s">
        <v>4346</v>
      </c>
      <c r="O396" s="646"/>
    </row>
    <row r="397" spans="1:32" ht="12" customHeight="1">
      <c r="A397" s="43"/>
      <c r="B397" s="48"/>
      <c r="C397" s="145" t="s">
        <v>2283</v>
      </c>
      <c r="D397" s="37"/>
      <c r="E397" s="43"/>
      <c r="F397" s="1223"/>
      <c r="G397" s="3154" t="s">
        <v>4347</v>
      </c>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3" t="s">
        <v>3153</v>
      </c>
      <c r="H399" s="630"/>
      <c r="J399" s="484" t="s">
        <v>1225</v>
      </c>
      <c r="K399" s="1223"/>
      <c r="N399" s="3137" t="s">
        <v>3153</v>
      </c>
      <c r="O399" s="628"/>
    </row>
    <row r="400" spans="1:32" ht="12" customHeight="1">
      <c r="A400" s="43"/>
      <c r="B400" s="48"/>
      <c r="C400" s="484" t="s">
        <v>1224</v>
      </c>
      <c r="D400" s="1223"/>
      <c r="E400" s="1223"/>
      <c r="F400" s="1223"/>
      <c r="G400" s="3094" t="s">
        <v>3153</v>
      </c>
      <c r="H400" s="632"/>
      <c r="J400" s="484" t="s">
        <v>2333</v>
      </c>
      <c r="N400" s="3155"/>
      <c r="O400" s="3156"/>
      <c r="P400" s="3156"/>
      <c r="Q400" s="3157"/>
    </row>
    <row r="401" spans="1:32" ht="12" customHeight="1">
      <c r="B401" s="151" t="s">
        <v>1936</v>
      </c>
      <c r="D401" s="151"/>
      <c r="E401" s="151"/>
      <c r="F401" s="151"/>
      <c r="G401" s="151"/>
      <c r="H401" s="41"/>
      <c r="I401" s="1422"/>
      <c r="J401" s="1422"/>
      <c r="K401" s="1422"/>
      <c r="P401" s="1414"/>
      <c r="Q401" s="1222"/>
    </row>
    <row r="402" spans="1:32" ht="12" customHeight="1">
      <c r="A402" s="3058" t="s">
        <v>4348</v>
      </c>
      <c r="B402" s="3059"/>
      <c r="C402" s="3059"/>
      <c r="D402" s="3059"/>
      <c r="E402" s="3059"/>
      <c r="F402" s="3059"/>
      <c r="G402" s="3059"/>
      <c r="H402" s="3059"/>
      <c r="I402" s="3059"/>
      <c r="J402" s="3059"/>
      <c r="K402" s="3059"/>
      <c r="L402" s="3059"/>
      <c r="M402" s="3059"/>
      <c r="N402" s="3059"/>
      <c r="O402" s="3059"/>
      <c r="P402" s="3059"/>
      <c r="Q402" s="3060"/>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4"/>
      <c r="B405" s="1422"/>
      <c r="C405" s="1421"/>
      <c r="D405" s="1421"/>
      <c r="E405" s="1421"/>
      <c r="F405" s="1421"/>
      <c r="G405" s="1421"/>
      <c r="H405" s="1421"/>
      <c r="I405" s="1421"/>
      <c r="J405" s="1421"/>
      <c r="K405" s="1421"/>
      <c r="L405" s="1421"/>
      <c r="M405" s="1421"/>
      <c r="Q405" s="1222"/>
    </row>
    <row r="406" spans="1:32" ht="13.9" customHeight="1">
      <c r="A406" s="1428">
        <v>26</v>
      </c>
      <c r="B406" s="4" t="s">
        <v>2939</v>
      </c>
      <c r="C406" s="4"/>
      <c r="D406" s="92"/>
      <c r="E406" s="1421"/>
      <c r="F406" s="1421"/>
      <c r="G406" s="1421"/>
      <c r="H406" s="1421"/>
      <c r="O406" s="142" t="s">
        <v>1938</v>
      </c>
      <c r="P406" s="1711"/>
      <c r="Q406" s="1712"/>
    </row>
    <row r="407" spans="1:32" ht="13.9" customHeight="1">
      <c r="A407" s="1428"/>
      <c r="B407" s="92" t="s">
        <v>3561</v>
      </c>
      <c r="C407" s="4"/>
      <c r="D407" s="92"/>
      <c r="E407" s="1421"/>
      <c r="F407" s="1421"/>
      <c r="G407" s="1421"/>
      <c r="H407" s="1421"/>
    </row>
    <row r="408" spans="1:32" s="143" customFormat="1" ht="21.75" customHeight="1">
      <c r="B408" s="152" t="s">
        <v>2058</v>
      </c>
      <c r="C408" s="1749" t="s">
        <v>3562</v>
      </c>
      <c r="D408" s="1749"/>
      <c r="E408" s="1749"/>
      <c r="F408" s="1749"/>
      <c r="G408" s="1749"/>
      <c r="H408" s="1749"/>
      <c r="I408" s="1749"/>
      <c r="J408" s="1749"/>
      <c r="K408" s="1749"/>
      <c r="L408" s="1749"/>
      <c r="M408" s="1749"/>
      <c r="N408" s="1749"/>
      <c r="O408" s="174" t="s">
        <v>2058</v>
      </c>
      <c r="P408" s="3135" t="s">
        <v>4283</v>
      </c>
      <c r="Q408" s="633"/>
      <c r="AE408" s="528"/>
      <c r="AF408" s="528"/>
    </row>
    <row r="409" spans="1:32" s="143" customFormat="1">
      <c r="B409" s="152" t="s">
        <v>2061</v>
      </c>
      <c r="C409" s="1749" t="s">
        <v>3739</v>
      </c>
      <c r="D409" s="1749"/>
      <c r="E409" s="1749"/>
      <c r="F409" s="1749"/>
      <c r="G409" s="1749"/>
      <c r="H409" s="1749"/>
      <c r="I409" s="1749"/>
      <c r="J409" s="1749"/>
      <c r="K409" s="1749"/>
      <c r="L409" s="1749"/>
      <c r="M409" s="1749"/>
      <c r="N409" s="1749"/>
      <c r="O409" s="174" t="s">
        <v>2061</v>
      </c>
      <c r="P409" s="3097" t="s">
        <v>4283</v>
      </c>
      <c r="Q409" s="634"/>
      <c r="AE409" s="528"/>
      <c r="AF409" s="528"/>
    </row>
    <row r="410" spans="1:32" s="143" customFormat="1">
      <c r="B410" s="152" t="s">
        <v>779</v>
      </c>
      <c r="C410" s="1749" t="s">
        <v>3740</v>
      </c>
      <c r="D410" s="1749"/>
      <c r="E410" s="1749"/>
      <c r="F410" s="1749"/>
      <c r="G410" s="1749"/>
      <c r="H410" s="1749"/>
      <c r="I410" s="1749"/>
      <c r="J410" s="1749"/>
      <c r="K410" s="1749"/>
      <c r="L410" s="1749"/>
      <c r="M410" s="1749"/>
      <c r="N410" s="1749"/>
      <c r="O410" s="174" t="s">
        <v>779</v>
      </c>
      <c r="P410" s="3097" t="s">
        <v>4283</v>
      </c>
      <c r="Q410" s="634"/>
      <c r="AE410" s="528"/>
      <c r="AF410" s="528"/>
    </row>
    <row r="411" spans="1:32" s="143" customFormat="1" ht="22.5" customHeight="1">
      <c r="B411" s="152" t="s">
        <v>2193</v>
      </c>
      <c r="C411" s="1749" t="s">
        <v>3563</v>
      </c>
      <c r="D411" s="1749"/>
      <c r="E411" s="1749"/>
      <c r="F411" s="1749"/>
      <c r="G411" s="1749"/>
      <c r="H411" s="1749"/>
      <c r="I411" s="1749"/>
      <c r="J411" s="1749"/>
      <c r="K411" s="1749"/>
      <c r="L411" s="1749"/>
      <c r="M411" s="1749"/>
      <c r="N411" s="1749"/>
      <c r="O411" s="174" t="s">
        <v>2193</v>
      </c>
      <c r="P411" s="3097" t="s">
        <v>4283</v>
      </c>
      <c r="Q411" s="634"/>
      <c r="AE411" s="528"/>
      <c r="AF411" s="528"/>
    </row>
    <row r="412" spans="1:32" s="143" customFormat="1">
      <c r="B412" s="152" t="s">
        <v>1801</v>
      </c>
      <c r="C412" s="1749" t="s">
        <v>3564</v>
      </c>
      <c r="D412" s="1749"/>
      <c r="E412" s="1749"/>
      <c r="F412" s="1749"/>
      <c r="G412" s="1749"/>
      <c r="H412" s="1749"/>
      <c r="I412" s="1749"/>
      <c r="J412" s="1749"/>
      <c r="K412" s="1749"/>
      <c r="L412" s="1749"/>
      <c r="M412" s="1749"/>
      <c r="N412" s="1749"/>
      <c r="O412" s="174" t="s">
        <v>1801</v>
      </c>
      <c r="P412" s="3097" t="s">
        <v>4283</v>
      </c>
      <c r="Q412" s="634"/>
      <c r="AE412" s="528"/>
      <c r="AF412" s="528"/>
    </row>
    <row r="413" spans="1:32" s="143" customFormat="1">
      <c r="B413" s="152" t="s">
        <v>1802</v>
      </c>
      <c r="C413" s="1749" t="s">
        <v>3565</v>
      </c>
      <c r="D413" s="1749"/>
      <c r="E413" s="1749"/>
      <c r="F413" s="1749"/>
      <c r="G413" s="1749"/>
      <c r="H413" s="1749"/>
      <c r="I413" s="1749"/>
      <c r="J413" s="1749"/>
      <c r="K413" s="1749"/>
      <c r="L413" s="1749"/>
      <c r="M413" s="1749"/>
      <c r="N413" s="1749"/>
      <c r="O413" s="174" t="s">
        <v>1802</v>
      </c>
      <c r="P413" s="3097" t="s">
        <v>4283</v>
      </c>
      <c r="Q413" s="634"/>
      <c r="AE413" s="528"/>
      <c r="AF413" s="528"/>
    </row>
    <row r="414" spans="1:32" s="143" customFormat="1" ht="21.75" customHeight="1">
      <c r="B414" s="152" t="s">
        <v>2021</v>
      </c>
      <c r="C414" s="1749" t="s">
        <v>3742</v>
      </c>
      <c r="D414" s="1749"/>
      <c r="E414" s="1749"/>
      <c r="F414" s="1749"/>
      <c r="G414" s="1749"/>
      <c r="H414" s="1749"/>
      <c r="I414" s="1749"/>
      <c r="J414" s="1749"/>
      <c r="K414" s="1749"/>
      <c r="L414" s="1749"/>
      <c r="M414" s="1749"/>
      <c r="N414" s="1749"/>
      <c r="O414" s="174" t="s">
        <v>2021</v>
      </c>
      <c r="P414" s="3138" t="s">
        <v>4283</v>
      </c>
      <c r="Q414" s="635"/>
      <c r="AE414" s="528"/>
      <c r="AF414" s="528"/>
    </row>
    <row r="415" spans="1:32" ht="11.25" customHeight="1">
      <c r="B415" s="151" t="s">
        <v>1936</v>
      </c>
      <c r="D415" s="151"/>
      <c r="E415" s="151"/>
      <c r="F415" s="151"/>
      <c r="G415" s="151"/>
      <c r="H415" s="41"/>
      <c r="I415" s="1422"/>
      <c r="J415" s="1422"/>
      <c r="K415" s="1422"/>
      <c r="L415" s="1414"/>
      <c r="M415" s="1414"/>
      <c r="N415" s="1414"/>
      <c r="O415" s="1414"/>
      <c r="P415" s="1414"/>
      <c r="Q415" s="1222"/>
    </row>
    <row r="416" spans="1:32" ht="11.45" customHeight="1">
      <c r="A416" s="3058" t="s">
        <v>4349</v>
      </c>
      <c r="B416" s="3059"/>
      <c r="C416" s="3059"/>
      <c r="D416" s="3059"/>
      <c r="E416" s="3059"/>
      <c r="F416" s="3059"/>
      <c r="G416" s="3059"/>
      <c r="H416" s="3059"/>
      <c r="I416" s="3059"/>
      <c r="J416" s="3059"/>
      <c r="K416" s="3059"/>
      <c r="L416" s="3059"/>
      <c r="M416" s="3059"/>
      <c r="N416" s="3059"/>
      <c r="O416" s="3059"/>
      <c r="P416" s="3059"/>
      <c r="Q416" s="3060"/>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4"/>
      <c r="B419" s="1422"/>
      <c r="C419" s="1421"/>
      <c r="D419" s="1421"/>
      <c r="E419" s="1421"/>
      <c r="F419" s="1421"/>
      <c r="G419" s="1421"/>
      <c r="H419" s="1421"/>
      <c r="I419" s="1421"/>
      <c r="J419" s="1421"/>
      <c r="K419" s="1421"/>
      <c r="L419" s="1421"/>
      <c r="M419" s="1421"/>
      <c r="Q419" s="1222"/>
    </row>
    <row r="420" spans="1:32" ht="13.9" customHeight="1">
      <c r="A420" s="1428">
        <v>27</v>
      </c>
      <c r="B420" s="4" t="s">
        <v>2764</v>
      </c>
      <c r="C420" s="4"/>
      <c r="D420" s="92"/>
      <c r="E420" s="1421"/>
      <c r="F420" s="1421"/>
      <c r="G420" s="1421"/>
      <c r="H420" s="1421"/>
      <c r="I420" s="1421"/>
      <c r="J420" s="1421"/>
      <c r="K420" s="1421"/>
      <c r="L420" s="1421"/>
      <c r="M420" s="1421"/>
      <c r="O420" s="142" t="s">
        <v>1938</v>
      </c>
      <c r="P420" s="1711"/>
      <c r="Q420" s="1712"/>
    </row>
    <row r="421" spans="1:32" ht="11.25" customHeight="1">
      <c r="A421" s="1428"/>
      <c r="B421" s="151" t="s">
        <v>1936</v>
      </c>
      <c r="D421" s="151"/>
      <c r="E421" s="151"/>
      <c r="F421" s="151"/>
      <c r="G421" s="151"/>
      <c r="H421" s="41"/>
      <c r="I421" s="1422"/>
      <c r="J421" s="1422"/>
      <c r="K421" s="1422"/>
      <c r="L421" s="1414"/>
      <c r="M421" s="1414"/>
      <c r="N421" s="1414"/>
      <c r="O421" s="1414"/>
      <c r="P421" s="1414"/>
      <c r="Q421" s="1222"/>
    </row>
    <row r="422" spans="1:32" ht="11.45" customHeight="1">
      <c r="A422" s="3058" t="s">
        <v>4398</v>
      </c>
      <c r="B422" s="3059"/>
      <c r="C422" s="3059"/>
      <c r="D422" s="3059"/>
      <c r="E422" s="3059"/>
      <c r="F422" s="3059"/>
      <c r="G422" s="3059"/>
      <c r="H422" s="3059"/>
      <c r="I422" s="3059"/>
      <c r="J422" s="3059"/>
      <c r="K422" s="3059"/>
      <c r="L422" s="3059"/>
      <c r="M422" s="3059"/>
      <c r="N422" s="3059"/>
      <c r="O422" s="3059"/>
      <c r="P422" s="3059"/>
      <c r="Q422" s="3060"/>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4"/>
      <c r="B425" s="1422"/>
      <c r="C425" s="1421"/>
      <c r="D425" s="1421"/>
      <c r="E425" s="1421"/>
      <c r="F425" s="1421"/>
      <c r="G425" s="1421"/>
      <c r="H425" s="1421"/>
      <c r="I425" s="1421"/>
      <c r="J425" s="1421"/>
      <c r="K425" s="1421"/>
      <c r="L425" s="1421"/>
      <c r="M425" s="1421"/>
      <c r="N425" s="1421"/>
      <c r="O425" s="1421"/>
      <c r="P425" s="1421"/>
      <c r="Q425" s="1414"/>
    </row>
    <row r="426" spans="1:32" s="158" customFormat="1" ht="8.4499999999999993" customHeight="1">
      <c r="A426" s="1414"/>
      <c r="B426" s="1422"/>
      <c r="C426" s="1421"/>
      <c r="D426" s="1421"/>
      <c r="E426" s="1421"/>
      <c r="F426" s="1421"/>
      <c r="G426" s="1421"/>
      <c r="H426" s="1421"/>
      <c r="I426" s="1421"/>
      <c r="J426" s="1421"/>
      <c r="K426" s="1421"/>
      <c r="L426" s="1421"/>
      <c r="M426" s="1421"/>
      <c r="AE426" s="529"/>
      <c r="AF426" s="529"/>
    </row>
    <row r="427" spans="1:32" s="158" customFormat="1" ht="3" customHeight="1">
      <c r="A427" s="1414"/>
      <c r="B427" s="1422"/>
      <c r="C427" s="1421"/>
      <c r="D427" s="1421"/>
      <c r="E427" s="1421"/>
      <c r="F427" s="1421"/>
      <c r="G427" s="1421"/>
      <c r="H427" s="1421"/>
      <c r="I427" s="1421"/>
      <c r="J427" s="1421"/>
      <c r="K427" s="1421"/>
      <c r="L427" s="1421"/>
      <c r="M427" s="1421"/>
      <c r="N427" s="1421"/>
      <c r="O427" s="1421"/>
      <c r="P427" s="1421"/>
      <c r="Q427" s="1414"/>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AM4GRJzjR1p5PEgvW0nClMtFyoH49T4WOr5VGn1yYkVcSeTE/neGwAZVC6Bh0SYBtp/2WIeIha/A3CdWFJgiRA==" saltValue="io586jWjVy4m2VNUM5DbIQ=="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81" zoomScale="124" zoomScaleNormal="124" workbookViewId="0">
      <selection activeCell="A281"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5" width="11.5703125" style="1412" bestFit="1" customWidth="1"/>
    <col min="16"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2016-079 The Pines Apartments, St. Marys, Camden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6"/>
      <c r="P2" s="1416"/>
    </row>
    <row r="3" spans="1:19" s="36" customFormat="1" ht="12.6" customHeight="1">
      <c r="A3" s="1869" t="s">
        <v>4044</v>
      </c>
      <c r="B3" s="1869"/>
      <c r="C3" s="1869"/>
      <c r="D3" s="1869"/>
      <c r="E3" s="1869"/>
      <c r="F3" s="1869"/>
      <c r="G3" s="1869"/>
      <c r="H3" s="1869"/>
      <c r="I3" s="1869"/>
      <c r="J3" s="1869"/>
      <c r="K3" s="1869"/>
      <c r="L3" s="1869"/>
      <c r="M3" s="97" t="s">
        <v>2298</v>
      </c>
      <c r="N3" s="78"/>
      <c r="O3" s="88" t="s">
        <v>2297</v>
      </c>
      <c r="P3" s="189" t="s">
        <v>268</v>
      </c>
    </row>
    <row r="4" spans="1:19" s="45" customFormat="1" ht="12.6" customHeight="1">
      <c r="A4" s="1869"/>
      <c r="B4" s="1869"/>
      <c r="C4" s="1869"/>
      <c r="D4" s="1869"/>
      <c r="E4" s="1869"/>
      <c r="F4" s="1869"/>
      <c r="G4" s="1869"/>
      <c r="H4" s="1869"/>
      <c r="I4" s="1869"/>
      <c r="J4" s="1869"/>
      <c r="K4" s="1869"/>
      <c r="L4" s="1869"/>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4368</v>
      </c>
      <c r="G6" s="1466"/>
      <c r="H6" s="1467"/>
      <c r="I6" s="43"/>
      <c r="J6" s="43"/>
      <c r="L6" s="74" t="s">
        <v>1272</v>
      </c>
      <c r="M6" s="295">
        <f>M408</f>
        <v>103</v>
      </c>
      <c r="N6" s="9"/>
      <c r="O6" s="68">
        <f>O408</f>
        <v>57</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9" t="s">
        <v>2671</v>
      </c>
      <c r="G10" s="1223">
        <f>F15</f>
        <v>0</v>
      </c>
      <c r="H10" s="188" t="s">
        <v>4066</v>
      </c>
      <c r="M10" s="6"/>
      <c r="N10" s="69" t="s">
        <v>2058</v>
      </c>
      <c r="O10" s="3158">
        <v>0</v>
      </c>
      <c r="P10" s="3159">
        <f>F15</f>
        <v>0</v>
      </c>
    </row>
    <row r="11" spans="1:19" s="44" customFormat="1" ht="11.25" customHeight="1">
      <c r="A11" s="196"/>
      <c r="B11" s="116" t="s">
        <v>2191</v>
      </c>
      <c r="D11" s="49"/>
      <c r="E11" s="49"/>
      <c r="F11" s="1439" t="s">
        <v>2671</v>
      </c>
      <c r="G11" s="1223">
        <f>J15</f>
        <v>0</v>
      </c>
      <c r="H11" s="188" t="s">
        <v>2881</v>
      </c>
      <c r="J11" s="50"/>
      <c r="M11" s="6">
        <v>1</v>
      </c>
      <c r="N11" s="69"/>
      <c r="O11" s="3160">
        <v>0</v>
      </c>
      <c r="P11" s="3161">
        <f>J15</f>
        <v>0</v>
      </c>
    </row>
    <row r="12" spans="1:19" s="43" customFormat="1" ht="11.25" customHeight="1">
      <c r="A12" s="196" t="s">
        <v>2061</v>
      </c>
      <c r="B12" s="180" t="s">
        <v>756</v>
      </c>
      <c r="D12" s="49"/>
      <c r="E12" s="49"/>
      <c r="F12" s="1439" t="s">
        <v>2671</v>
      </c>
      <c r="G12" s="1223">
        <f>O15</f>
        <v>0</v>
      </c>
      <c r="H12" s="188" t="s">
        <v>2836</v>
      </c>
      <c r="J12" s="50"/>
      <c r="M12" s="6"/>
      <c r="N12" s="69" t="s">
        <v>2061</v>
      </c>
      <c r="O12" s="3162">
        <v>0</v>
      </c>
      <c r="P12" s="3163">
        <f>O15</f>
        <v>0</v>
      </c>
      <c r="Q12" s="115"/>
    </row>
    <row r="13" spans="1:19" s="43" customFormat="1" ht="10.9" customHeight="1">
      <c r="A13" s="71" t="s">
        <v>1937</v>
      </c>
      <c r="C13" s="100"/>
      <c r="D13" s="100"/>
      <c r="F13" s="1422" t="s">
        <v>1780</v>
      </c>
      <c r="K13" s="1422" t="s">
        <v>1780</v>
      </c>
      <c r="P13" s="525" t="s">
        <v>1780</v>
      </c>
      <c r="R13" s="502"/>
      <c r="S13" s="171"/>
    </row>
    <row r="14" spans="1:19" s="43" customFormat="1" ht="10.9" customHeight="1">
      <c r="A14" s="234" t="s">
        <v>3906</v>
      </c>
      <c r="B14" s="234"/>
      <c r="C14" s="234"/>
      <c r="D14" s="234"/>
      <c r="E14" s="234"/>
      <c r="K14" s="1422"/>
      <c r="P14" s="525"/>
      <c r="R14" s="502"/>
      <c r="S14" s="171"/>
    </row>
    <row r="15" spans="1:19" s="43" customFormat="1" ht="12" customHeight="1">
      <c r="A15" s="1180" t="s">
        <v>3905</v>
      </c>
      <c r="B15" s="1180"/>
      <c r="C15" s="1180"/>
      <c r="D15" s="1180"/>
      <c r="E15" s="70" t="s">
        <v>527</v>
      </c>
      <c r="F15" s="81">
        <f>SUM(F16:F27)</f>
        <v>0</v>
      </c>
      <c r="G15" s="1861" t="s">
        <v>3899</v>
      </c>
      <c r="H15" s="1862"/>
      <c r="I15" s="1181"/>
      <c r="J15" s="81">
        <f>SUM(J16:J27)</f>
        <v>0</v>
      </c>
      <c r="K15" s="1859" t="s">
        <v>3566</v>
      </c>
      <c r="L15" s="1860"/>
      <c r="M15" s="1860"/>
      <c r="N15" s="70" t="s">
        <v>527</v>
      </c>
      <c r="O15" s="1867">
        <f>SUM(O16:O27)</f>
        <v>0</v>
      </c>
      <c r="P15" s="1868"/>
      <c r="Q15" s="502"/>
      <c r="R15" s="171"/>
    </row>
    <row r="16" spans="1:19" s="43" customFormat="1" ht="37.5" customHeight="1">
      <c r="A16" s="1856">
        <v>1</v>
      </c>
      <c r="B16" s="1857"/>
      <c r="C16" s="1857"/>
      <c r="D16" s="1857"/>
      <c r="E16" s="1858"/>
      <c r="F16" s="1182"/>
      <c r="G16" s="1856">
        <v>1</v>
      </c>
      <c r="H16" s="1857"/>
      <c r="I16" s="1858"/>
      <c r="J16" s="1187" t="s">
        <v>1799</v>
      </c>
      <c r="K16" s="1854">
        <v>1</v>
      </c>
      <c r="L16" s="1855"/>
      <c r="M16" s="1855"/>
      <c r="N16" s="1855"/>
      <c r="O16" s="1865" t="s">
        <v>1799</v>
      </c>
      <c r="P16" s="1866"/>
      <c r="Q16" s="500" t="s">
        <v>1301</v>
      </c>
      <c r="R16" s="171"/>
    </row>
    <row r="17" spans="1:18" s="43" customFormat="1" ht="37.5" customHeight="1">
      <c r="A17" s="1839">
        <v>2</v>
      </c>
      <c r="B17" s="1840"/>
      <c r="C17" s="1840"/>
      <c r="D17" s="1840"/>
      <c r="E17" s="1841"/>
      <c r="F17" s="1183"/>
      <c r="G17" s="1839">
        <v>2</v>
      </c>
      <c r="H17" s="1840"/>
      <c r="I17" s="1841"/>
      <c r="J17" s="1183"/>
      <c r="K17" s="1852">
        <v>2</v>
      </c>
      <c r="L17" s="1853"/>
      <c r="M17" s="1853"/>
      <c r="N17" s="1853"/>
      <c r="O17" s="1879"/>
      <c r="P17" s="1880"/>
      <c r="Q17" s="501"/>
      <c r="R17" s="171"/>
    </row>
    <row r="18" spans="1:18" s="43" customFormat="1" ht="37.5" customHeight="1">
      <c r="A18" s="1839">
        <v>3</v>
      </c>
      <c r="B18" s="1840"/>
      <c r="C18" s="1840"/>
      <c r="D18" s="1840"/>
      <c r="E18" s="1841"/>
      <c r="F18" s="1183"/>
      <c r="G18" s="1839">
        <v>3</v>
      </c>
      <c r="H18" s="1840"/>
      <c r="I18" s="1841"/>
      <c r="J18" s="1188" t="s">
        <v>3056</v>
      </c>
      <c r="K18" s="1852">
        <v>3</v>
      </c>
      <c r="L18" s="1853"/>
      <c r="M18" s="1853"/>
      <c r="N18" s="1853"/>
      <c r="O18" s="1863" t="s">
        <v>3056</v>
      </c>
      <c r="P18" s="1864"/>
      <c r="Q18" s="501"/>
      <c r="R18" s="171"/>
    </row>
    <row r="19" spans="1:18" s="43" customFormat="1" ht="37.5" customHeight="1">
      <c r="A19" s="1839">
        <v>4</v>
      </c>
      <c r="B19" s="1840"/>
      <c r="C19" s="1840"/>
      <c r="D19" s="1840"/>
      <c r="E19" s="1841"/>
      <c r="F19" s="1183"/>
      <c r="G19" s="1839">
        <v>4</v>
      </c>
      <c r="H19" s="1840"/>
      <c r="I19" s="1841"/>
      <c r="J19" s="1183"/>
      <c r="K19" s="1852">
        <v>4</v>
      </c>
      <c r="L19" s="1853"/>
      <c r="M19" s="1853"/>
      <c r="N19" s="1853"/>
      <c r="O19" s="1863" t="s">
        <v>3056</v>
      </c>
      <c r="P19" s="1864"/>
      <c r="Q19" s="501"/>
      <c r="R19" s="171"/>
    </row>
    <row r="20" spans="1:18" s="43" customFormat="1" ht="37.5" customHeight="1">
      <c r="A20" s="1839">
        <v>5</v>
      </c>
      <c r="B20" s="1840"/>
      <c r="C20" s="1840"/>
      <c r="D20" s="1840"/>
      <c r="E20" s="1841"/>
      <c r="F20" s="1183"/>
      <c r="G20" s="1839">
        <v>5</v>
      </c>
      <c r="H20" s="1840"/>
      <c r="I20" s="1841"/>
      <c r="J20" s="1188" t="s">
        <v>3901</v>
      </c>
      <c r="K20" s="1852">
        <v>5</v>
      </c>
      <c r="L20" s="1853"/>
      <c r="M20" s="1853"/>
      <c r="N20" s="1853"/>
      <c r="O20" s="1879"/>
      <c r="P20" s="1880"/>
      <c r="Q20" s="171"/>
      <c r="R20" s="171"/>
    </row>
    <row r="21" spans="1:18" s="43" customFormat="1" ht="37.5" customHeight="1">
      <c r="A21" s="1839">
        <v>6</v>
      </c>
      <c r="B21" s="1840"/>
      <c r="C21" s="1840"/>
      <c r="D21" s="1840"/>
      <c r="E21" s="1841"/>
      <c r="F21" s="1183"/>
      <c r="G21" s="1839">
        <v>6</v>
      </c>
      <c r="H21" s="1840"/>
      <c r="I21" s="1841"/>
      <c r="J21" s="1183"/>
      <c r="K21" s="1852">
        <v>6</v>
      </c>
      <c r="L21" s="1853"/>
      <c r="M21" s="1853"/>
      <c r="N21" s="1853"/>
      <c r="O21" s="1879"/>
      <c r="P21" s="1880"/>
      <c r="Q21" s="171"/>
      <c r="R21" s="171"/>
    </row>
    <row r="22" spans="1:18" s="43" customFormat="1" ht="37.5" customHeight="1">
      <c r="A22" s="1839">
        <v>7</v>
      </c>
      <c r="B22" s="1840"/>
      <c r="C22" s="1840"/>
      <c r="D22" s="1840"/>
      <c r="E22" s="1841"/>
      <c r="F22" s="1183"/>
      <c r="G22" s="1839">
        <v>7</v>
      </c>
      <c r="H22" s="1840"/>
      <c r="I22" s="1841"/>
      <c r="J22" s="1188" t="s">
        <v>3902</v>
      </c>
      <c r="K22" s="1852">
        <v>7</v>
      </c>
      <c r="L22" s="1853"/>
      <c r="M22" s="1853"/>
      <c r="N22" s="1853"/>
      <c r="O22" s="1879"/>
      <c r="P22" s="1880"/>
      <c r="Q22" s="171"/>
      <c r="R22" s="171"/>
    </row>
    <row r="23" spans="1:18" s="43" customFormat="1" ht="37.5" customHeight="1">
      <c r="A23" s="1839">
        <v>8</v>
      </c>
      <c r="B23" s="1840"/>
      <c r="C23" s="1840"/>
      <c r="D23" s="1840"/>
      <c r="E23" s="1841"/>
      <c r="F23" s="1183"/>
      <c r="G23" s="1839">
        <v>8</v>
      </c>
      <c r="H23" s="1840"/>
      <c r="I23" s="1841"/>
      <c r="J23" s="1183"/>
      <c r="K23" s="1852">
        <v>8</v>
      </c>
      <c r="L23" s="1853"/>
      <c r="M23" s="1853"/>
      <c r="N23" s="1853"/>
      <c r="O23" s="1879"/>
      <c r="P23" s="1880"/>
      <c r="Q23" s="171"/>
      <c r="R23" s="171"/>
    </row>
    <row r="24" spans="1:18" s="43" customFormat="1" ht="24" customHeight="1">
      <c r="A24" s="1839">
        <v>9</v>
      </c>
      <c r="B24" s="1840"/>
      <c r="C24" s="1840"/>
      <c r="D24" s="1840"/>
      <c r="E24" s="1841"/>
      <c r="F24" s="1183"/>
      <c r="G24" s="1839">
        <v>9</v>
      </c>
      <c r="H24" s="1840"/>
      <c r="I24" s="1841"/>
      <c r="J24" s="1188" t="s">
        <v>3903</v>
      </c>
      <c r="K24" s="1852">
        <v>9</v>
      </c>
      <c r="L24" s="1853"/>
      <c r="M24" s="1853"/>
      <c r="N24" s="1853"/>
      <c r="O24" s="1879"/>
      <c r="P24" s="1880"/>
      <c r="Q24" s="171"/>
      <c r="R24" s="171"/>
    </row>
    <row r="25" spans="1:18" s="43" customFormat="1" ht="24" customHeight="1">
      <c r="A25" s="1839">
        <v>10</v>
      </c>
      <c r="B25" s="1840"/>
      <c r="C25" s="1840"/>
      <c r="D25" s="1840"/>
      <c r="E25" s="1841"/>
      <c r="F25" s="1183"/>
      <c r="G25" s="1839">
        <v>10</v>
      </c>
      <c r="H25" s="1840"/>
      <c r="I25" s="1841"/>
      <c r="J25" s="1183"/>
      <c r="K25" s="1852">
        <v>10</v>
      </c>
      <c r="L25" s="1853"/>
      <c r="M25" s="1853"/>
      <c r="N25" s="1853"/>
      <c r="O25" s="1879"/>
      <c r="P25" s="1880"/>
      <c r="Q25" s="171"/>
      <c r="R25" s="171"/>
    </row>
    <row r="26" spans="1:18" s="43" customFormat="1" ht="24" customHeight="1">
      <c r="A26" s="1839">
        <v>11</v>
      </c>
      <c r="B26" s="1840"/>
      <c r="C26" s="1840"/>
      <c r="D26" s="1840"/>
      <c r="E26" s="1841"/>
      <c r="F26" s="1183"/>
      <c r="G26" s="1839">
        <v>11</v>
      </c>
      <c r="H26" s="1840"/>
      <c r="I26" s="1841"/>
      <c r="J26" s="1188" t="s">
        <v>3904</v>
      </c>
      <c r="K26" s="1839">
        <v>11</v>
      </c>
      <c r="L26" s="1840"/>
      <c r="M26" s="1840"/>
      <c r="N26" s="1841"/>
      <c r="O26" s="1879"/>
      <c r="P26" s="1880"/>
      <c r="Q26" s="171"/>
      <c r="R26" s="171"/>
    </row>
    <row r="27" spans="1:18" s="43" customFormat="1" ht="24" customHeight="1">
      <c r="A27" s="1886">
        <v>12</v>
      </c>
      <c r="B27" s="1887"/>
      <c r="C27" s="1887"/>
      <c r="D27" s="1887"/>
      <c r="E27" s="1888"/>
      <c r="F27" s="1184"/>
      <c r="G27" s="1886">
        <v>12</v>
      </c>
      <c r="H27" s="1887"/>
      <c r="I27" s="1888"/>
      <c r="J27" s="1184"/>
      <c r="K27" s="1886">
        <v>12</v>
      </c>
      <c r="L27" s="1887"/>
      <c r="M27" s="1887"/>
      <c r="N27" s="1888"/>
      <c r="O27" s="1889"/>
      <c r="P27" s="1890"/>
    </row>
    <row r="28" spans="1:18" s="44" customFormat="1" ht="3" customHeight="1">
      <c r="D28" s="40"/>
      <c r="E28" s="37"/>
      <c r="F28" s="1193"/>
      <c r="G28" s="1193"/>
      <c r="H28" s="1193"/>
      <c r="I28" s="1193"/>
      <c r="J28" s="1223"/>
      <c r="K28" s="1223"/>
      <c r="L28" s="1223"/>
      <c r="M28" s="63"/>
      <c r="N28" s="1193"/>
      <c r="O28" s="1420"/>
      <c r="P28" s="3"/>
    </row>
    <row r="29" spans="1:18" s="44" customFormat="1" ht="12.6" customHeight="1">
      <c r="A29" s="495" t="s">
        <v>2064</v>
      </c>
      <c r="B29" s="119" t="s">
        <v>3907</v>
      </c>
      <c r="E29" s="60"/>
      <c r="G29" s="93"/>
      <c r="H29" s="54"/>
      <c r="I29" s="46" t="s">
        <v>3766</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900" t="s">
        <v>3908</v>
      </c>
      <c r="I31" s="1900"/>
      <c r="J31" s="1269">
        <f>'Part VI-Revenues &amp; Expenses'!$O$60</f>
        <v>70</v>
      </c>
      <c r="K31" s="1268"/>
      <c r="M31" s="1193"/>
      <c r="N31" s="7"/>
      <c r="Q31" s="7"/>
      <c r="R31" s="417"/>
    </row>
    <row r="32" spans="1:18" s="108" customFormat="1" ht="13.5" customHeight="1">
      <c r="A32" s="149"/>
      <c r="B32" s="1719" t="s">
        <v>3909</v>
      </c>
      <c r="C32" s="1719"/>
      <c r="D32" s="1719"/>
      <c r="E32" s="1719"/>
      <c r="F32" s="1719"/>
      <c r="G32" s="1181"/>
      <c r="H32" s="1272" t="s">
        <v>3910</v>
      </c>
      <c r="I32" s="1272" t="s">
        <v>3911</v>
      </c>
      <c r="J32" s="1181"/>
      <c r="K32" s="1901" t="s">
        <v>3568</v>
      </c>
      <c r="L32" s="1901"/>
      <c r="M32" s="1193"/>
      <c r="N32" s="7"/>
      <c r="Q32" s="7"/>
      <c r="R32" s="417"/>
    </row>
    <row r="33" spans="1:18" s="108" customFormat="1" ht="13.5" customHeight="1">
      <c r="B33" s="1719"/>
      <c r="C33" s="1719"/>
      <c r="D33" s="1719"/>
      <c r="E33" s="1719"/>
      <c r="F33" s="1719"/>
      <c r="H33" s="1903" t="s">
        <v>4067</v>
      </c>
      <c r="I33" s="1903"/>
      <c r="J33" s="1192"/>
      <c r="K33" s="1272" t="s">
        <v>3910</v>
      </c>
      <c r="L33" s="1272" t="s">
        <v>3911</v>
      </c>
      <c r="M33" s="483"/>
      <c r="N33" s="434" t="s">
        <v>2058</v>
      </c>
      <c r="O33" s="1277">
        <f>SUM(O34:O35)</f>
        <v>2</v>
      </c>
      <c r="P33" s="1277">
        <f>SUM(P34:P35)</f>
        <v>0</v>
      </c>
    </row>
    <row r="34" spans="1:18" s="477" customFormat="1" ht="13.5" customHeight="1">
      <c r="A34" s="476"/>
      <c r="B34" s="763" t="s">
        <v>2062</v>
      </c>
      <c r="C34" s="764">
        <v>0.15</v>
      </c>
      <c r="D34" s="150" t="s">
        <v>3567</v>
      </c>
      <c r="H34" s="3164">
        <v>15</v>
      </c>
      <c r="I34" s="625"/>
      <c r="K34" s="765">
        <f>IF(OR('Part VI-Revenues &amp; Expenses'!$O$60="", 'Part VI-Revenues &amp; Expenses'!$O$60=0),0,H34/'Part VI-Revenues &amp; Expenses'!$O$60)</f>
        <v>0.21428571428571427</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3529</v>
      </c>
      <c r="B35" s="763" t="s">
        <v>2064</v>
      </c>
      <c r="C35" s="764">
        <v>0.2</v>
      </c>
      <c r="D35" s="150" t="s">
        <v>3567</v>
      </c>
      <c r="H35" s="3165">
        <v>15</v>
      </c>
      <c r="I35" s="762"/>
      <c r="K35" s="1328">
        <f>IF(OR('Part VI-Revenues &amp; Expenses'!$O$60="", 'Part VI-Revenues &amp; Expenses'!$O$60=0),0,H35/'Part VI-Revenues &amp; Expenses'!$O$60)</f>
        <v>0.21428571428571427</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4070</v>
      </c>
      <c r="E37" s="478"/>
      <c r="H37" s="1903" t="s">
        <v>4072</v>
      </c>
      <c r="I37" s="1903"/>
      <c r="M37" s="483"/>
      <c r="N37" s="174" t="s">
        <v>2061</v>
      </c>
      <c r="O37" s="1277">
        <f>SUM(O38:O39)</f>
        <v>0</v>
      </c>
      <c r="P37" s="1277">
        <f>SUM(P38:P39)</f>
        <v>0</v>
      </c>
    </row>
    <row r="38" spans="1:18" s="477" customFormat="1" ht="13.5" customHeight="1">
      <c r="A38" s="476"/>
      <c r="B38" s="763" t="s">
        <v>2062</v>
      </c>
      <c r="C38" s="764">
        <v>0.15</v>
      </c>
      <c r="D38" s="150" t="s">
        <v>4071</v>
      </c>
      <c r="E38" s="478"/>
      <c r="F38" s="1185"/>
      <c r="H38" s="3166">
        <v>0</v>
      </c>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3529</v>
      </c>
      <c r="B39" s="763" t="s">
        <v>2064</v>
      </c>
      <c r="C39" s="1185" t="s">
        <v>4074</v>
      </c>
      <c r="E39" s="1353">
        <v>3</v>
      </c>
      <c r="F39" s="1185" t="s">
        <v>4073</v>
      </c>
      <c r="I39" s="1274" t="s">
        <v>4075</v>
      </c>
      <c r="K39" s="1273">
        <f>O113</f>
        <v>2</v>
      </c>
      <c r="L39" s="1273">
        <f>P113</f>
        <v>0</v>
      </c>
      <c r="M39" s="483">
        <v>1</v>
      </c>
      <c r="N39" s="434" t="s">
        <v>2064</v>
      </c>
      <c r="O39" s="3167">
        <v>0</v>
      </c>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2622</v>
      </c>
      <c r="B43" s="111" t="s">
        <v>1945</v>
      </c>
      <c r="D43" s="42"/>
      <c r="J43" s="1842" t="s">
        <v>619</v>
      </c>
      <c r="K43" s="1842"/>
      <c r="L43" s="1842"/>
      <c r="M43" s="141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42"/>
      <c r="K44" s="1842"/>
      <c r="L44" s="1842"/>
      <c r="M44" s="63"/>
      <c r="N44" s="1193"/>
      <c r="O44" s="1420"/>
      <c r="P44" s="3"/>
    </row>
    <row r="45" spans="1:18" s="44" customFormat="1" ht="12" customHeight="1">
      <c r="A45" s="149" t="s">
        <v>2058</v>
      </c>
      <c r="B45" s="180" t="s">
        <v>1946</v>
      </c>
      <c r="C45" s="4"/>
      <c r="D45" s="4"/>
      <c r="E45" s="188" t="s">
        <v>2824</v>
      </c>
      <c r="F45" s="331"/>
      <c r="G45" s="331"/>
      <c r="J45" s="1842"/>
      <c r="K45" s="1842"/>
      <c r="L45" s="1842"/>
      <c r="M45" s="77">
        <v>12</v>
      </c>
      <c r="N45" s="192" t="s">
        <v>2058</v>
      </c>
      <c r="O45" s="3168">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69">
        <v>1</v>
      </c>
      <c r="P46" s="624"/>
      <c r="Q46" s="433" t="s">
        <v>2810</v>
      </c>
      <c r="R46" s="417"/>
    </row>
    <row r="47" spans="1:18" s="44" customFormat="1" ht="12" customHeight="1">
      <c r="A47" s="149"/>
      <c r="B47" s="1902" t="s">
        <v>4076</v>
      </c>
      <c r="C47" s="1902"/>
      <c r="D47" s="1902"/>
      <c r="E47" s="1902"/>
      <c r="F47" s="3170" t="s">
        <v>3636</v>
      </c>
      <c r="G47" s="3171"/>
      <c r="H47" s="3172"/>
      <c r="I47" s="3170" t="s">
        <v>4295</v>
      </c>
      <c r="J47" s="3171"/>
      <c r="K47" s="3172"/>
      <c r="L47" s="3173">
        <v>0.7</v>
      </c>
      <c r="M47" s="77"/>
      <c r="N47" s="192"/>
      <c r="O47" s="192"/>
      <c r="P47" s="192"/>
      <c r="Q47" s="433"/>
      <c r="R47" s="417"/>
    </row>
    <row r="48" spans="1:18" s="44" customFormat="1" ht="12" customHeight="1">
      <c r="A48" s="149"/>
      <c r="B48" s="1902"/>
      <c r="C48" s="1902"/>
      <c r="D48" s="1902"/>
      <c r="E48" s="1902"/>
      <c r="F48" s="3174" t="s">
        <v>3641</v>
      </c>
      <c r="G48" s="3175"/>
      <c r="H48" s="3176"/>
      <c r="I48" s="3174" t="s">
        <v>4296</v>
      </c>
      <c r="J48" s="3175"/>
      <c r="K48" s="3176"/>
      <c r="L48" s="3177">
        <v>0.7</v>
      </c>
      <c r="M48" s="77"/>
      <c r="N48" s="192"/>
      <c r="O48" s="192"/>
      <c r="P48" s="192"/>
      <c r="Q48" s="433"/>
      <c r="R48" s="417"/>
    </row>
    <row r="49" spans="1:18" s="44" customFormat="1" ht="12" customHeight="1">
      <c r="A49" s="149"/>
      <c r="B49" s="1902"/>
      <c r="C49" s="1902"/>
      <c r="D49" s="1902"/>
      <c r="E49" s="1902"/>
      <c r="F49" s="3178" t="s">
        <v>3643</v>
      </c>
      <c r="G49" s="3179"/>
      <c r="H49" s="3180"/>
      <c r="I49" s="3178" t="s">
        <v>4297</v>
      </c>
      <c r="J49" s="3179"/>
      <c r="K49" s="3180"/>
      <c r="L49" s="3181">
        <v>0.7</v>
      </c>
      <c r="M49" s="77"/>
      <c r="N49" s="192"/>
      <c r="O49" s="192"/>
      <c r="P49" s="192"/>
      <c r="Q49" s="433"/>
      <c r="R49" s="417"/>
    </row>
    <row r="50" spans="1:18" s="44" customFormat="1" ht="12.6" customHeight="1">
      <c r="A50" s="149" t="s">
        <v>779</v>
      </c>
      <c r="B50" s="180" t="s">
        <v>1947</v>
      </c>
      <c r="D50" s="42"/>
      <c r="E50" s="188" t="s">
        <v>442</v>
      </c>
      <c r="F50" s="437"/>
      <c r="G50" s="437"/>
      <c r="H50" s="437"/>
      <c r="M50" s="1422" t="s">
        <v>1285</v>
      </c>
      <c r="N50" s="525" t="s">
        <v>779</v>
      </c>
      <c r="O50" s="3182">
        <v>0</v>
      </c>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23.45" customHeight="1">
      <c r="A52" s="3058" t="s">
        <v>4298</v>
      </c>
      <c r="B52" s="3059"/>
      <c r="C52" s="3059"/>
      <c r="D52" s="3059"/>
      <c r="E52" s="3059"/>
      <c r="F52" s="3059"/>
      <c r="G52" s="3059"/>
      <c r="H52" s="3059"/>
      <c r="I52" s="3059"/>
      <c r="J52" s="3059"/>
      <c r="K52" s="3059"/>
      <c r="L52" s="3059"/>
      <c r="M52" s="3059"/>
      <c r="N52" s="3059"/>
      <c r="O52" s="3059"/>
      <c r="P52" s="3060"/>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416"/>
      <c r="N57" s="525"/>
      <c r="O57" s="1194" t="s">
        <v>3919</v>
      </c>
      <c r="P57" s="1194" t="s">
        <v>3920</v>
      </c>
      <c r="Q57" s="115"/>
    </row>
    <row r="58" spans="1:18" s="44" customFormat="1" ht="12.6" customHeight="1">
      <c r="A58" s="165"/>
      <c r="B58" s="541" t="s">
        <v>2062</v>
      </c>
      <c r="C58" s="57" t="s">
        <v>3913</v>
      </c>
      <c r="D58" s="42"/>
      <c r="H58" s="46"/>
      <c r="I58" s="50"/>
      <c r="J58" s="49"/>
      <c r="K58" s="49"/>
      <c r="M58" s="1416"/>
      <c r="N58" s="525"/>
      <c r="O58" s="3054" t="s">
        <v>3153</v>
      </c>
      <c r="P58" s="627"/>
      <c r="Q58" s="115"/>
    </row>
    <row r="59" spans="1:18" s="44" customFormat="1" ht="12.6" customHeight="1">
      <c r="A59" s="165"/>
      <c r="B59" s="541" t="s">
        <v>2064</v>
      </c>
      <c r="C59" s="57" t="s">
        <v>3914</v>
      </c>
      <c r="D59" s="42"/>
      <c r="H59" s="46"/>
      <c r="I59" s="50"/>
      <c r="J59" s="49"/>
      <c r="K59" s="49"/>
      <c r="M59" s="1416"/>
      <c r="N59" s="525"/>
      <c r="O59" s="525"/>
      <c r="P59" s="628"/>
      <c r="Q59" s="115"/>
    </row>
    <row r="60" spans="1:18" s="44" customFormat="1" ht="12.6" customHeight="1">
      <c r="A60" s="165"/>
      <c r="B60" s="541" t="s">
        <v>2622</v>
      </c>
      <c r="C60" s="57" t="s">
        <v>3915</v>
      </c>
      <c r="D60" s="42"/>
      <c r="H60" s="46"/>
      <c r="I60" s="50"/>
      <c r="J60" s="49"/>
      <c r="K60" s="49"/>
      <c r="M60" s="1416"/>
      <c r="N60" s="525"/>
      <c r="O60" s="3054" t="s">
        <v>3153</v>
      </c>
      <c r="P60" s="627"/>
      <c r="Q60" s="115"/>
    </row>
    <row r="61" spans="1:18" s="44" customFormat="1" ht="22.5" customHeight="1">
      <c r="A61" s="165"/>
      <c r="B61" s="541" t="s">
        <v>1270</v>
      </c>
      <c r="C61" s="1878" t="s">
        <v>3916</v>
      </c>
      <c r="D61" s="1878"/>
      <c r="E61" s="1878"/>
      <c r="F61" s="1878"/>
      <c r="G61" s="1878"/>
      <c r="H61" s="1878"/>
      <c r="I61" s="1878"/>
      <c r="J61" s="1878"/>
      <c r="K61" s="1878"/>
      <c r="L61" s="1878"/>
      <c r="M61" s="621"/>
      <c r="N61" s="525"/>
      <c r="O61" s="3139" t="s">
        <v>4299</v>
      </c>
      <c r="P61" s="639"/>
      <c r="Q61" s="115"/>
    </row>
    <row r="62" spans="1:18" s="44" customFormat="1" ht="12.6" customHeight="1">
      <c r="A62" s="165"/>
      <c r="B62" s="541" t="s">
        <v>1271</v>
      </c>
      <c r="C62" s="57" t="s">
        <v>3917</v>
      </c>
      <c r="D62" s="42"/>
      <c r="H62" s="46"/>
      <c r="I62" s="50"/>
      <c r="J62" s="49"/>
      <c r="K62" s="49"/>
      <c r="M62" s="1416"/>
      <c r="N62" s="525"/>
      <c r="O62" s="3054" t="s">
        <v>3153</v>
      </c>
      <c r="P62" s="627"/>
      <c r="Q62" s="115"/>
    </row>
    <row r="63" spans="1:18" s="44" customFormat="1" ht="12.6" customHeight="1">
      <c r="A63" s="165"/>
      <c r="B63" s="541" t="s">
        <v>1955</v>
      </c>
      <c r="C63" s="57" t="s">
        <v>3918</v>
      </c>
      <c r="D63" s="42"/>
      <c r="H63" s="46"/>
      <c r="I63" s="50"/>
      <c r="J63" s="49"/>
      <c r="K63" s="49"/>
      <c r="M63" s="1416"/>
      <c r="N63" s="525"/>
      <c r="O63" s="3054" t="s">
        <v>3153</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2903</v>
      </c>
      <c r="B65" s="111"/>
      <c r="D65" s="42"/>
      <c r="H65" s="180" t="s">
        <v>2912</v>
      </c>
      <c r="I65" s="594"/>
      <c r="J65" s="180" t="str">
        <f>'Part I-Project Information'!$H$90</f>
        <v>Rural</v>
      </c>
      <c r="L65" s="28"/>
      <c r="M65" s="1416"/>
      <c r="N65" s="1416"/>
      <c r="O65" s="1416"/>
      <c r="P65" s="1416"/>
      <c r="Q65" s="115"/>
    </row>
    <row r="66" spans="1:18" s="462" customFormat="1" ht="23.25" customHeight="1">
      <c r="A66" s="154" t="s">
        <v>2058</v>
      </c>
      <c r="B66" s="1843" t="s">
        <v>3921</v>
      </c>
      <c r="C66" s="1843"/>
      <c r="D66" s="1843"/>
      <c r="E66" s="1843"/>
      <c r="F66" s="1843"/>
      <c r="G66" s="1843"/>
      <c r="H66" s="1843"/>
      <c r="I66" s="1844" t="s">
        <v>3760</v>
      </c>
      <c r="J66" s="1845"/>
      <c r="K66" s="1845"/>
      <c r="L66" s="1846"/>
      <c r="M66" s="589">
        <v>5</v>
      </c>
      <c r="N66" s="434" t="s">
        <v>2058</v>
      </c>
      <c r="O66" s="3183">
        <v>0</v>
      </c>
      <c r="P66" s="1431"/>
      <c r="Q66" s="590" t="str">
        <f>IF(OR($O66=$M66,$O66=0,$O66=""),"","* * Check Score! * *")</f>
        <v/>
      </c>
      <c r="R66" s="433" t="s">
        <v>2810</v>
      </c>
    </row>
    <row r="67" spans="1:18" s="462" customFormat="1" ht="12" customHeight="1">
      <c r="A67" s="154" t="s">
        <v>2061</v>
      </c>
      <c r="B67" s="867" t="s">
        <v>3756</v>
      </c>
      <c r="C67" s="867"/>
      <c r="D67" s="867"/>
      <c r="E67" s="867"/>
      <c r="F67" s="867"/>
      <c r="G67" s="867"/>
      <c r="H67" s="867"/>
      <c r="I67" s="3184" t="s">
        <v>4300</v>
      </c>
      <c r="J67" s="3185"/>
      <c r="K67" s="3185"/>
      <c r="L67" s="3186">
        <v>8665436744</v>
      </c>
      <c r="M67" s="589">
        <v>4</v>
      </c>
      <c r="N67" s="174" t="s">
        <v>2061</v>
      </c>
      <c r="O67" s="3187">
        <v>0</v>
      </c>
      <c r="P67" s="1149"/>
      <c r="Q67" s="590" t="str">
        <f>IF(OR($O67=$M67,$O67=0,$O67=""),"","* * Check Score! * *")</f>
        <v/>
      </c>
      <c r="R67" s="433" t="s">
        <v>2810</v>
      </c>
    </row>
    <row r="68" spans="1:18" s="462" customFormat="1" ht="12" customHeight="1">
      <c r="A68" s="149" t="s">
        <v>779</v>
      </c>
      <c r="B68" s="116" t="s">
        <v>3757</v>
      </c>
      <c r="C68" s="867"/>
      <c r="D68" s="867"/>
      <c r="E68" s="867"/>
      <c r="F68" s="867"/>
      <c r="G68" s="867"/>
      <c r="H68" s="867"/>
      <c r="I68" s="3188" t="s">
        <v>4301</v>
      </c>
      <c r="J68" s="3189"/>
      <c r="K68" s="3189"/>
      <c r="L68" s="3190"/>
      <c r="M68" s="589">
        <v>3</v>
      </c>
      <c r="N68" s="192" t="s">
        <v>779</v>
      </c>
      <c r="O68" s="3187">
        <v>0</v>
      </c>
      <c r="P68" s="1149"/>
      <c r="Q68" s="590" t="str">
        <f>IF(OR($O68=$M68,$O68=0,$O68=""),"","* * Check Score! * *")</f>
        <v/>
      </c>
      <c r="R68" s="433" t="s">
        <v>2810</v>
      </c>
    </row>
    <row r="69" spans="1:18" s="44" customFormat="1" ht="12.6" customHeight="1">
      <c r="A69" s="149" t="s">
        <v>2193</v>
      </c>
      <c r="B69" s="116" t="s">
        <v>3758</v>
      </c>
      <c r="E69" s="42"/>
      <c r="I69" s="3191"/>
      <c r="J69" s="3192"/>
      <c r="K69" s="3192"/>
      <c r="L69" s="3193"/>
      <c r="M69" s="77">
        <v>2</v>
      </c>
      <c r="N69" s="192" t="s">
        <v>2193</v>
      </c>
      <c r="O69" s="3194">
        <v>0</v>
      </c>
      <c r="P69" s="623"/>
      <c r="Q69" s="417" t="str">
        <f>IF(OR($O69=$M69,$O69=0,$O69=""),"","* * Check Score! * *")</f>
        <v/>
      </c>
      <c r="R69" s="433" t="s">
        <v>2810</v>
      </c>
    </row>
    <row r="70" spans="1:18" s="44" customFormat="1" ht="12.6" customHeight="1">
      <c r="A70" s="149" t="s">
        <v>1801</v>
      </c>
      <c r="B70" s="867" t="s">
        <v>3759</v>
      </c>
      <c r="E70" s="42"/>
      <c r="I70" s="3188" t="s">
        <v>4302</v>
      </c>
      <c r="J70" s="3189"/>
      <c r="K70" s="3189"/>
      <c r="L70" s="3190"/>
      <c r="M70" s="77">
        <v>1</v>
      </c>
      <c r="N70" s="192" t="s">
        <v>1801</v>
      </c>
      <c r="O70" s="3169">
        <v>0</v>
      </c>
      <c r="P70" s="624"/>
      <c r="Q70" s="417" t="str">
        <f>IF(OR($O70=$M70,$O70=0,$O70=""),"","* * Check Score! * *")</f>
        <v/>
      </c>
      <c r="R70" s="433" t="s">
        <v>2810</v>
      </c>
    </row>
    <row r="71" spans="1:18" s="44" customFormat="1" ht="12.6" customHeight="1">
      <c r="A71" s="593" t="s">
        <v>2905</v>
      </c>
      <c r="B71" s="180"/>
      <c r="E71" s="42"/>
      <c r="I71" s="3195"/>
      <c r="J71" s="3196"/>
      <c r="K71" s="3196"/>
      <c r="L71" s="3197"/>
      <c r="M71" s="77"/>
      <c r="N71" s="77"/>
      <c r="O71" s="77"/>
      <c r="P71" s="77"/>
      <c r="Q71" s="417"/>
      <c r="R71" s="417"/>
    </row>
    <row r="72" spans="1:18" s="108" customFormat="1" ht="12" customHeight="1">
      <c r="A72" s="149" t="s">
        <v>1802</v>
      </c>
      <c r="B72" s="180" t="s">
        <v>3922</v>
      </c>
      <c r="C72" s="180"/>
      <c r="D72" s="180"/>
      <c r="E72" s="180"/>
      <c r="F72" s="180"/>
      <c r="G72" s="180"/>
      <c r="H72" s="180"/>
      <c r="I72" s="180"/>
      <c r="J72" s="180"/>
      <c r="K72" s="180"/>
      <c r="L72" s="180"/>
      <c r="M72" s="77">
        <v>2</v>
      </c>
      <c r="N72" s="192" t="s">
        <v>1802</v>
      </c>
      <c r="O72" s="3182">
        <v>2</v>
      </c>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12.75" customHeight="1">
      <c r="A75" s="3058" t="s">
        <v>4303</v>
      </c>
      <c r="B75" s="3059"/>
      <c r="C75" s="3059"/>
      <c r="D75" s="3059"/>
      <c r="E75" s="3059"/>
      <c r="F75" s="3059"/>
      <c r="G75" s="3059"/>
      <c r="H75" s="3059"/>
      <c r="I75" s="3059"/>
      <c r="J75" s="3059"/>
      <c r="K75" s="3059"/>
      <c r="L75" s="3059"/>
      <c r="M75" s="3059"/>
      <c r="N75" s="3059"/>
      <c r="O75" s="3059"/>
      <c r="P75" s="3060"/>
      <c r="Q75" s="500" t="s">
        <v>1301</v>
      </c>
    </row>
    <row r="76" spans="1:18" s="108" customFormat="1" ht="11.45" customHeight="1">
      <c r="A76" s="43"/>
      <c r="B76" s="103" t="s">
        <v>1937</v>
      </c>
      <c r="C76" s="43"/>
      <c r="D76" s="103"/>
      <c r="E76" s="1426"/>
      <c r="F76" s="1426"/>
      <c r="G76" s="1426"/>
      <c r="H76" s="1426"/>
      <c r="I76" s="1426"/>
      <c r="J76" s="1426"/>
      <c r="K76" s="1426"/>
      <c r="L76" s="1426"/>
      <c r="M76" s="1426"/>
      <c r="N76" s="99"/>
      <c r="O76" s="1165"/>
      <c r="P76" s="1416"/>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198">
        <v>0</v>
      </c>
      <c r="P79" s="1147"/>
      <c r="Q79" s="115" t="s">
        <v>456</v>
      </c>
      <c r="R79" s="433" t="s">
        <v>2810</v>
      </c>
    </row>
    <row r="80" spans="1:18" s="44" customFormat="1" ht="12.6" customHeight="1">
      <c r="A80" s="154" t="s">
        <v>2058</v>
      </c>
      <c r="B80" s="438" t="s">
        <v>2714</v>
      </c>
      <c r="D80" s="42"/>
      <c r="E80" s="37"/>
      <c r="K80" s="3199" t="s">
        <v>1006</v>
      </c>
      <c r="L80" s="3200"/>
      <c r="M80" s="3201"/>
      <c r="P80" s="525"/>
      <c r="Q80" s="115"/>
    </row>
    <row r="81" spans="1:18" s="44" customFormat="1" ht="12.6" customHeight="1">
      <c r="A81" s="154" t="s">
        <v>2061</v>
      </c>
      <c r="B81" s="438" t="s">
        <v>3653</v>
      </c>
      <c r="D81" s="42"/>
      <c r="E81" s="37"/>
      <c r="K81" s="3199" t="s">
        <v>1006</v>
      </c>
      <c r="L81" s="3200"/>
      <c r="M81" s="3201"/>
      <c r="O81" s="127" t="s">
        <v>2597</v>
      </c>
      <c r="P81" s="127" t="s">
        <v>2597</v>
      </c>
      <c r="Q81" s="115"/>
    </row>
    <row r="82" spans="1:18" s="44" customFormat="1" ht="12.6" customHeight="1">
      <c r="A82" s="149" t="s">
        <v>779</v>
      </c>
      <c r="B82" s="438" t="s">
        <v>3745</v>
      </c>
      <c r="D82" s="42"/>
      <c r="E82" s="37"/>
      <c r="N82" s="192" t="s">
        <v>779</v>
      </c>
      <c r="O82" s="3054" t="s">
        <v>3156</v>
      </c>
      <c r="P82" s="627"/>
      <c r="Q82" s="115"/>
    </row>
    <row r="83" spans="1:18" s="108" customFormat="1" ht="11.45" customHeight="1">
      <c r="A83" s="43"/>
      <c r="B83" s="103" t="s">
        <v>1937</v>
      </c>
      <c r="C83" s="43"/>
      <c r="D83" s="103"/>
      <c r="E83" s="1426"/>
      <c r="F83" s="1426"/>
      <c r="G83" s="1426"/>
      <c r="H83" s="1426"/>
      <c r="I83" s="1426"/>
      <c r="J83" s="1426"/>
      <c r="K83" s="1426"/>
      <c r="L83" s="1426"/>
      <c r="M83" s="1426"/>
      <c r="N83" s="99"/>
      <c r="O83" s="1165"/>
      <c r="P83" s="1416"/>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0" t="s">
        <v>4304</v>
      </c>
      <c r="J87" s="3202"/>
      <c r="K87" s="2631"/>
      <c r="M87" s="1416"/>
      <c r="N87" s="441"/>
      <c r="O87" s="483"/>
      <c r="P87" s="483"/>
      <c r="Q87" s="115"/>
    </row>
    <row r="88" spans="1:18" s="44" customFormat="1" ht="12.6" customHeight="1">
      <c r="A88" s="165"/>
      <c r="B88" s="92" t="s">
        <v>2912</v>
      </c>
      <c r="G88" s="42"/>
      <c r="H88" s="42"/>
      <c r="I88" s="826" t="str">
        <f>'Part I-Project Information'!$H$90</f>
        <v>Rural</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925" t="s">
        <v>4077</v>
      </c>
      <c r="C90" s="1926"/>
      <c r="D90" s="1926"/>
      <c r="E90" s="1926"/>
      <c r="F90" s="1927"/>
      <c r="G90" s="481" t="s">
        <v>4078</v>
      </c>
      <c r="H90" s="3203">
        <v>42523</v>
      </c>
      <c r="I90" s="3204" t="s">
        <v>4211</v>
      </c>
      <c r="J90" s="3205"/>
      <c r="K90" s="3204" t="s">
        <v>4370</v>
      </c>
      <c r="L90" s="3206"/>
      <c r="M90" s="3205"/>
      <c r="N90" s="192"/>
      <c r="O90" s="3137" t="s">
        <v>3153</v>
      </c>
      <c r="P90" s="628"/>
      <c r="Q90" s="115"/>
    </row>
    <row r="91" spans="1:18" ht="11.45" customHeight="1">
      <c r="B91" s="1928"/>
      <c r="C91" s="1929"/>
      <c r="D91" s="1929"/>
      <c r="E91" s="1929"/>
      <c r="F91" s="1930"/>
      <c r="G91" s="481" t="s">
        <v>4078</v>
      </c>
      <c r="H91" s="3207">
        <v>42523</v>
      </c>
      <c r="I91" s="3208" t="s">
        <v>4212</v>
      </c>
      <c r="J91" s="3209"/>
      <c r="K91" s="3208" t="s">
        <v>4370</v>
      </c>
      <c r="L91" s="3210"/>
      <c r="M91" s="3209"/>
      <c r="N91" s="28"/>
      <c r="O91" s="28"/>
      <c r="P91" s="28"/>
    </row>
    <row r="92" spans="1:18" s="44" customFormat="1" ht="12.6" customHeight="1">
      <c r="A92" s="165"/>
      <c r="B92" s="484" t="s">
        <v>4173</v>
      </c>
      <c r="G92" s="42"/>
      <c r="H92" s="42"/>
      <c r="I92" s="826"/>
      <c r="K92" s="28"/>
      <c r="M92" s="1416"/>
      <c r="N92" s="441"/>
      <c r="O92" s="3054" t="s">
        <v>3153</v>
      </c>
      <c r="P92" s="627"/>
      <c r="Q92" s="115"/>
    </row>
    <row r="93" spans="1:18" s="44" customFormat="1" ht="12.6" customHeight="1">
      <c r="A93" s="165"/>
      <c r="B93" s="92" t="s">
        <v>4179</v>
      </c>
      <c r="G93" s="42"/>
      <c r="H93" s="42"/>
      <c r="I93" s="314" t="s">
        <v>4180</v>
      </c>
      <c r="J93" s="3211">
        <v>42513</v>
      </c>
      <c r="K93" s="314" t="s">
        <v>4178</v>
      </c>
      <c r="L93" s="3211">
        <v>42513</v>
      </c>
      <c r="M93" s="1416"/>
      <c r="N93" s="441"/>
      <c r="O93" s="3054" t="s">
        <v>3153</v>
      </c>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4171</v>
      </c>
      <c r="D96" s="42"/>
      <c r="M96" s="1416"/>
      <c r="O96" s="3054" t="s">
        <v>3156</v>
      </c>
      <c r="P96" s="627"/>
      <c r="Q96" s="115"/>
    </row>
    <row r="97" spans="1:17" ht="11.45" customHeight="1">
      <c r="B97" s="415" t="s">
        <v>2062</v>
      </c>
      <c r="C97" s="426" t="s">
        <v>2715</v>
      </c>
      <c r="E97" s="125"/>
      <c r="N97" s="28"/>
      <c r="O97" s="28"/>
      <c r="P97" s="28"/>
    </row>
    <row r="98" spans="1:17" ht="11.25" customHeight="1">
      <c r="A98" s="461"/>
      <c r="B98" s="432"/>
      <c r="C98" s="1355" t="s">
        <v>4172</v>
      </c>
      <c r="D98" s="1354"/>
      <c r="E98" s="1354"/>
      <c r="F98" s="1354"/>
      <c r="G98" s="1354"/>
      <c r="H98" s="1354"/>
      <c r="I98" s="1354"/>
      <c r="J98" s="1354"/>
      <c r="K98" s="1354"/>
      <c r="L98" s="3211" t="s">
        <v>1006</v>
      </c>
      <c r="M98" s="429"/>
      <c r="N98" s="28"/>
      <c r="O98" s="28"/>
      <c r="P98" s="28"/>
    </row>
    <row r="99" spans="1:17" ht="11.45" customHeight="1">
      <c r="B99" s="415" t="s">
        <v>2064</v>
      </c>
      <c r="C99" s="426" t="s">
        <v>3923</v>
      </c>
      <c r="E99" s="125"/>
      <c r="M99" s="430"/>
      <c r="N99" s="28"/>
      <c r="O99" s="28"/>
      <c r="P99" s="28"/>
    </row>
    <row r="100" spans="1:17" ht="11.25" customHeight="1">
      <c r="A100" s="461"/>
      <c r="B100" s="431" t="s">
        <v>2520</v>
      </c>
      <c r="C100" s="1355" t="s">
        <v>4177</v>
      </c>
      <c r="D100" s="1354"/>
      <c r="E100" s="1354"/>
      <c r="F100" s="1354"/>
      <c r="G100" s="1354"/>
      <c r="H100" s="1354"/>
      <c r="K100" s="1354"/>
      <c r="L100" s="3212" t="s">
        <v>1006</v>
      </c>
      <c r="M100" s="429"/>
      <c r="N100" s="28"/>
      <c r="O100" s="28"/>
      <c r="P100" s="28"/>
    </row>
    <row r="101" spans="1:17" ht="11.25" customHeight="1">
      <c r="A101" s="461"/>
      <c r="B101" s="416" t="s">
        <v>2521</v>
      </c>
      <c r="C101" s="1355" t="s">
        <v>4174</v>
      </c>
      <c r="D101" s="1354"/>
      <c r="E101" s="1354"/>
      <c r="F101" s="1354"/>
      <c r="G101" s="1354"/>
      <c r="H101" s="1354"/>
      <c r="I101" s="3213" t="s">
        <v>4175</v>
      </c>
      <c r="J101" s="3214"/>
      <c r="K101" s="3213" t="s">
        <v>4176</v>
      </c>
      <c r="L101" s="3215"/>
      <c r="M101" s="321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6"/>
      <c r="N103" s="541" t="s">
        <v>2062</v>
      </c>
      <c r="O103" s="3093"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6"/>
      <c r="N104" s="541" t="s">
        <v>2064</v>
      </c>
      <c r="O104" s="3096"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6"/>
      <c r="N105" s="541" t="s">
        <v>2622</v>
      </c>
      <c r="O105" s="3096"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6"/>
      <c r="N106" s="541" t="s">
        <v>1270</v>
      </c>
      <c r="O106" s="3094"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12.75" customHeight="1">
      <c r="A109" s="3216" t="s">
        <v>4305</v>
      </c>
      <c r="B109" s="3217"/>
      <c r="C109" s="3217"/>
      <c r="D109" s="3217"/>
      <c r="E109" s="3217"/>
      <c r="F109" s="3217"/>
      <c r="G109" s="3217"/>
      <c r="H109" s="3217"/>
      <c r="I109" s="3217"/>
      <c r="J109" s="3217"/>
      <c r="K109" s="3217"/>
      <c r="L109" s="3217"/>
      <c r="M109" s="3217"/>
      <c r="N109" s="3217"/>
      <c r="O109" s="3217"/>
      <c r="P109" s="3218"/>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26"/>
      <c r="B111" s="1827"/>
      <c r="C111" s="1827"/>
      <c r="D111" s="1827"/>
      <c r="E111" s="1827"/>
      <c r="F111" s="1827"/>
      <c r="G111" s="1827"/>
      <c r="H111" s="1827"/>
      <c r="I111" s="1827"/>
      <c r="J111" s="1827"/>
      <c r="K111" s="1827"/>
      <c r="L111" s="1827"/>
      <c r="M111" s="1827"/>
      <c r="N111" s="1827"/>
      <c r="O111" s="1827"/>
      <c r="P111" s="1828"/>
      <c r="Q111" s="500" t="s">
        <v>1301</v>
      </c>
    </row>
    <row r="112" spans="1:17" s="44" customFormat="1" ht="3" customHeight="1">
      <c r="A112" s="43"/>
      <c r="D112" s="40"/>
      <c r="E112" s="37"/>
      <c r="F112" s="1193"/>
      <c r="G112" s="1193"/>
      <c r="H112" s="1193"/>
      <c r="I112" s="1193"/>
      <c r="J112" s="1223"/>
      <c r="K112" s="1223"/>
      <c r="L112" s="1223"/>
      <c r="M112" s="63"/>
      <c r="N112" s="1193"/>
      <c r="O112" s="1420"/>
      <c r="P112" s="3"/>
    </row>
    <row r="113" spans="1:18" s="108" customFormat="1" ht="12.6" customHeight="1">
      <c r="A113" s="165" t="s">
        <v>521</v>
      </c>
      <c r="B113" s="112" t="s">
        <v>2904</v>
      </c>
      <c r="C113" s="98"/>
      <c r="D113" s="62"/>
      <c r="E113" s="62"/>
      <c r="H113" s="188" t="s">
        <v>3924</v>
      </c>
      <c r="M113" s="1416">
        <v>8</v>
      </c>
      <c r="N113" s="7"/>
      <c r="O113" s="1199">
        <f>O115+O122+O125</f>
        <v>2</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82" t="s">
        <v>3927</v>
      </c>
      <c r="B115" s="1161" t="s">
        <v>3925</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26"/>
      <c r="Q115" s="115"/>
      <c r="R115" s="44"/>
    </row>
    <row r="116" spans="1:18" ht="11.45" customHeight="1">
      <c r="A116" s="1882"/>
      <c r="B116" s="116" t="s">
        <v>2912</v>
      </c>
      <c r="C116" s="591"/>
      <c r="D116" s="591"/>
      <c r="E116" s="592" t="str">
        <f>'Part I-Project Information'!$H$90</f>
        <v>Rural</v>
      </c>
      <c r="N116" s="28"/>
      <c r="O116" s="127" t="s">
        <v>2597</v>
      </c>
      <c r="P116" s="127" t="s">
        <v>2597</v>
      </c>
    </row>
    <row r="117" spans="1:18" ht="11.45" customHeight="1">
      <c r="A117" s="1882"/>
      <c r="B117" s="415" t="s">
        <v>2062</v>
      </c>
      <c r="C117" s="492" t="s">
        <v>2785</v>
      </c>
      <c r="E117" s="125"/>
      <c r="M117" s="85"/>
      <c r="N117" s="28"/>
      <c r="O117" s="3137" t="s">
        <v>3153</v>
      </c>
      <c r="P117" s="628"/>
      <c r="Q117" s="1899" t="str">
        <f>IF(AND(O117="Yes",O120="Yes"),"Only 1 or 4 can be 'Yes'!","")</f>
        <v/>
      </c>
      <c r="R117" s="1899"/>
    </row>
    <row r="118" spans="1:18" ht="11.45" customHeight="1">
      <c r="B118" s="415" t="s">
        <v>2064</v>
      </c>
      <c r="C118" s="492" t="s">
        <v>2853</v>
      </c>
      <c r="D118" s="3219">
        <v>0.2</v>
      </c>
      <c r="E118" s="492" t="s">
        <v>2854</v>
      </c>
      <c r="G118" s="106" t="s">
        <v>2474</v>
      </c>
      <c r="K118" s="145" t="s">
        <v>2852</v>
      </c>
      <c r="L118" s="3220">
        <v>0.15670000000000001</v>
      </c>
      <c r="M118" s="1197" t="str">
        <f>IF(L118&gt;D118,"CHECK ACTUAL PERCENT!!!","")</f>
        <v/>
      </c>
      <c r="N118" s="480"/>
      <c r="Q118" s="1899"/>
      <c r="R118" s="1899"/>
    </row>
    <row r="119" spans="1:18" ht="11.45" customHeight="1">
      <c r="B119" s="415" t="s">
        <v>2622</v>
      </c>
      <c r="C119" s="466" t="s">
        <v>2475</v>
      </c>
      <c r="E119" s="125"/>
      <c r="G119" s="106" t="s">
        <v>2476</v>
      </c>
      <c r="K119" s="537" t="s">
        <v>2844</v>
      </c>
      <c r="L119" s="3221" t="s">
        <v>1384</v>
      </c>
      <c r="Q119" s="1899"/>
      <c r="R119" s="1899"/>
    </row>
    <row r="120" spans="1:18" ht="11.45" customHeight="1">
      <c r="B120" s="415" t="s">
        <v>1270</v>
      </c>
      <c r="C120" s="1881" t="s">
        <v>3931</v>
      </c>
      <c r="D120" s="1881"/>
      <c r="E120" s="1881"/>
      <c r="F120" s="1881"/>
      <c r="G120" s="1881"/>
      <c r="H120" s="1881"/>
      <c r="I120" s="1881"/>
      <c r="J120" s="1881"/>
      <c r="K120" s="1881"/>
      <c r="L120" s="1881"/>
      <c r="M120" s="1881"/>
      <c r="N120" s="28"/>
      <c r="O120" s="3137" t="s">
        <v>4299</v>
      </c>
      <c r="P120" s="628"/>
      <c r="Q120" s="1899"/>
      <c r="R120" s="1899"/>
    </row>
    <row r="121" spans="1:18" ht="11.45" customHeight="1">
      <c r="B121" s="415"/>
      <c r="C121" s="1881"/>
      <c r="D121" s="1881"/>
      <c r="E121" s="1881"/>
      <c r="F121" s="1881"/>
      <c r="G121" s="1881"/>
      <c r="H121" s="1881"/>
      <c r="I121" s="1881"/>
      <c r="J121" s="1881"/>
      <c r="K121" s="1881"/>
      <c r="L121" s="1881"/>
      <c r="M121" s="1881"/>
    </row>
    <row r="122" spans="1:18" ht="11.45" customHeight="1">
      <c r="A122" s="594" t="s">
        <v>779</v>
      </c>
      <c r="B122" s="1195" t="s">
        <v>3926</v>
      </c>
      <c r="C122" s="466"/>
      <c r="E122" s="125"/>
      <c r="G122" s="106"/>
      <c r="K122" s="1443" t="s">
        <v>3910</v>
      </c>
      <c r="L122" s="1443" t="s">
        <v>3911</v>
      </c>
      <c r="M122" s="130">
        <v>3</v>
      </c>
      <c r="O122" s="1199">
        <f>IF(OR(K123="A2",K123="A3",K123="B1"),3,IF(OR(K123="A1",K123="B2",K123="C1"),2,IF(OR(K123="B3",K123="C2"),1,0)))</f>
        <v>1</v>
      </c>
      <c r="P122" s="81">
        <f>IF(OR(L123="A2",L123="A3",L123="B1"),3,IF(OR(L123="A1",L123="B2",L123="C1"),2,IF(OR(L123="B3",L123="C2"),1,0)))</f>
        <v>0</v>
      </c>
    </row>
    <row r="123" spans="1:18" ht="11.45" customHeight="1">
      <c r="A123" s="594"/>
      <c r="B123" s="1931" t="s">
        <v>3930</v>
      </c>
      <c r="C123" s="1931"/>
      <c r="D123" s="1931"/>
      <c r="E123" s="1931"/>
      <c r="F123" s="1931"/>
      <c r="G123" s="1931"/>
      <c r="H123" s="1931"/>
      <c r="I123" s="1931"/>
      <c r="J123" s="1931"/>
      <c r="K123" s="3222" t="s">
        <v>4306</v>
      </c>
      <c r="L123" s="628" t="s">
        <v>207</v>
      </c>
      <c r="O123" s="1193"/>
      <c r="P123" s="1193"/>
    </row>
    <row r="124" spans="1:18" ht="11.45" customHeight="1">
      <c r="A124" s="594"/>
      <c r="B124" s="1931"/>
      <c r="C124" s="1931"/>
      <c r="D124" s="1931"/>
      <c r="E124" s="1931"/>
      <c r="F124" s="1931"/>
      <c r="G124" s="1931"/>
      <c r="H124" s="1931"/>
      <c r="I124" s="1931"/>
      <c r="J124" s="1931"/>
      <c r="O124" s="1193"/>
      <c r="P124" s="1193"/>
    </row>
    <row r="125" spans="1:18" ht="11.45" customHeight="1">
      <c r="A125" s="594" t="s">
        <v>2193</v>
      </c>
      <c r="B125" s="1195" t="s">
        <v>3928</v>
      </c>
      <c r="C125" s="466"/>
      <c r="E125" s="125"/>
      <c r="G125" s="537" t="s">
        <v>3929</v>
      </c>
      <c r="H125" s="1196">
        <f>'Part VI-Revenues &amp; Expenses'!$O$59</f>
        <v>0</v>
      </c>
      <c r="I125" s="1443" t="s">
        <v>3945</v>
      </c>
      <c r="J125" s="1196">
        <f>'Part VI-Revenues &amp; Expenses'!$O$62</f>
        <v>70</v>
      </c>
      <c r="K125" s="1443" t="s">
        <v>3946</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26"/>
      <c r="B127" s="1827"/>
      <c r="C127" s="1827"/>
      <c r="D127" s="1827"/>
      <c r="E127" s="1827"/>
      <c r="F127" s="1827"/>
      <c r="G127" s="1827"/>
      <c r="H127" s="1827"/>
      <c r="I127" s="1827"/>
      <c r="J127" s="1827"/>
      <c r="K127" s="1827"/>
      <c r="L127" s="1827"/>
      <c r="M127" s="1827"/>
      <c r="N127" s="1827"/>
      <c r="O127" s="1827"/>
      <c r="P127" s="1828"/>
      <c r="Q127" s="500" t="s">
        <v>1301</v>
      </c>
    </row>
    <row r="128" spans="1:18" s="44" customFormat="1" ht="3" customHeight="1">
      <c r="A128" s="43"/>
      <c r="D128" s="40"/>
      <c r="E128" s="37"/>
      <c r="F128" s="1193"/>
      <c r="G128" s="1193"/>
      <c r="H128" s="1193"/>
      <c r="I128" s="1193"/>
      <c r="J128" s="1223"/>
      <c r="K128" s="1223"/>
      <c r="L128" s="1223"/>
      <c r="M128" s="63"/>
      <c r="N128" s="1193"/>
      <c r="O128" s="1420"/>
      <c r="P128" s="3"/>
    </row>
    <row r="129" spans="1:18" s="108" customFormat="1" ht="12.6" customHeight="1">
      <c r="A129" s="165" t="s">
        <v>522</v>
      </c>
      <c r="B129" s="112" t="s">
        <v>3569</v>
      </c>
      <c r="C129" s="98"/>
      <c r="D129" s="62"/>
      <c r="E129" s="62"/>
      <c r="H129" s="767"/>
      <c r="J129" s="3223" t="s">
        <v>3580</v>
      </c>
      <c r="K129" s="3224"/>
      <c r="L129" s="3225"/>
      <c r="M129" s="1416">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1" t="s">
        <v>4079</v>
      </c>
      <c r="E131" s="34"/>
      <c r="G131" s="3226" t="s">
        <v>1006</v>
      </c>
      <c r="H131" s="3227"/>
      <c r="I131" s="3227"/>
      <c r="J131" s="3227"/>
      <c r="K131" s="3227"/>
      <c r="L131" s="3227"/>
      <c r="M131" s="3227"/>
      <c r="N131" s="3227"/>
      <c r="O131" s="3227"/>
      <c r="P131" s="3228"/>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37" t="s">
        <v>4299</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29"/>
      <c r="M136" s="3229"/>
      <c r="N136" s="431" t="s">
        <v>2520</v>
      </c>
      <c r="O136" s="3093" t="s">
        <v>4299</v>
      </c>
      <c r="P136" s="630"/>
    </row>
    <row r="137" spans="1:18" s="44" customFormat="1" ht="11.45" customHeight="1">
      <c r="A137" s="414"/>
      <c r="B137" s="416" t="s">
        <v>2521</v>
      </c>
      <c r="C137" s="1829" t="s">
        <v>3932</v>
      </c>
      <c r="D137" s="1829"/>
      <c r="E137" s="1829"/>
      <c r="F137" s="1829"/>
      <c r="G137" s="57" t="s">
        <v>3575</v>
      </c>
      <c r="L137" s="3230"/>
      <c r="M137" s="3230"/>
      <c r="N137" s="416" t="s">
        <v>2521</v>
      </c>
      <c r="O137" s="3094" t="s">
        <v>4299</v>
      </c>
      <c r="P137" s="632"/>
    </row>
    <row r="138" spans="1:18" s="44" customFormat="1" ht="11.45" customHeight="1">
      <c r="A138" s="414"/>
      <c r="B138" s="416"/>
      <c r="C138" s="1829"/>
      <c r="D138" s="1829"/>
      <c r="E138" s="1829"/>
      <c r="F138" s="1829"/>
      <c r="G138" s="57" t="s">
        <v>3053</v>
      </c>
      <c r="L138" s="3178"/>
      <c r="M138" s="3180"/>
    </row>
    <row r="139" spans="1:18" s="44" customFormat="1" ht="11.45" customHeight="1">
      <c r="A139" s="414"/>
      <c r="B139" s="416"/>
      <c r="C139" s="1829"/>
      <c r="D139" s="1829"/>
      <c r="E139" s="1829"/>
      <c r="F139" s="1829"/>
      <c r="G139" s="57" t="s">
        <v>2948</v>
      </c>
      <c r="J139" s="3170" t="s">
        <v>2950</v>
      </c>
      <c r="K139" s="3172"/>
      <c r="L139" s="3231" t="s">
        <v>2950</v>
      </c>
      <c r="M139" s="3232"/>
    </row>
    <row r="140" spans="1:18" s="44" customFormat="1" ht="11.45" customHeight="1">
      <c r="A140" s="414"/>
      <c r="B140" s="416"/>
      <c r="C140" s="537"/>
      <c r="D140" s="108"/>
      <c r="E140" s="41"/>
      <c r="G140" s="57" t="s">
        <v>2949</v>
      </c>
      <c r="J140" s="3233"/>
      <c r="K140" s="3234"/>
      <c r="L140" s="3233"/>
      <c r="M140" s="3234"/>
    </row>
    <row r="141" spans="1:18" s="44" customFormat="1" ht="11.45" customHeight="1">
      <c r="A141" s="414"/>
      <c r="B141" s="416"/>
      <c r="C141" s="537"/>
      <c r="D141" s="108"/>
      <c r="E141" s="41"/>
      <c r="G141" s="1878" t="s">
        <v>4083</v>
      </c>
      <c r="H141" s="1878"/>
      <c r="I141" s="57" t="s">
        <v>1778</v>
      </c>
      <c r="J141" s="3235" t="s">
        <v>4081</v>
      </c>
      <c r="K141" s="3236"/>
      <c r="L141" s="3235" t="s">
        <v>4081</v>
      </c>
      <c r="M141" s="3236"/>
    </row>
    <row r="142" spans="1:18" s="44" customFormat="1" ht="11.45" customHeight="1">
      <c r="A142" s="414"/>
      <c r="B142" s="416"/>
      <c r="C142" s="537"/>
      <c r="D142" s="108"/>
      <c r="E142" s="41"/>
      <c r="G142" s="1878"/>
      <c r="H142" s="1878"/>
      <c r="I142" s="57" t="s">
        <v>4082</v>
      </c>
      <c r="J142" s="3178"/>
      <c r="K142" s="3180"/>
      <c r="L142" s="3178"/>
      <c r="M142" s="3180"/>
    </row>
    <row r="143" spans="1:18" ht="11.25" customHeight="1">
      <c r="B143" s="416" t="s">
        <v>2522</v>
      </c>
      <c r="C143" s="1829" t="s">
        <v>3933</v>
      </c>
      <c r="D143" s="1829"/>
      <c r="E143" s="1829"/>
      <c r="F143" s="1829"/>
      <c r="G143" s="484" t="s">
        <v>3054</v>
      </c>
      <c r="L143" s="3237"/>
      <c r="M143" s="3238"/>
      <c r="N143" s="416" t="s">
        <v>2522</v>
      </c>
      <c r="O143" s="3137" t="s">
        <v>4299</v>
      </c>
      <c r="P143" s="628"/>
    </row>
    <row r="144" spans="1:18" ht="11.25" customHeight="1">
      <c r="B144" s="416"/>
      <c r="C144" s="1829"/>
      <c r="D144" s="1829"/>
      <c r="E144" s="1829"/>
      <c r="F144" s="1829"/>
      <c r="G144" s="57" t="s">
        <v>3721</v>
      </c>
      <c r="L144" s="3233"/>
      <c r="M144" s="3234"/>
      <c r="N144" s="28"/>
      <c r="O144" s="28"/>
      <c r="P144" s="28"/>
    </row>
    <row r="145" spans="1:25" ht="11.25" customHeight="1">
      <c r="B145" s="416" t="s">
        <v>2523</v>
      </c>
      <c r="C145" s="569" t="s">
        <v>3934</v>
      </c>
      <c r="D145" s="106"/>
      <c r="G145" s="314"/>
      <c r="K145" s="41"/>
      <c r="L145" s="3239" t="s">
        <v>3936</v>
      </c>
      <c r="M145" s="3240"/>
      <c r="N145" s="416" t="s">
        <v>2523</v>
      </c>
      <c r="O145" s="3093" t="s">
        <v>4299</v>
      </c>
      <c r="P145" s="630"/>
    </row>
    <row r="146" spans="1:25" ht="11.25" customHeight="1">
      <c r="B146" s="416" t="s">
        <v>2524</v>
      </c>
      <c r="C146" s="569" t="s">
        <v>2951</v>
      </c>
      <c r="K146" s="41"/>
      <c r="L146" s="3241" t="s">
        <v>3936</v>
      </c>
      <c r="M146" s="3242"/>
      <c r="N146" s="416" t="s">
        <v>2524</v>
      </c>
      <c r="O146" s="3096" t="s">
        <v>4299</v>
      </c>
      <c r="P146" s="631"/>
    </row>
    <row r="147" spans="1:25" ht="11.25" customHeight="1">
      <c r="B147" s="431" t="s">
        <v>3578</v>
      </c>
      <c r="C147" s="54" t="s">
        <v>3572</v>
      </c>
      <c r="K147" s="41"/>
      <c r="L147" s="3241" t="s">
        <v>3936</v>
      </c>
      <c r="M147" s="3242"/>
      <c r="N147" s="431" t="s">
        <v>3578</v>
      </c>
      <c r="O147" s="3096" t="s">
        <v>4299</v>
      </c>
      <c r="P147" s="631"/>
    </row>
    <row r="148" spans="1:25" ht="11.25" customHeight="1">
      <c r="B148" s="431" t="s">
        <v>3579</v>
      </c>
      <c r="C148" s="54" t="s">
        <v>3570</v>
      </c>
      <c r="K148" s="41"/>
      <c r="L148" s="3241" t="s">
        <v>3936</v>
      </c>
      <c r="M148" s="3242"/>
      <c r="N148" s="431" t="s">
        <v>3579</v>
      </c>
      <c r="O148" s="3096" t="s">
        <v>4299</v>
      </c>
      <c r="P148" s="631"/>
    </row>
    <row r="149" spans="1:25" ht="11.25" customHeight="1">
      <c r="B149" s="416" t="s">
        <v>2541</v>
      </c>
      <c r="C149" s="569" t="s">
        <v>2952</v>
      </c>
      <c r="K149" s="41"/>
      <c r="L149" s="3241" t="s">
        <v>3936</v>
      </c>
      <c r="M149" s="3242"/>
      <c r="N149" s="416" t="s">
        <v>2541</v>
      </c>
      <c r="O149" s="3096" t="s">
        <v>4299</v>
      </c>
      <c r="P149" s="631"/>
    </row>
    <row r="150" spans="1:25" ht="11.25" customHeight="1">
      <c r="B150" s="431" t="s">
        <v>2542</v>
      </c>
      <c r="C150" s="569" t="s">
        <v>2953</v>
      </c>
      <c r="D150" s="106"/>
      <c r="K150" s="41"/>
      <c r="L150" s="3243" t="s">
        <v>3936</v>
      </c>
      <c r="M150" s="3244"/>
      <c r="N150" s="431" t="s">
        <v>2542</v>
      </c>
      <c r="O150" s="3096" t="s">
        <v>4299</v>
      </c>
      <c r="P150" s="631"/>
    </row>
    <row r="151" spans="1:25" ht="11.25" customHeight="1">
      <c r="B151" s="431" t="s">
        <v>2543</v>
      </c>
      <c r="C151" s="569" t="s">
        <v>3935</v>
      </c>
      <c r="K151" s="41"/>
      <c r="M151" s="414"/>
      <c r="N151" s="431" t="s">
        <v>2543</v>
      </c>
      <c r="O151" s="3094" t="s">
        <v>4299</v>
      </c>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5" t="s">
        <v>3700</v>
      </c>
      <c r="M153" s="483">
        <v>3</v>
      </c>
      <c r="N153" s="431" t="s">
        <v>2058</v>
      </c>
      <c r="O153" s="3137"/>
      <c r="P153" s="628"/>
      <c r="X153" s="414"/>
      <c r="Y153" s="416"/>
    </row>
    <row r="154" spans="1:25" ht="11.25" customHeight="1">
      <c r="A154" s="587"/>
      <c r="G154" s="537" t="s">
        <v>3862</v>
      </c>
      <c r="H154" s="172"/>
      <c r="L154" s="1799" t="str">
        <f>'Part I-Project Information'!$O$28</f>
        <v>106.01</v>
      </c>
      <c r="M154" s="1799"/>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37" t="s">
        <v>4299</v>
      </c>
      <c r="P158" s="628"/>
      <c r="Q158" s="433"/>
    </row>
    <row r="159" spans="1:25" ht="11.45" customHeight="1">
      <c r="A159" s="149" t="s">
        <v>779</v>
      </c>
      <c r="B159" s="195" t="s">
        <v>2916</v>
      </c>
      <c r="C159" s="195"/>
      <c r="D159" s="34"/>
      <c r="M159" s="122"/>
      <c r="O159" s="595"/>
      <c r="P159" s="595"/>
    </row>
    <row r="160" spans="1:25" ht="22.5" customHeight="1">
      <c r="B160" s="494"/>
      <c r="C160" s="1829" t="s">
        <v>3938</v>
      </c>
      <c r="D160" s="1829"/>
      <c r="E160" s="1829"/>
      <c r="F160" s="1829"/>
      <c r="G160" s="1829"/>
      <c r="H160" s="1829"/>
      <c r="I160" s="1829"/>
      <c r="J160" s="1829"/>
      <c r="K160" s="1829"/>
      <c r="L160" s="1829"/>
      <c r="M160" s="829">
        <v>10</v>
      </c>
      <c r="N160" s="236" t="s">
        <v>779</v>
      </c>
      <c r="O160" s="3246" t="s">
        <v>4299</v>
      </c>
      <c r="P160" s="629"/>
      <c r="R160" s="1825" t="s">
        <v>3943</v>
      </c>
      <c r="S160" s="1825"/>
      <c r="T160" s="1825" t="s">
        <v>3943</v>
      </c>
      <c r="U160" s="1825"/>
    </row>
    <row r="161" spans="1:21" ht="11.45" customHeight="1">
      <c r="A161" s="149" t="s">
        <v>2193</v>
      </c>
      <c r="B161" s="195" t="s">
        <v>3937</v>
      </c>
      <c r="C161" s="195"/>
      <c r="D161" s="34"/>
      <c r="I161" s="1200" t="s">
        <v>4312</v>
      </c>
      <c r="J161" s="1200" t="s">
        <v>4313</v>
      </c>
      <c r="K161" s="1850" t="s">
        <v>4080</v>
      </c>
      <c r="L161" s="1850"/>
      <c r="M161" s="1380">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3421</v>
      </c>
      <c r="S161" s="1434" t="s">
        <v>268</v>
      </c>
      <c r="T161" s="1210" t="s">
        <v>3421</v>
      </c>
      <c r="U161" s="1434" t="s">
        <v>268</v>
      </c>
    </row>
    <row r="162" spans="1:21" ht="11.25" customHeight="1">
      <c r="B162" s="415" t="s">
        <v>2062</v>
      </c>
      <c r="C162" s="827" t="s">
        <v>3939</v>
      </c>
      <c r="D162" s="827"/>
      <c r="E162" s="827"/>
      <c r="F162" s="827"/>
      <c r="G162" s="827"/>
      <c r="H162" s="827"/>
      <c r="I162" s="1279">
        <f>$O$43</f>
        <v>13</v>
      </c>
      <c r="J162" s="1279">
        <f>$P$43</f>
        <v>0</v>
      </c>
      <c r="K162" s="3093"/>
      <c r="L162" s="630"/>
      <c r="M162" s="1851" t="str">
        <f>IF(OR(SUM(T162:T166)&gt;1,SUM(U162:U166)&gt;1),"Only one category can be met by other means!","")</f>
        <v/>
      </c>
      <c r="N162" s="488" t="s">
        <v>2062</v>
      </c>
      <c r="O162" s="1203" t="str">
        <f>IF(OR(I162&gt;=12,K162="Yes"),"Yes","No")</f>
        <v>Yes</v>
      </c>
      <c r="P162" s="630"/>
      <c r="R162" s="1434">
        <f>IF(O162="Yes",1,0)</f>
        <v>1</v>
      </c>
      <c r="S162" s="1434">
        <f>IF(P162="Yes",1,0)</f>
        <v>0</v>
      </c>
      <c r="T162" s="1434">
        <f>IF(K162="Yes",1,0)</f>
        <v>0</v>
      </c>
      <c r="U162" s="1434">
        <f>IF(L162="Yes",1,0)</f>
        <v>0</v>
      </c>
    </row>
    <row r="163" spans="1:21" ht="11.25" customHeight="1">
      <c r="B163" s="415" t="s">
        <v>2064</v>
      </c>
      <c r="C163" s="827" t="s">
        <v>4311</v>
      </c>
      <c r="D163" s="827"/>
      <c r="E163" s="827"/>
      <c r="F163" s="827"/>
      <c r="G163" s="827"/>
      <c r="H163" s="827"/>
      <c r="I163" s="1280" t="str">
        <f>IF(OR(M370="Yes",M371="Yes",M372="Yes"),"Yes","No")</f>
        <v>Yes</v>
      </c>
      <c r="J163" s="1280" t="str">
        <f>IF(OR(O370="Yes",O371="Yes",O372="Yes"),"Yes","No")</f>
        <v>No</v>
      </c>
      <c r="K163" s="3096"/>
      <c r="L163" s="631"/>
      <c r="M163" s="1851"/>
      <c r="N163" s="488" t="s">
        <v>2064</v>
      </c>
      <c r="O163" s="1204" t="str">
        <f>IF(OR(I163="Yes",K163="Yes"),"Yes","No")</f>
        <v>Yes</v>
      </c>
      <c r="P163" s="631"/>
      <c r="R163" s="1434">
        <f t="shared" ref="R163:S166" si="0">IF(O163="Yes",1,0)</f>
        <v>1</v>
      </c>
      <c r="S163" s="1434">
        <f t="shared" si="0"/>
        <v>0</v>
      </c>
      <c r="T163" s="1434">
        <f t="shared" ref="T163:U166" si="1">IF(K163="Yes",1,0)</f>
        <v>0</v>
      </c>
      <c r="U163" s="1434">
        <f t="shared" si="1"/>
        <v>0</v>
      </c>
    </row>
    <row r="164" spans="1:21" ht="11.25" customHeight="1">
      <c r="B164" s="415" t="s">
        <v>2622</v>
      </c>
      <c r="C164" s="827" t="s">
        <v>3942</v>
      </c>
      <c r="D164" s="827"/>
      <c r="E164" s="827"/>
      <c r="F164" s="827"/>
      <c r="G164" s="827"/>
      <c r="H164" s="827"/>
      <c r="I164" s="1279">
        <f>$O$275</f>
        <v>0</v>
      </c>
      <c r="J164" s="1279">
        <f>$P$275</f>
        <v>0</v>
      </c>
      <c r="K164" s="3096"/>
      <c r="L164" s="631"/>
      <c r="M164" s="1851"/>
      <c r="N164" s="488" t="s">
        <v>2622</v>
      </c>
      <c r="O164" s="1204" t="str">
        <f>IF(OR(I164&gt;=2,K164="Yes"),"Yes","No")</f>
        <v>No</v>
      </c>
      <c r="P164" s="631"/>
      <c r="R164" s="1434">
        <f t="shared" si="0"/>
        <v>0</v>
      </c>
      <c r="S164" s="1434">
        <f t="shared" si="0"/>
        <v>0</v>
      </c>
      <c r="T164" s="1434">
        <f t="shared" si="1"/>
        <v>0</v>
      </c>
      <c r="U164" s="1434">
        <f t="shared" si="1"/>
        <v>0</v>
      </c>
    </row>
    <row r="165" spans="1:21" ht="11.25" customHeight="1">
      <c r="B165" s="415" t="s">
        <v>1270</v>
      </c>
      <c r="C165" s="827" t="s">
        <v>3941</v>
      </c>
      <c r="D165" s="827"/>
      <c r="E165" s="827"/>
      <c r="F165" s="827"/>
      <c r="G165" s="827"/>
      <c r="H165" s="827"/>
      <c r="I165" s="1279">
        <f>$O$378</f>
        <v>0</v>
      </c>
      <c r="J165" s="1279">
        <f>$P$378</f>
        <v>0</v>
      </c>
      <c r="K165" s="3096"/>
      <c r="L165" s="631"/>
      <c r="M165" s="1851"/>
      <c r="N165" s="488" t="s">
        <v>1270</v>
      </c>
      <c r="O165" s="1204" t="str">
        <f>IF(OR(I165&gt;=2,K165="Yes"),"Yes","No")</f>
        <v>No</v>
      </c>
      <c r="P165" s="631"/>
      <c r="R165" s="1434">
        <f t="shared" si="0"/>
        <v>0</v>
      </c>
      <c r="S165" s="1434">
        <f t="shared" si="0"/>
        <v>0</v>
      </c>
      <c r="T165" s="1434">
        <f t="shared" si="1"/>
        <v>0</v>
      </c>
      <c r="U165" s="1434">
        <f t="shared" si="1"/>
        <v>0</v>
      </c>
    </row>
    <row r="166" spans="1:21" ht="11.25" customHeight="1">
      <c r="B166" s="415" t="s">
        <v>1271</v>
      </c>
      <c r="C166" s="827" t="s">
        <v>3940</v>
      </c>
      <c r="D166" s="827"/>
      <c r="E166" s="827"/>
      <c r="F166" s="827"/>
      <c r="G166" s="827"/>
      <c r="H166" s="827"/>
      <c r="I166" s="1202">
        <f>$L$125</f>
        <v>0</v>
      </c>
      <c r="J166" s="1381"/>
      <c r="K166" s="3094"/>
      <c r="L166" s="632"/>
      <c r="M166" s="1851"/>
      <c r="N166" s="488" t="s">
        <v>1271</v>
      </c>
      <c r="O166" s="1205" t="str">
        <f>IF(OR(I166&gt;=15%,K166="Yes"),"Yes","No")</f>
        <v>No</v>
      </c>
      <c r="P166" s="632"/>
      <c r="R166" s="1434">
        <f t="shared" si="0"/>
        <v>0</v>
      </c>
      <c r="S166" s="1434">
        <f t="shared" si="0"/>
        <v>0</v>
      </c>
      <c r="T166" s="1434">
        <f t="shared" si="1"/>
        <v>0</v>
      </c>
      <c r="U166" s="1434">
        <f t="shared" si="1"/>
        <v>0</v>
      </c>
    </row>
    <row r="167" spans="1:21" s="44" customFormat="1" ht="13.9" customHeight="1">
      <c r="A167" s="43"/>
      <c r="B167" s="50" t="s">
        <v>267</v>
      </c>
      <c r="C167" s="43"/>
      <c r="D167" s="49"/>
      <c r="E167" s="49"/>
      <c r="F167" s="49"/>
      <c r="G167" s="49"/>
      <c r="H167" s="37"/>
      <c r="I167" s="145"/>
      <c r="M167" s="47"/>
      <c r="N167" s="65"/>
      <c r="O167" s="3"/>
      <c r="P167" s="1420"/>
    </row>
    <row r="168" spans="1:21" s="44" customFormat="1" ht="12.75" customHeight="1">
      <c r="A168" s="3216" t="s">
        <v>4354</v>
      </c>
      <c r="B168" s="3217"/>
      <c r="C168" s="3217"/>
      <c r="D168" s="3217"/>
      <c r="E168" s="3217"/>
      <c r="F168" s="3217"/>
      <c r="G168" s="3217"/>
      <c r="H168" s="3217"/>
      <c r="I168" s="3217"/>
      <c r="J168" s="3217"/>
      <c r="K168" s="3217"/>
      <c r="L168" s="3217"/>
      <c r="M168" s="3217"/>
      <c r="N168" s="3217"/>
      <c r="O168" s="3217"/>
      <c r="P168" s="3218"/>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26"/>
      <c r="B170" s="1827"/>
      <c r="C170" s="1827"/>
      <c r="D170" s="1827"/>
      <c r="E170" s="1827"/>
      <c r="F170" s="1827"/>
      <c r="G170" s="1827"/>
      <c r="H170" s="1827"/>
      <c r="I170" s="1827"/>
      <c r="J170" s="1827"/>
      <c r="K170" s="1827"/>
      <c r="L170" s="1827"/>
      <c r="M170" s="1827"/>
      <c r="N170" s="1827"/>
      <c r="O170" s="1827"/>
      <c r="P170" s="1828"/>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6">
        <v>4</v>
      </c>
      <c r="N172" s="6"/>
      <c r="O172" s="81">
        <f>IF(AND($J$173="Flexible",O174=$M174),$M174,IF(AND($J$173="Flexible",O181&gt;0),O181,IF(AND($J$173="Rural",O185&gt;0),O185,0)))</f>
        <v>2</v>
      </c>
      <c r="P172" s="81">
        <f>IF(AND($J$173="Flexible",P174=$M174),$M174,IF(AND($J$173="Flexible",P181&gt;0),P181,IF(AND($J$173="Rural",P185&gt;0),P185,0)))</f>
        <v>0</v>
      </c>
      <c r="Q172" s="115" t="s">
        <v>456</v>
      </c>
    </row>
    <row r="173" spans="1:21" ht="10.9" customHeight="1">
      <c r="A173" s="587"/>
      <c r="B173" s="537"/>
      <c r="D173" s="766"/>
      <c r="E173" s="537"/>
      <c r="H173" s="92" t="s">
        <v>2912</v>
      </c>
      <c r="I173" s="484"/>
      <c r="J173" s="1830" t="str">
        <f>'Part I-Project Information'!$H$90</f>
        <v>Rural</v>
      </c>
      <c r="K173" s="1830"/>
      <c r="N173" s="28"/>
      <c r="O173" s="28"/>
      <c r="P173" s="28"/>
    </row>
    <row r="174" spans="1:21" ht="12" customHeight="1">
      <c r="A174" s="1414" t="s">
        <v>2058</v>
      </c>
      <c r="B174" s="195" t="s">
        <v>2312</v>
      </c>
      <c r="D174" s="34"/>
      <c r="E174" s="34"/>
      <c r="F174" s="34"/>
      <c r="H174" s="92" t="s">
        <v>4129</v>
      </c>
      <c r="I174" s="484"/>
      <c r="J174" s="1830" t="str">
        <f>'Part I-Project Information'!$O$24</f>
        <v>No</v>
      </c>
      <c r="K174" s="1830"/>
      <c r="L174" s="1333" t="str">
        <f>'Part I-Project Information'!$O$25</f>
        <v>N/A</v>
      </c>
      <c r="M174" s="77">
        <v>3</v>
      </c>
      <c r="N174" s="525" t="s">
        <v>2058</v>
      </c>
      <c r="O174" s="3168">
        <v>0</v>
      </c>
      <c r="P174" s="622"/>
      <c r="Q174" s="433" t="s">
        <v>2810</v>
      </c>
    </row>
    <row r="175" spans="1:21" s="106" customFormat="1" ht="22.5" customHeight="1">
      <c r="B175" s="1158" t="s">
        <v>2062</v>
      </c>
      <c r="C175" s="1829" t="s">
        <v>3944</v>
      </c>
      <c r="D175" s="1771"/>
      <c r="E175" s="1771"/>
      <c r="F175" s="1771"/>
      <c r="G175" s="1771"/>
      <c r="H175" s="1771"/>
      <c r="I175" s="1771"/>
      <c r="J175" s="1771"/>
      <c r="K175" s="1771"/>
      <c r="L175" s="1771"/>
      <c r="M175" s="464"/>
      <c r="N175" s="434" t="s">
        <v>2062</v>
      </c>
      <c r="O175" s="3138" t="s">
        <v>4299</v>
      </c>
      <c r="P175" s="635"/>
    </row>
    <row r="176" spans="1:21" s="106" customFormat="1" ht="12" customHeight="1">
      <c r="B176" s="763"/>
      <c r="C176" s="126" t="s">
        <v>997</v>
      </c>
      <c r="H176" s="537" t="s">
        <v>2671</v>
      </c>
      <c r="J176" s="3247" t="s">
        <v>1006</v>
      </c>
      <c r="K176" s="3248"/>
    </row>
    <row r="177" spans="1:17" s="106" customFormat="1" ht="12" customHeight="1">
      <c r="B177" s="763"/>
      <c r="C177" s="126"/>
      <c r="H177" s="537" t="s">
        <v>2381</v>
      </c>
      <c r="J177" s="3249" t="s">
        <v>1006</v>
      </c>
      <c r="K177" s="3250"/>
      <c r="L177" s="3251"/>
    </row>
    <row r="178" spans="1:17" s="126" customFormat="1" ht="12" customHeight="1">
      <c r="B178" s="763" t="s">
        <v>2064</v>
      </c>
      <c r="C178" s="126" t="s">
        <v>998</v>
      </c>
      <c r="M178" s="7"/>
      <c r="N178" s="192" t="s">
        <v>2064</v>
      </c>
      <c r="O178" s="3093" t="s">
        <v>4299</v>
      </c>
      <c r="P178" s="630"/>
    </row>
    <row r="179" spans="1:17" s="126" customFormat="1" ht="12" customHeight="1">
      <c r="B179" s="763" t="s">
        <v>2622</v>
      </c>
      <c r="C179" s="126" t="s">
        <v>999</v>
      </c>
      <c r="M179" s="7"/>
      <c r="N179" s="192" t="s">
        <v>2622</v>
      </c>
      <c r="O179" s="3096" t="s">
        <v>4299</v>
      </c>
      <c r="P179" s="631"/>
    </row>
    <row r="180" spans="1:17" s="126" customFormat="1" ht="12" customHeight="1">
      <c r="A180" s="587"/>
      <c r="B180" s="763" t="s">
        <v>1270</v>
      </c>
      <c r="C180" s="126" t="s">
        <v>1000</v>
      </c>
      <c r="M180" s="7"/>
      <c r="N180" s="192" t="s">
        <v>1270</v>
      </c>
      <c r="O180" s="3094" t="s">
        <v>4299</v>
      </c>
      <c r="P180" s="632"/>
    </row>
    <row r="181" spans="1:17" s="34" customFormat="1" ht="12" customHeight="1">
      <c r="A181" s="1414" t="s">
        <v>2061</v>
      </c>
      <c r="B181" s="195" t="s">
        <v>3947</v>
      </c>
      <c r="D181" s="772"/>
      <c r="H181" s="64" t="s">
        <v>3602</v>
      </c>
      <c r="M181" s="768">
        <v>3</v>
      </c>
      <c r="N181" s="525" t="s">
        <v>2061</v>
      </c>
      <c r="O181" s="1209">
        <f>IF($J$173="Flexible", MIN($M$181, SUM(O183:O184)), 0)</f>
        <v>0</v>
      </c>
      <c r="P181" s="1209">
        <f>IF($J$173="Flexible", MIN($M$181, SUM(P183:P184)), 0)</f>
        <v>0</v>
      </c>
    </row>
    <row r="182" spans="1:17" s="34" customFormat="1" ht="12" customHeight="1">
      <c r="A182" s="1414"/>
      <c r="B182" s="1206" t="s">
        <v>3949</v>
      </c>
      <c r="D182" s="772"/>
      <c r="H182" s="64"/>
    </row>
    <row r="183" spans="1:17" s="34" customFormat="1" ht="12" customHeight="1">
      <c r="B183" s="415" t="s">
        <v>2062</v>
      </c>
      <c r="C183" s="770" t="s">
        <v>3952</v>
      </c>
      <c r="M183" s="77">
        <v>3</v>
      </c>
      <c r="N183" s="488" t="s">
        <v>2062</v>
      </c>
      <c r="O183" s="3168">
        <v>0</v>
      </c>
      <c r="P183" s="622"/>
      <c r="Q183" s="188" t="s">
        <v>2810</v>
      </c>
    </row>
    <row r="184" spans="1:17" ht="12" customHeight="1">
      <c r="A184" s="771" t="s">
        <v>1403</v>
      </c>
      <c r="B184" s="494" t="s">
        <v>2064</v>
      </c>
      <c r="C184" s="493" t="s">
        <v>3950</v>
      </c>
      <c r="D184" s="34"/>
      <c r="E184" s="34"/>
      <c r="F184" s="34"/>
      <c r="G184" s="41"/>
      <c r="H184" s="64"/>
      <c r="I184" s="41"/>
      <c r="M184" s="85">
        <v>2</v>
      </c>
      <c r="N184" s="1207" t="s">
        <v>2064</v>
      </c>
      <c r="O184" s="3169">
        <v>0</v>
      </c>
      <c r="P184" s="624"/>
      <c r="Q184" s="188" t="s">
        <v>2810</v>
      </c>
    </row>
    <row r="185" spans="1:17" s="34" customFormat="1" ht="12" customHeight="1">
      <c r="A185" s="1414" t="s">
        <v>779</v>
      </c>
      <c r="B185" s="195" t="s">
        <v>3948</v>
      </c>
      <c r="D185" s="772"/>
      <c r="H185" s="64" t="s">
        <v>3956</v>
      </c>
      <c r="M185" s="768">
        <v>4</v>
      </c>
      <c r="N185" s="525" t="s">
        <v>779</v>
      </c>
      <c r="O185" s="1209">
        <f>IF($J$173="Rural", MIN($M$185, SUM(O187:O189)), 0)</f>
        <v>2</v>
      </c>
      <c r="P185" s="1209">
        <f>IF($J$173="Rural", MIN($M$181, SUM(P187:P189)), 0)</f>
        <v>0</v>
      </c>
    </row>
    <row r="186" spans="1:17" s="34" customFormat="1" ht="12" customHeight="1">
      <c r="A186" s="1414"/>
      <c r="B186" s="1206" t="s">
        <v>3953</v>
      </c>
      <c r="D186" s="772"/>
      <c r="H186" s="64"/>
    </row>
    <row r="187" spans="1:17" s="34" customFormat="1" ht="12" customHeight="1">
      <c r="B187" s="415" t="s">
        <v>2062</v>
      </c>
      <c r="C187" s="770" t="s">
        <v>3955</v>
      </c>
      <c r="K187" s="1808" t="str">
        <f>IF(AND(O187&gt;0,O189&gt;0),"Choose either option 1 or option 3!!!","")</f>
        <v/>
      </c>
      <c r="L187" s="1808"/>
      <c r="M187" s="77">
        <v>3</v>
      </c>
      <c r="N187" s="488" t="s">
        <v>2062</v>
      </c>
      <c r="O187" s="3168">
        <v>0</v>
      </c>
      <c r="P187" s="622"/>
      <c r="Q187" s="188" t="s">
        <v>2810</v>
      </c>
    </row>
    <row r="188" spans="1:17" ht="12" customHeight="1">
      <c r="A188" s="771"/>
      <c r="B188" s="494" t="s">
        <v>2064</v>
      </c>
      <c r="C188" s="484" t="s">
        <v>3951</v>
      </c>
      <c r="D188" s="34"/>
      <c r="E188" s="34"/>
      <c r="F188" s="34"/>
      <c r="G188" s="41"/>
      <c r="H188" s="1208" t="s">
        <v>3957</v>
      </c>
      <c r="I188" s="41"/>
      <c r="K188" s="1808"/>
      <c r="L188" s="1808"/>
      <c r="M188" s="85">
        <v>1</v>
      </c>
      <c r="N188" s="1207" t="s">
        <v>2064</v>
      </c>
      <c r="O188" s="3194">
        <v>0</v>
      </c>
      <c r="P188" s="623"/>
      <c r="Q188" s="188" t="s">
        <v>2810</v>
      </c>
    </row>
    <row r="189" spans="1:17" ht="12" customHeight="1">
      <c r="A189" s="771" t="s">
        <v>1403</v>
      </c>
      <c r="B189" s="494" t="s">
        <v>2622</v>
      </c>
      <c r="C189" s="493" t="s">
        <v>3954</v>
      </c>
      <c r="D189" s="34"/>
      <c r="E189" s="34"/>
      <c r="F189" s="34"/>
      <c r="G189" s="41"/>
      <c r="H189" s="64"/>
      <c r="I189" s="41"/>
      <c r="K189" s="1808"/>
      <c r="L189" s="1808"/>
      <c r="M189" s="85">
        <v>2</v>
      </c>
      <c r="N189" s="1207" t="s">
        <v>2622</v>
      </c>
      <c r="O189" s="3169">
        <v>2</v>
      </c>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58" t="s">
        <v>4355</v>
      </c>
      <c r="B191" s="3059"/>
      <c r="C191" s="3059"/>
      <c r="D191" s="3059"/>
      <c r="E191" s="3059"/>
      <c r="F191" s="3059"/>
      <c r="G191" s="3059"/>
      <c r="H191" s="3059"/>
      <c r="I191" s="3059"/>
      <c r="J191" s="3059"/>
      <c r="K191" s="3059"/>
      <c r="L191" s="3059"/>
      <c r="M191" s="3059"/>
      <c r="N191" s="3059"/>
      <c r="O191" s="3059"/>
      <c r="P191" s="3060"/>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6">
        <v>2</v>
      </c>
      <c r="N195" s="441"/>
      <c r="O195" s="839">
        <f>IF(SUM(R197:R200)=0,2,IF(SUM(R197:R200)=1,1,0))</f>
        <v>2</v>
      </c>
      <c r="P195" s="839">
        <f>IF(SUM(S197:S200)=0,2,IF(SUM(S197:S200)=1,1,0))</f>
        <v>2</v>
      </c>
      <c r="Q195" s="115" t="s">
        <v>456</v>
      </c>
      <c r="R195" s="1825" t="s">
        <v>3943</v>
      </c>
      <c r="S195" s="1825"/>
    </row>
    <row r="196" spans="1:20" ht="11.45" customHeight="1">
      <c r="B196" s="178" t="s">
        <v>1729</v>
      </c>
      <c r="E196" s="125"/>
      <c r="M196" s="430"/>
      <c r="N196" s="28"/>
      <c r="O196" s="127" t="s">
        <v>2597</v>
      </c>
      <c r="P196" s="127" t="s">
        <v>2597</v>
      </c>
      <c r="R196" s="1210" t="s">
        <v>3421</v>
      </c>
      <c r="S196" s="1434" t="s">
        <v>268</v>
      </c>
    </row>
    <row r="197" spans="1:20" s="436" customFormat="1" ht="22.5" customHeight="1">
      <c r="A197" s="154" t="s">
        <v>2058</v>
      </c>
      <c r="B197" s="1847" t="s">
        <v>3958</v>
      </c>
      <c r="C197" s="1847"/>
      <c r="D197" s="1847"/>
      <c r="E197" s="1847"/>
      <c r="F197" s="1847"/>
      <c r="G197" s="1847"/>
      <c r="H197" s="1847"/>
      <c r="I197" s="1847"/>
      <c r="J197" s="1847"/>
      <c r="K197" s="1847"/>
      <c r="L197" s="1847"/>
      <c r="M197" s="110"/>
      <c r="N197" s="174" t="s">
        <v>2058</v>
      </c>
      <c r="O197" s="3135" t="s">
        <v>3156</v>
      </c>
      <c r="P197" s="633"/>
      <c r="R197" s="1211">
        <f t="shared" ref="R197:S200" si="2">IF(O197="Yes",1,0)</f>
        <v>0</v>
      </c>
      <c r="S197" s="1211">
        <f t="shared" si="2"/>
        <v>0</v>
      </c>
    </row>
    <row r="198" spans="1:20" s="436" customFormat="1" ht="22.5" customHeight="1">
      <c r="A198" s="154" t="s">
        <v>2061</v>
      </c>
      <c r="B198" s="1847" t="s">
        <v>2841</v>
      </c>
      <c r="C198" s="1847"/>
      <c r="D198" s="1847"/>
      <c r="E198" s="1847"/>
      <c r="F198" s="1847"/>
      <c r="G198" s="1847"/>
      <c r="H198" s="1847"/>
      <c r="I198" s="1847"/>
      <c r="J198" s="1847"/>
      <c r="K198" s="1847"/>
      <c r="L198" s="1847"/>
      <c r="M198" s="110"/>
      <c r="N198" s="174" t="s">
        <v>2061</v>
      </c>
      <c r="O198" s="3097" t="s">
        <v>3156</v>
      </c>
      <c r="P198" s="634"/>
      <c r="R198" s="1211">
        <f t="shared" si="2"/>
        <v>0</v>
      </c>
      <c r="S198" s="1211">
        <f t="shared" si="2"/>
        <v>0</v>
      </c>
    </row>
    <row r="199" spans="1:20" s="436" customFormat="1" ht="11.25" customHeight="1">
      <c r="A199" s="154" t="s">
        <v>779</v>
      </c>
      <c r="B199" s="233" t="s">
        <v>1730</v>
      </c>
      <c r="M199" s="490"/>
      <c r="N199" s="69" t="s">
        <v>779</v>
      </c>
      <c r="O199" s="3096" t="s">
        <v>3156</v>
      </c>
      <c r="P199" s="634"/>
      <c r="R199" s="1434">
        <f t="shared" si="2"/>
        <v>0</v>
      </c>
      <c r="S199" s="1434">
        <f t="shared" si="2"/>
        <v>0</v>
      </c>
    </row>
    <row r="200" spans="1:20" s="436" customFormat="1" ht="11.25" customHeight="1">
      <c r="A200" s="154" t="s">
        <v>2193</v>
      </c>
      <c r="B200" s="150" t="s">
        <v>3959</v>
      </c>
      <c r="M200" s="490"/>
      <c r="N200" s="69" t="s">
        <v>2193</v>
      </c>
      <c r="O200" s="3094" t="s">
        <v>3156</v>
      </c>
      <c r="P200" s="635"/>
      <c r="R200" s="1434">
        <f t="shared" si="2"/>
        <v>0</v>
      </c>
      <c r="S200" s="1434">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22.5" customHeight="1">
      <c r="A202" s="3058" t="s">
        <v>4356</v>
      </c>
      <c r="B202" s="3059"/>
      <c r="C202" s="3059"/>
      <c r="D202" s="3059"/>
      <c r="E202" s="3059"/>
      <c r="F202" s="3059"/>
      <c r="G202" s="3059"/>
      <c r="H202" s="3059"/>
      <c r="I202" s="3059"/>
      <c r="J202" s="3059"/>
      <c r="K202" s="3059"/>
      <c r="L202" s="3059"/>
      <c r="M202" s="3059"/>
      <c r="N202" s="3059"/>
      <c r="O202" s="3059"/>
      <c r="P202" s="3060"/>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8">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4" t="s">
        <v>3153</v>
      </c>
      <c r="P208" s="632"/>
      <c r="Q208" s="433"/>
      <c r="R208" s="417"/>
    </row>
    <row r="209" spans="1:20" s="44" customFormat="1" ht="12" customHeight="1">
      <c r="A209" s="149" t="s">
        <v>2061</v>
      </c>
      <c r="B209" s="180" t="s">
        <v>2314</v>
      </c>
      <c r="D209" s="60"/>
      <c r="K209" s="54"/>
      <c r="L209" s="108"/>
      <c r="M209" s="7">
        <v>1</v>
      </c>
      <c r="N209" s="525" t="s">
        <v>2061</v>
      </c>
      <c r="O209" s="3168">
        <v>0</v>
      </c>
      <c r="P209" s="622"/>
      <c r="Q209" s="433" t="s">
        <v>2810</v>
      </c>
      <c r="T209" s="417" t="str">
        <f>IF(OR($O209=$M209,$O209=0,$O209=""),"","* * Check Score! * *")</f>
        <v/>
      </c>
    </row>
    <row r="210" spans="1:20" s="44" customFormat="1" ht="12" customHeight="1">
      <c r="A210" s="149"/>
      <c r="B210" s="1223" t="s">
        <v>3960</v>
      </c>
      <c r="D210" s="60"/>
      <c r="H210" s="1439"/>
      <c r="K210" s="54"/>
      <c r="L210" s="108"/>
      <c r="M210" s="7"/>
      <c r="N210" s="525"/>
      <c r="O210" s="3094" t="s">
        <v>3156</v>
      </c>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3595</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No</v>
      </c>
      <c r="M215" s="1416"/>
      <c r="N215" s="1416"/>
      <c r="O215" s="127" t="s">
        <v>2597</v>
      </c>
      <c r="P215" s="127" t="s">
        <v>2597</v>
      </c>
      <c r="Q215" s="115"/>
    </row>
    <row r="216" spans="1:20" s="44" customFormat="1" ht="12" customHeight="1">
      <c r="A216" s="149"/>
      <c r="B216" s="57" t="s">
        <v>3712</v>
      </c>
      <c r="D216" s="34"/>
      <c r="N216" s="525"/>
      <c r="O216" s="3093" t="s">
        <v>3156</v>
      </c>
      <c r="P216" s="630"/>
      <c r="R216" s="417"/>
    </row>
    <row r="217" spans="1:20" s="44" customFormat="1" ht="12" customHeight="1">
      <c r="A217" s="149"/>
      <c r="B217" s="57" t="s">
        <v>3713</v>
      </c>
      <c r="D217" s="34"/>
      <c r="N217" s="525"/>
      <c r="O217" s="3096" t="s">
        <v>3156</v>
      </c>
      <c r="P217" s="631"/>
      <c r="R217" s="417"/>
    </row>
    <row r="218" spans="1:20" s="44" customFormat="1" ht="12" customHeight="1">
      <c r="A218" s="149"/>
      <c r="B218" s="57" t="s">
        <v>3961</v>
      </c>
      <c r="D218" s="34"/>
      <c r="N218" s="525"/>
      <c r="O218" s="3094" t="s">
        <v>3156</v>
      </c>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2955</v>
      </c>
      <c r="E222" s="37" t="s">
        <v>3864</v>
      </c>
      <c r="G222" s="828" t="str">
        <f>'Part I-Project Information'!$H$90</f>
        <v>Rural</v>
      </c>
      <c r="H222" s="596" t="str">
        <f>IF(G222="Flexible","(NOTE: Only Rural pool applicants are eligible for this section.)","")</f>
        <v/>
      </c>
      <c r="K222" s="481" t="s">
        <v>3865</v>
      </c>
      <c r="L222" s="596" t="str">
        <f>'Part I-Project Information'!$K$30</f>
        <v>Rural</v>
      </c>
      <c r="M222" s="1416">
        <v>2</v>
      </c>
      <c r="N222" s="441"/>
      <c r="O222" s="3252">
        <v>0</v>
      </c>
      <c r="P222" s="626"/>
      <c r="Q222" s="115" t="s">
        <v>456</v>
      </c>
      <c r="R222" s="775" t="s">
        <v>2810</v>
      </c>
    </row>
    <row r="223" spans="1:20" s="66" customFormat="1" ht="3" customHeight="1">
      <c r="A223" s="165"/>
      <c r="M223" s="1416"/>
      <c r="N223" s="441"/>
      <c r="O223" s="441"/>
      <c r="P223" s="441"/>
    </row>
    <row r="224" spans="1:20" s="66" customFormat="1" ht="24.75" customHeight="1">
      <c r="A224" s="1718" t="s">
        <v>3962</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3863</v>
      </c>
      <c r="C225" s="1831" t="str">
        <f>'Part II-Development Team'!$H$14</f>
        <v>Hallmark Pines Manager, LLC</v>
      </c>
      <c r="D225" s="1831"/>
      <c r="F225" s="1281">
        <f>'Part II-Development Team'!$L$139</f>
        <v>1E-4</v>
      </c>
      <c r="G225" s="1832" t="str">
        <f>'Part II-Development Team'!$Q$14</f>
        <v>Martin H. Petersen</v>
      </c>
      <c r="H225" s="1832"/>
      <c r="I225" s="1216" t="s">
        <v>4193</v>
      </c>
      <c r="J225" s="1368">
        <f>'Part VI-Revenues &amp; Expenses'!$O$62</f>
        <v>70</v>
      </c>
      <c r="K225" s="1848" t="s">
        <v>4194</v>
      </c>
      <c r="L225" s="1849"/>
      <c r="N225" s="441"/>
      <c r="O225" s="1923" t="s">
        <v>4200</v>
      </c>
      <c r="P225" s="1924"/>
      <c r="Q225" s="115"/>
      <c r="R225" s="28"/>
    </row>
    <row r="226" spans="1:18" s="66" customFormat="1" ht="10.5" customHeight="1">
      <c r="A226" s="1169" t="s">
        <v>3866</v>
      </c>
      <c r="C226" s="1831">
        <f>'Part II-Development Team'!$H$20</f>
        <v>0</v>
      </c>
      <c r="D226" s="1831"/>
      <c r="F226" s="1281">
        <f>'Part II-Development Team'!$L$140</f>
        <v>0</v>
      </c>
      <c r="G226" s="1832">
        <f>'Part II-Development Team'!$Q$20</f>
        <v>0</v>
      </c>
      <c r="H226" s="1832"/>
      <c r="I226" s="1217" t="s">
        <v>379</v>
      </c>
      <c r="J226" s="1369">
        <f>'Part VI-Revenues &amp; Expenses'!$O$81+'Part VI-Revenues &amp; Expenses'!$O$82</f>
        <v>0</v>
      </c>
      <c r="K226" s="1848"/>
      <c r="L226" s="1849"/>
      <c r="M226" s="3253"/>
      <c r="O226" s="1373" t="s">
        <v>1399</v>
      </c>
      <c r="P226" s="1374">
        <f>IF('Part VI-Revenues &amp; Expenses'!$O$62=0,0,'Part VI-Revenues &amp; Expenses'!$O$74/'Part VI-Revenues &amp; Expenses'!$O$62)</f>
        <v>0</v>
      </c>
      <c r="Q226" s="115"/>
      <c r="R226" s="28"/>
    </row>
    <row r="227" spans="1:18" s="66" customFormat="1" ht="10.5" customHeight="1">
      <c r="A227" s="1169" t="s">
        <v>3963</v>
      </c>
      <c r="C227" s="1831">
        <f>'Part II-Development Team'!$H$26</f>
        <v>0</v>
      </c>
      <c r="D227" s="1831"/>
      <c r="F227" s="1281">
        <f>'Part II-Development Team'!$L$141</f>
        <v>0</v>
      </c>
      <c r="G227" s="1832">
        <f>'Part II-Development Team'!$Q$26</f>
        <v>0</v>
      </c>
      <c r="H227" s="1832"/>
      <c r="I227" s="1218" t="s">
        <v>2375</v>
      </c>
      <c r="J227" s="1370">
        <f>'Part VI-Revenues &amp; Expenses'!$O$74</f>
        <v>0</v>
      </c>
      <c r="K227" s="1848"/>
      <c r="L227" s="1849"/>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3964</v>
      </c>
      <c r="C228" s="1831">
        <f>'Part II-Development Team'!$H$80</f>
        <v>0</v>
      </c>
      <c r="D228" s="1831"/>
      <c r="F228" s="1281">
        <f>'Part II-Development Team'!$L$148</f>
        <v>0</v>
      </c>
      <c r="G228" s="1832">
        <f>'Part II-Development Team'!$Q$80</f>
        <v>0</v>
      </c>
      <c r="H228" s="1832"/>
      <c r="I228" s="1170" t="s">
        <v>678</v>
      </c>
      <c r="J228" s="1831" t="str">
        <f>'Part II-Development Team'!$H$54</f>
        <v>Hallmark Development Services, LLC</v>
      </c>
      <c r="K228" s="1831"/>
      <c r="L228" s="1281">
        <f>'Part II-Development Team'!$L$145</f>
        <v>0</v>
      </c>
      <c r="M228" s="1832" t="str">
        <f>'Part II-Development Team'!$Q$54</f>
        <v>Martin H. Petersen</v>
      </c>
      <c r="N228" s="1832"/>
      <c r="Q228" s="115"/>
      <c r="R228" s="28"/>
    </row>
    <row r="229" spans="1:18" s="66" customFormat="1" ht="10.5" customHeight="1">
      <c r="A229" s="1170" t="s">
        <v>3967</v>
      </c>
      <c r="C229" s="1831" t="str">
        <f>'Part II-Development Team'!$H$33</f>
        <v>Community Affordable Housing Equity Corporation</v>
      </c>
      <c r="D229" s="1831"/>
      <c r="F229" s="1281">
        <f>'Part II-Development Team'!$L$142</f>
        <v>0.99980000000000002</v>
      </c>
      <c r="G229" s="1832" t="str">
        <f>'Part II-Development Team'!$Q$33</f>
        <v>Yolanda Winstead</v>
      </c>
      <c r="H229" s="1832"/>
      <c r="I229" s="1170" t="s">
        <v>3039</v>
      </c>
      <c r="J229" s="1831">
        <f>'Part II-Development Team'!$H$60</f>
        <v>0</v>
      </c>
      <c r="K229" s="1831"/>
      <c r="L229" s="1281">
        <f>'Part II-Development Team'!$L$146</f>
        <v>0</v>
      </c>
      <c r="M229" s="1832">
        <f>'Part II-Development Team'!$Q$60</f>
        <v>0</v>
      </c>
      <c r="N229" s="1832"/>
      <c r="O229" s="441"/>
      <c r="P229" s="441"/>
      <c r="Q229" s="115"/>
      <c r="R229" s="28"/>
    </row>
    <row r="230" spans="1:18" s="66" customFormat="1" ht="10.5" customHeight="1">
      <c r="A230" s="1170" t="s">
        <v>3968</v>
      </c>
      <c r="C230" s="1831" t="str">
        <f>'Part II-Development Team'!$H$39</f>
        <v>Sugar Creek Capital</v>
      </c>
      <c r="D230" s="1831"/>
      <c r="F230" s="1281">
        <f>'Part II-Development Team'!$L$143</f>
        <v>1E-4</v>
      </c>
      <c r="G230" s="1832" t="str">
        <f>'Part II-Development Team'!$Q$39</f>
        <v>Chris Hite</v>
      </c>
      <c r="H230" s="1832"/>
      <c r="I230" s="1170" t="s">
        <v>3040</v>
      </c>
      <c r="J230" s="1831">
        <f>'Part II-Development Team'!$H$66</f>
        <v>0</v>
      </c>
      <c r="K230" s="1831"/>
      <c r="L230" s="1281">
        <f>'Part II-Development Team'!$L$147</f>
        <v>0</v>
      </c>
      <c r="M230" s="1832">
        <f>'Part II-Development Team'!$Q$66</f>
        <v>0</v>
      </c>
      <c r="N230" s="1832"/>
      <c r="O230" s="441"/>
      <c r="P230" s="441"/>
      <c r="Q230" s="115"/>
      <c r="R230" s="28"/>
    </row>
    <row r="231" spans="1:18" s="66" customFormat="1" ht="10.5" customHeight="1">
      <c r="A231" s="1212" t="s">
        <v>3966</v>
      </c>
      <c r="C231" s="1831">
        <f>'Part II-Development Team'!$H$46</f>
        <v>0</v>
      </c>
      <c r="D231" s="1831"/>
      <c r="F231" s="1281">
        <f>'Part II-Development Team'!$L$144</f>
        <v>0</v>
      </c>
      <c r="G231" s="1832">
        <f>'Part II-Development Team'!$Q$46</f>
        <v>0</v>
      </c>
      <c r="H231" s="1832"/>
      <c r="I231" s="1170" t="s">
        <v>3965</v>
      </c>
      <c r="J231" s="1831">
        <f>'Part II-Development Team'!$H$72</f>
        <v>0</v>
      </c>
      <c r="K231" s="1831"/>
      <c r="L231" s="1281">
        <f>'Part II-Development Team'!$L$149</f>
        <v>0</v>
      </c>
      <c r="M231" s="1832">
        <f>'Part II-Development Team'!$Q$72</f>
        <v>0</v>
      </c>
      <c r="N231" s="1832"/>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12" customHeight="1">
      <c r="A233" s="3058" t="s">
        <v>4357</v>
      </c>
      <c r="B233" s="3059"/>
      <c r="C233" s="3059"/>
      <c r="D233" s="3059"/>
      <c r="E233" s="3059"/>
      <c r="F233" s="3059"/>
      <c r="G233" s="3059"/>
      <c r="H233" s="3059"/>
      <c r="I233" s="3060"/>
      <c r="J233" s="1705"/>
      <c r="K233" s="1706"/>
      <c r="L233" s="1706"/>
      <c r="M233" s="1706"/>
      <c r="N233" s="1706"/>
      <c r="O233" s="1706"/>
      <c r="P233" s="1707"/>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9"/>
      <c r="L235" s="417"/>
      <c r="M235" s="1193">
        <v>2</v>
      </c>
      <c r="N235" s="441"/>
      <c r="O235" s="1214">
        <f>MIN($M$235,O236+O243)</f>
        <v>1</v>
      </c>
      <c r="P235" s="1214">
        <f>MIN($M$235,P236+P243)</f>
        <v>0</v>
      </c>
      <c r="Q235" s="115" t="s">
        <v>456</v>
      </c>
    </row>
    <row r="236" spans="1:18" s="44" customFormat="1" ht="13.5" customHeight="1">
      <c r="A236" s="149" t="s">
        <v>2058</v>
      </c>
      <c r="B236" s="121" t="s">
        <v>3971</v>
      </c>
      <c r="D236" s="94"/>
      <c r="E236" s="94"/>
      <c r="G236" s="54"/>
      <c r="H236" s="54"/>
      <c r="I236" s="54"/>
      <c r="J236" s="56"/>
      <c r="K236" s="1439"/>
      <c r="L236" s="417" t="str">
        <f>IF(OR($O236=$M236,$O236=0,$O236=""),"","* * Check Score! * *")</f>
        <v/>
      </c>
      <c r="M236" s="483">
        <v>1</v>
      </c>
      <c r="N236" s="441" t="str">
        <f>IF(OR($O236=$M236,$O236=0,$O236=""),"","***")</f>
        <v/>
      </c>
      <c r="O236" s="3182">
        <v>0</v>
      </c>
      <c r="P236" s="1148"/>
      <c r="Q236" s="115"/>
      <c r="R236" s="433" t="s">
        <v>2810</v>
      </c>
    </row>
    <row r="237" spans="1:18" s="44" customFormat="1" ht="12" customHeight="1">
      <c r="B237" s="41" t="s">
        <v>3969</v>
      </c>
      <c r="D237" s="108"/>
      <c r="E237" s="94"/>
      <c r="F237" s="54"/>
      <c r="G237" s="54"/>
      <c r="H237" s="54"/>
      <c r="I237" s="53"/>
      <c r="N237" s="525" t="s">
        <v>2058</v>
      </c>
      <c r="O237" s="127" t="s">
        <v>2597</v>
      </c>
      <c r="P237" s="127" t="s">
        <v>2597</v>
      </c>
    </row>
    <row r="238" spans="1:18" s="106" customFormat="1" ht="12" customHeight="1">
      <c r="B238" s="488" t="s">
        <v>2062</v>
      </c>
      <c r="C238" s="145" t="s">
        <v>3970</v>
      </c>
      <c r="D238" s="126"/>
      <c r="E238" s="126"/>
      <c r="F238" s="126"/>
      <c r="I238" s="3254" t="s">
        <v>2609</v>
      </c>
      <c r="J238" s="3255"/>
      <c r="K238" s="3256"/>
      <c r="N238" s="488" t="s">
        <v>2062</v>
      </c>
      <c r="O238" s="3093" t="s">
        <v>4299</v>
      </c>
      <c r="P238" s="630"/>
    </row>
    <row r="239" spans="1:18" s="106" customFormat="1" ht="12" customHeight="1">
      <c r="B239" s="488" t="s">
        <v>2064</v>
      </c>
      <c r="C239" s="145" t="s">
        <v>3021</v>
      </c>
      <c r="D239" s="126"/>
      <c r="E239" s="126"/>
      <c r="F239" s="126"/>
      <c r="G239" s="126"/>
      <c r="M239" s="126"/>
      <c r="N239" s="488" t="s">
        <v>2064</v>
      </c>
      <c r="O239" s="3096" t="s">
        <v>4299</v>
      </c>
      <c r="P239" s="631"/>
    </row>
    <row r="240" spans="1:18" s="106" customFormat="1" ht="12" customHeight="1">
      <c r="A240" s="149"/>
      <c r="B240" s="488" t="s">
        <v>2622</v>
      </c>
      <c r="C240" s="145" t="s">
        <v>3972</v>
      </c>
      <c r="D240" s="126"/>
      <c r="E240" s="126"/>
      <c r="F240" s="126"/>
      <c r="G240" s="126"/>
      <c r="H240" s="126"/>
      <c r="L240" s="126"/>
      <c r="M240" s="126"/>
      <c r="N240" s="488" t="s">
        <v>2622</v>
      </c>
      <c r="O240" s="3096" t="s">
        <v>4299</v>
      </c>
      <c r="P240" s="631"/>
    </row>
    <row r="241" spans="1:18" s="106" customFormat="1" ht="12" customHeight="1">
      <c r="A241" s="149"/>
      <c r="B241" s="488" t="s">
        <v>1270</v>
      </c>
      <c r="C241" s="145" t="s">
        <v>3973</v>
      </c>
      <c r="D241" s="126"/>
      <c r="E241" s="126"/>
      <c r="F241" s="126"/>
      <c r="G241" s="126"/>
      <c r="H241" s="126"/>
      <c r="I241" s="126"/>
      <c r="J241" s="126"/>
      <c r="K241" s="126"/>
      <c r="L241" s="126"/>
      <c r="M241" s="126"/>
      <c r="N241" s="488" t="s">
        <v>1270</v>
      </c>
      <c r="O241" s="3094" t="s">
        <v>4299</v>
      </c>
      <c r="P241" s="632"/>
    </row>
    <row r="242" spans="1:18" s="106" customFormat="1" ht="12" customHeight="1">
      <c r="B242" s="197" t="s">
        <v>3974</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77" t="s">
        <v>3761</v>
      </c>
      <c r="H243" s="1877"/>
      <c r="I243" s="1877"/>
      <c r="J243" s="1877"/>
      <c r="K243" s="1877"/>
      <c r="L243" s="417" t="str">
        <f>IF(OR($O243=$M243,$O243=0,$O243=""),"","* * Check Score! * *")</f>
        <v/>
      </c>
      <c r="M243" s="85">
        <v>1</v>
      </c>
      <c r="N243" s="441" t="str">
        <f>IF(OR($O243=$M243,$O243=0,$O243=""),"","***")</f>
        <v/>
      </c>
      <c r="O243" s="3182">
        <v>1</v>
      </c>
      <c r="P243" s="1148"/>
      <c r="Q243" s="115"/>
      <c r="R243" s="433" t="s">
        <v>2810</v>
      </c>
    </row>
    <row r="244" spans="1:18" ht="11.45" customHeight="1">
      <c r="B244" s="492" t="s">
        <v>2917</v>
      </c>
      <c r="E244" s="125"/>
      <c r="N244" s="69" t="s">
        <v>2061</v>
      </c>
      <c r="O244" s="3137" t="s">
        <v>3153</v>
      </c>
      <c r="P244" s="628"/>
      <c r="Q244" s="433"/>
    </row>
    <row r="245" spans="1:18" ht="11.25" customHeight="1">
      <c r="A245" s="587"/>
      <c r="C245" s="145" t="s">
        <v>3976</v>
      </c>
      <c r="D245" s="1215" t="str">
        <f>'Part I-Project Information'!$F$28</f>
        <v>St. Marys</v>
      </c>
      <c r="F245" s="145" t="s">
        <v>3755</v>
      </c>
      <c r="G245" s="1215" t="str">
        <f>'Part I-Project Information'!$J$29</f>
        <v>Camden</v>
      </c>
      <c r="H245" s="480" t="s">
        <v>468</v>
      </c>
      <c r="I245" s="491" t="str">
        <f>'Part I-Project Information'!$N$29</f>
        <v>No</v>
      </c>
      <c r="K245" s="537" t="s">
        <v>3975</v>
      </c>
      <c r="L245" s="1799" t="str">
        <f>'Part I-Project Information'!$O$28</f>
        <v>106.01</v>
      </c>
      <c r="M245" s="1799"/>
      <c r="N245" s="1799"/>
      <c r="O245" s="1799"/>
      <c r="P245" s="1799"/>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23.25" customHeight="1">
      <c r="A247" s="3058" t="s">
        <v>4358</v>
      </c>
      <c r="B247" s="3059"/>
      <c r="C247" s="3059"/>
      <c r="D247" s="3059"/>
      <c r="E247" s="3059"/>
      <c r="F247" s="3059"/>
      <c r="G247" s="3059"/>
      <c r="H247" s="3059"/>
      <c r="I247" s="3060"/>
      <c r="J247" s="1705"/>
      <c r="K247" s="1706"/>
      <c r="L247" s="1706"/>
      <c r="M247" s="1706"/>
      <c r="N247" s="1706"/>
      <c r="O247" s="1706"/>
      <c r="P247" s="1707"/>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Rural</v>
      </c>
      <c r="M249" s="3">
        <v>8</v>
      </c>
      <c r="N249" s="6"/>
      <c r="O249" s="68">
        <f>O257+O273+O275</f>
        <v>6</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935" t="str">
        <f>IF(OR(O251="No",O252="No",O253="No",O254="No",O256="No"),"Unmet criterion results in no points!","")</f>
        <v/>
      </c>
      <c r="N251" s="192" t="s">
        <v>2062</v>
      </c>
      <c r="O251" s="3093" t="s">
        <v>3153</v>
      </c>
      <c r="P251" s="630"/>
    </row>
    <row r="252" spans="1:18" s="106" customFormat="1" ht="11.25" customHeight="1">
      <c r="B252" s="488" t="s">
        <v>2064</v>
      </c>
      <c r="C252" s="106" t="s">
        <v>588</v>
      </c>
      <c r="L252" s="1935"/>
      <c r="N252" s="192" t="s">
        <v>2064</v>
      </c>
      <c r="O252" s="3096" t="s">
        <v>3153</v>
      </c>
      <c r="P252" s="631"/>
    </row>
    <row r="253" spans="1:18" s="106" customFormat="1" ht="11.25" customHeight="1">
      <c r="B253" s="488" t="s">
        <v>2622</v>
      </c>
      <c r="C253" s="106" t="s">
        <v>589</v>
      </c>
      <c r="L253" s="1838" t="str">
        <f>IF(OR(P251="No",P252="No",P253="No",P254="No",P256="No"),"Unmet criterion results in no points!","")</f>
        <v/>
      </c>
      <c r="N253" s="192" t="s">
        <v>2622</v>
      </c>
      <c r="O253" s="3094" t="s">
        <v>3153</v>
      </c>
      <c r="P253" s="632"/>
    </row>
    <row r="254" spans="1:18" s="106" customFormat="1" ht="11.25" customHeight="1">
      <c r="B254" s="488" t="s">
        <v>1270</v>
      </c>
      <c r="C254" s="484" t="s">
        <v>3979</v>
      </c>
      <c r="L254" s="1838"/>
      <c r="N254" s="192" t="s">
        <v>1270</v>
      </c>
      <c r="O254" s="3093" t="s">
        <v>3153</v>
      </c>
      <c r="P254" s="630"/>
    </row>
    <row r="255" spans="1:18" s="106" customFormat="1" ht="11.25" customHeight="1">
      <c r="B255" s="416" t="s">
        <v>2520</v>
      </c>
      <c r="C255" s="484" t="s">
        <v>3981</v>
      </c>
      <c r="N255" s="192" t="s">
        <v>2520</v>
      </c>
      <c r="O255" s="3096" t="s">
        <v>3153</v>
      </c>
      <c r="P255" s="631"/>
    </row>
    <row r="256" spans="1:18" s="489" customFormat="1" ht="22.5" customHeight="1">
      <c r="A256" s="1341" t="s">
        <v>3529</v>
      </c>
      <c r="B256" s="432" t="s">
        <v>2521</v>
      </c>
      <c r="C256" s="1829" t="s">
        <v>3980</v>
      </c>
      <c r="D256" s="1829"/>
      <c r="E256" s="1829"/>
      <c r="F256" s="1829"/>
      <c r="G256" s="1829"/>
      <c r="H256" s="1829"/>
      <c r="I256" s="1829"/>
      <c r="J256" s="1829"/>
      <c r="K256" s="1829"/>
      <c r="L256" s="1829"/>
      <c r="M256" s="1829"/>
      <c r="N256" s="434" t="s">
        <v>2521</v>
      </c>
      <c r="O256" s="3138" t="s">
        <v>4299</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3982</v>
      </c>
      <c r="I258" s="1885" t="s">
        <v>2066</v>
      </c>
      <c r="J258" s="1885"/>
      <c r="L258" s="1885" t="s">
        <v>2066</v>
      </c>
      <c r="M258" s="1885"/>
      <c r="N258" s="192"/>
    </row>
    <row r="259" spans="1:18" s="44" customFormat="1" ht="11.25" customHeight="1">
      <c r="A259" s="193"/>
      <c r="B259" s="416" t="s">
        <v>2520</v>
      </c>
      <c r="C259" s="37" t="s">
        <v>1539</v>
      </c>
      <c r="H259" s="416" t="s">
        <v>2520</v>
      </c>
      <c r="I259" s="3257"/>
      <c r="J259" s="3258"/>
      <c r="K259" s="416" t="s">
        <v>2520</v>
      </c>
      <c r="L259" s="1883"/>
      <c r="M259" s="1884"/>
      <c r="N259" s="192"/>
      <c r="O259" s="1412"/>
      <c r="P259" s="1412"/>
      <c r="R259" s="417"/>
    </row>
    <row r="260" spans="1:18" ht="11.25" customHeight="1">
      <c r="A260" s="194"/>
      <c r="B260" s="432" t="s">
        <v>2521</v>
      </c>
      <c r="C260" s="37" t="s">
        <v>3985</v>
      </c>
      <c r="H260" s="432" t="s">
        <v>2521</v>
      </c>
      <c r="I260" s="3259"/>
      <c r="J260" s="3260"/>
      <c r="K260" s="432" t="s">
        <v>2521</v>
      </c>
      <c r="L260" s="1809"/>
      <c r="M260" s="1810"/>
      <c r="N260" s="192"/>
      <c r="R260" s="417"/>
    </row>
    <row r="261" spans="1:18" ht="11.25" customHeight="1">
      <c r="B261" s="416" t="s">
        <v>2522</v>
      </c>
      <c r="C261" s="37" t="s">
        <v>2716</v>
      </c>
      <c r="H261" s="416" t="s">
        <v>2522</v>
      </c>
      <c r="I261" s="3259"/>
      <c r="J261" s="3260"/>
      <c r="K261" s="416" t="s">
        <v>2522</v>
      </c>
      <c r="L261" s="1809"/>
      <c r="M261" s="1810"/>
      <c r="N261" s="192"/>
      <c r="R261" s="417"/>
    </row>
    <row r="262" spans="1:18" ht="11.25" customHeight="1">
      <c r="A262" s="194"/>
      <c r="B262" s="416" t="s">
        <v>2523</v>
      </c>
      <c r="C262" s="37" t="s">
        <v>3714</v>
      </c>
      <c r="H262" s="416" t="s">
        <v>2523</v>
      </c>
      <c r="I262" s="3259"/>
      <c r="J262" s="3260"/>
      <c r="K262" s="416" t="s">
        <v>2523</v>
      </c>
      <c r="L262" s="1809"/>
      <c r="M262" s="1810"/>
      <c r="N262" s="192"/>
      <c r="R262" s="417"/>
    </row>
    <row r="263" spans="1:18" s="44" customFormat="1" ht="11.25" customHeight="1">
      <c r="A263" s="193"/>
      <c r="B263" s="432" t="s">
        <v>2524</v>
      </c>
      <c r="C263" s="37" t="s">
        <v>2842</v>
      </c>
      <c r="H263" s="432" t="s">
        <v>2524</v>
      </c>
      <c r="I263" s="3259"/>
      <c r="J263" s="3260"/>
      <c r="K263" s="432" t="s">
        <v>2524</v>
      </c>
      <c r="L263" s="1809"/>
      <c r="M263" s="1810"/>
      <c r="N263" s="192"/>
      <c r="O263" s="1412"/>
      <c r="P263" s="1412"/>
      <c r="R263" s="417"/>
    </row>
    <row r="264" spans="1:18" ht="11.25" customHeight="1">
      <c r="B264" s="416" t="s">
        <v>2540</v>
      </c>
      <c r="C264" s="37" t="s">
        <v>1538</v>
      </c>
      <c r="H264" s="416" t="s">
        <v>2540</v>
      </c>
      <c r="I264" s="3259"/>
      <c r="J264" s="3260"/>
      <c r="K264" s="416" t="s">
        <v>2540</v>
      </c>
      <c r="L264" s="1809"/>
      <c r="M264" s="1810"/>
      <c r="N264" s="192"/>
      <c r="R264" s="417"/>
    </row>
    <row r="265" spans="1:18" ht="11.25" customHeight="1">
      <c r="A265" s="194"/>
      <c r="B265" s="416" t="s">
        <v>2541</v>
      </c>
      <c r="C265" s="37" t="s">
        <v>3983</v>
      </c>
      <c r="H265" s="416" t="s">
        <v>2541</v>
      </c>
      <c r="I265" s="3259"/>
      <c r="J265" s="3260"/>
      <c r="K265" s="416" t="s">
        <v>2541</v>
      </c>
      <c r="L265" s="1809"/>
      <c r="M265" s="1810"/>
      <c r="N265" s="192"/>
      <c r="R265" s="417"/>
    </row>
    <row r="266" spans="1:18" ht="11.25" customHeight="1">
      <c r="B266" s="431" t="s">
        <v>2542</v>
      </c>
      <c r="C266" s="37" t="s">
        <v>3984</v>
      </c>
      <c r="H266" s="431" t="s">
        <v>2542</v>
      </c>
      <c r="I266" s="3259"/>
      <c r="J266" s="3260"/>
      <c r="K266" s="431" t="s">
        <v>2542</v>
      </c>
      <c r="L266" s="1809"/>
      <c r="M266" s="1810"/>
      <c r="N266" s="192"/>
      <c r="R266" s="417"/>
    </row>
    <row r="267" spans="1:18" ht="11.25" customHeight="1">
      <c r="B267" s="431" t="s">
        <v>2543</v>
      </c>
      <c r="C267" s="37" t="s">
        <v>3986</v>
      </c>
      <c r="H267" s="431" t="s">
        <v>2543</v>
      </c>
      <c r="I267" s="3259">
        <v>1600000</v>
      </c>
      <c r="J267" s="3260"/>
      <c r="K267" s="431" t="s">
        <v>2543</v>
      </c>
      <c r="L267" s="1809"/>
      <c r="M267" s="1810"/>
      <c r="N267" s="192"/>
      <c r="R267" s="417"/>
    </row>
    <row r="268" spans="1:18" ht="11.25" customHeight="1" thickBot="1">
      <c r="A268" s="194"/>
      <c r="B268" s="431" t="s">
        <v>3987</v>
      </c>
      <c r="C268" s="37" t="s">
        <v>3988</v>
      </c>
      <c r="H268" s="431" t="s">
        <v>3987</v>
      </c>
      <c r="I268" s="3259"/>
      <c r="J268" s="3260"/>
      <c r="K268" s="431" t="s">
        <v>3987</v>
      </c>
      <c r="L268" s="1809"/>
      <c r="M268" s="1810"/>
      <c r="N268" s="1220" t="s">
        <v>3989</v>
      </c>
      <c r="R268" s="417"/>
    </row>
    <row r="269" spans="1:18" ht="12" customHeight="1" thickBot="1">
      <c r="A269" s="194"/>
      <c r="B269" s="488"/>
      <c r="C269" s="486" t="s">
        <v>2718</v>
      </c>
      <c r="H269" s="57"/>
      <c r="I269" s="1811">
        <f>SUM(I259:J268)</f>
        <v>1600000</v>
      </c>
      <c r="J269" s="1812"/>
      <c r="L269" s="1811">
        <f>SUM($L259:$L268)</f>
        <v>0</v>
      </c>
      <c r="M269" s="1812"/>
      <c r="N269" s="192"/>
      <c r="R269" s="417"/>
    </row>
    <row r="270" spans="1:18" s="44" customFormat="1" ht="3" customHeight="1">
      <c r="A270" s="43"/>
      <c r="B270" s="117"/>
      <c r="D270" s="40"/>
      <c r="E270" s="37"/>
      <c r="F270" s="1193"/>
      <c r="G270" s="1921" t="str">
        <f>IF(OR(I268=0,I268="",$I$271=0),"",IF(I268/$I$271&lt;10%,"Check amount of conventional loan in (j) - must be at least 10% of TDC!",""))</f>
        <v/>
      </c>
      <c r="H270" s="1921"/>
      <c r="I270" s="1921"/>
      <c r="J270" s="1921"/>
      <c r="K270" s="1921"/>
      <c r="L270" s="1920" t="str">
        <f>IF(OR(L268=0,L268="",$I$271=0),"",IF(L268/$I$271&lt;10%,"Check amount of conventional loan in (j) - must be at least 10% of TDC!",""))</f>
        <v/>
      </c>
      <c r="M270" s="1920"/>
      <c r="N270" s="1920"/>
      <c r="O270" s="1920"/>
      <c r="P270" s="1920"/>
    </row>
    <row r="271" spans="1:18" ht="12" customHeight="1">
      <c r="B271" s="415" t="s">
        <v>2064</v>
      </c>
      <c r="C271" s="493" t="s">
        <v>2717</v>
      </c>
      <c r="D271" s="486" t="s">
        <v>2719</v>
      </c>
      <c r="I271" s="1894">
        <f>'Part IV-Uses of Funds'!$G$131</f>
        <v>9614942</v>
      </c>
      <c r="J271" s="1895"/>
      <c r="L271" s="1920"/>
      <c r="M271" s="1920"/>
      <c r="N271" s="1920"/>
      <c r="O271" s="1920"/>
      <c r="P271" s="1920"/>
    </row>
    <row r="272" spans="1:18" ht="12" customHeight="1">
      <c r="B272" s="192"/>
      <c r="C272" s="485"/>
      <c r="D272" s="491" t="s">
        <v>2720</v>
      </c>
      <c r="G272" s="1171"/>
      <c r="H272" s="1171"/>
      <c r="I272" s="1813">
        <f>IF($I271=0,0,$I269/$I271)</f>
        <v>0.16640766007740868</v>
      </c>
      <c r="J272" s="1814"/>
      <c r="L272" s="1891">
        <f>IF($I271=0,0,$L269/$I271)</f>
        <v>0</v>
      </c>
      <c r="M272" s="1892"/>
      <c r="N272" s="28"/>
      <c r="O272" s="28"/>
      <c r="P272" s="28"/>
    </row>
    <row r="273" spans="1:18" s="44" customFormat="1" ht="12.75" customHeight="1">
      <c r="A273" s="149" t="s">
        <v>2061</v>
      </c>
      <c r="B273" s="197" t="s">
        <v>3990</v>
      </c>
      <c r="D273" s="40"/>
      <c r="E273" s="37"/>
      <c r="F273" s="1193"/>
      <c r="H273" s="37"/>
      <c r="I273" s="1193"/>
      <c r="J273" s="1223"/>
      <c r="K273" s="1223"/>
      <c r="L273" s="1223"/>
      <c r="M273" s="77">
        <v>2</v>
      </c>
      <c r="N273" s="525" t="s">
        <v>2061</v>
      </c>
      <c r="O273" s="3261">
        <v>2</v>
      </c>
      <c r="P273" s="622"/>
      <c r="Q273" s="433" t="s">
        <v>2810</v>
      </c>
    </row>
    <row r="274" spans="1:18" s="44" customFormat="1" ht="11.25" customHeight="1">
      <c r="A274" s="149"/>
      <c r="B274" s="54" t="s">
        <v>3991</v>
      </c>
      <c r="C274" s="54"/>
      <c r="D274" s="54"/>
      <c r="E274" s="54"/>
      <c r="F274" s="54"/>
      <c r="G274" s="54"/>
      <c r="H274" s="54"/>
      <c r="I274" s="54"/>
      <c r="J274" s="54"/>
      <c r="K274" s="54"/>
      <c r="L274" s="54"/>
      <c r="M274" s="54"/>
      <c r="N274" s="54"/>
      <c r="O274" s="3094" t="s">
        <v>3153</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2" t="s">
        <v>1006</v>
      </c>
      <c r="J276" s="3103"/>
      <c r="K276" s="3103"/>
      <c r="L276" s="3103"/>
      <c r="M276" s="3103"/>
      <c r="N276" s="3104"/>
    </row>
    <row r="277" spans="1:18" s="44" customFormat="1" ht="11.25" customHeight="1">
      <c r="A277" s="193"/>
      <c r="B277" s="537" t="s">
        <v>3993</v>
      </c>
      <c r="I277" s="3249" t="s">
        <v>2958</v>
      </c>
      <c r="J277" s="3250"/>
      <c r="K277" s="3251"/>
    </row>
    <row r="278" spans="1:18" ht="11.25" customHeight="1">
      <c r="A278" s="194"/>
      <c r="B278" s="537" t="s">
        <v>4195</v>
      </c>
      <c r="F278" s="3262"/>
      <c r="G278" s="3262"/>
      <c r="H278" s="3262"/>
      <c r="I278" s="3263" t="s">
        <v>4299</v>
      </c>
      <c r="K278" s="3262"/>
      <c r="L278" s="3262"/>
      <c r="M278" s="3262"/>
      <c r="N278" s="3262"/>
      <c r="O278" s="3262"/>
      <c r="P278" s="3262"/>
    </row>
    <row r="279" spans="1:18" ht="11.25" customHeight="1">
      <c r="A279" s="194"/>
      <c r="B279" s="435" t="s">
        <v>3992</v>
      </c>
      <c r="G279" s="435"/>
      <c r="I279" s="3264" t="s">
        <v>1006</v>
      </c>
      <c r="J279" s="3265"/>
      <c r="K279" s="3262"/>
      <c r="L279" s="3262"/>
      <c r="M279" s="3262"/>
      <c r="N279" s="3262"/>
      <c r="O279" s="3262"/>
      <c r="P279" s="3262"/>
    </row>
    <row r="280" spans="1:18" ht="15.75">
      <c r="A280" s="194"/>
      <c r="B280" s="1751" t="s">
        <v>2438</v>
      </c>
      <c r="C280" s="1751"/>
      <c r="D280" s="3266" t="s">
        <v>1006</v>
      </c>
      <c r="E280" s="3267"/>
      <c r="F280" s="3267"/>
      <c r="G280" s="3267"/>
      <c r="H280" s="3267"/>
      <c r="I280" s="3267"/>
      <c r="J280" s="3267"/>
      <c r="K280" s="3267"/>
      <c r="L280" s="3267"/>
      <c r="M280" s="3267"/>
      <c r="N280" s="3267"/>
      <c r="O280" s="3267"/>
      <c r="P280" s="3268"/>
      <c r="Q280" s="500" t="s">
        <v>1301</v>
      </c>
    </row>
    <row r="281" spans="1:18" ht="11.25" customHeight="1">
      <c r="B281" s="37" t="s">
        <v>3701</v>
      </c>
      <c r="E281" s="1443"/>
      <c r="I281" s="3269">
        <v>0</v>
      </c>
      <c r="J281" s="3270"/>
      <c r="L281" s="1913"/>
      <c r="M281" s="1914"/>
      <c r="N281" s="28"/>
      <c r="O281" s="28"/>
    </row>
    <row r="282" spans="1:18" s="44" customFormat="1" ht="11.25" customHeight="1">
      <c r="A282" s="43"/>
      <c r="C282" s="37" t="s">
        <v>3702</v>
      </c>
      <c r="D282" s="1421"/>
      <c r="E282" s="1421"/>
      <c r="F282" s="1421"/>
      <c r="G282" s="1421"/>
      <c r="H282" s="1421"/>
      <c r="I282" s="1891">
        <f>IF($I281=0,0,$I281/$I271)</f>
        <v>0</v>
      </c>
      <c r="J282" s="1892"/>
      <c r="K282" s="1421"/>
      <c r="L282" s="1891">
        <f>IF($L281=0,0,$L281/$I271)</f>
        <v>0</v>
      </c>
      <c r="M282" s="1892"/>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24.75" customHeight="1">
      <c r="A284" s="3058" t="s">
        <v>4400</v>
      </c>
      <c r="B284" s="3059"/>
      <c r="C284" s="3059"/>
      <c r="D284" s="3059"/>
      <c r="E284" s="3059"/>
      <c r="F284" s="3059"/>
      <c r="G284" s="3059"/>
      <c r="H284" s="3059"/>
      <c r="I284" s="3059"/>
      <c r="J284" s="3059"/>
      <c r="K284" s="3059"/>
      <c r="L284" s="3059"/>
      <c r="M284" s="3059"/>
      <c r="N284" s="3059"/>
      <c r="O284" s="3059"/>
      <c r="P284" s="3060"/>
      <c r="Q284" s="500" t="s">
        <v>1301</v>
      </c>
    </row>
    <row r="285" spans="1:18" s="108" customFormat="1" ht="12" customHeight="1">
      <c r="A285" s="43"/>
      <c r="B285" s="103" t="s">
        <v>1937</v>
      </c>
      <c r="C285" s="104"/>
      <c r="D285" s="103"/>
      <c r="E285" s="198"/>
      <c r="F285" s="1426"/>
      <c r="G285" s="1426"/>
      <c r="H285" s="1426"/>
      <c r="I285" s="1426"/>
      <c r="J285" s="1426"/>
      <c r="K285" s="1426"/>
      <c r="L285" s="1426"/>
      <c r="M285" s="1426"/>
      <c r="N285" s="99"/>
      <c r="O285" s="1165"/>
      <c r="P285" s="1416"/>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3604</v>
      </c>
      <c r="C288" s="70"/>
      <c r="E288" s="42"/>
      <c r="G288" s="180" t="s">
        <v>2912</v>
      </c>
      <c r="I288" s="647" t="str">
        <f>'Part I-Project Information'!$H$90</f>
        <v>Rural</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7" t="s">
        <v>3156</v>
      </c>
      <c r="P289" s="628"/>
      <c r="R289" s="417"/>
    </row>
    <row r="290" spans="1:18" s="44" customFormat="1" ht="12" customHeight="1">
      <c r="A290" s="149" t="s">
        <v>2061</v>
      </c>
      <c r="B290" s="180" t="s">
        <v>3605</v>
      </c>
      <c r="D290" s="34"/>
      <c r="F290" s="431"/>
      <c r="G290" s="57" t="s">
        <v>4112</v>
      </c>
      <c r="I290" s="3271" t="s">
        <v>4005</v>
      </c>
      <c r="J290" s="3272"/>
      <c r="K290" s="3272"/>
      <c r="L290" s="3273"/>
      <c r="O290" s="1818" t="s">
        <v>4006</v>
      </c>
      <c r="P290" s="1818"/>
      <c r="R290" s="417"/>
    </row>
    <row r="291" spans="1:18" s="44" customFormat="1" ht="13.5" customHeight="1">
      <c r="A291" s="476" t="s">
        <v>779</v>
      </c>
      <c r="B291" s="850" t="s">
        <v>3994</v>
      </c>
      <c r="C291" s="477"/>
      <c r="D291" s="479"/>
      <c r="E291" s="479"/>
      <c r="F291" s="34"/>
      <c r="L291" s="1225" t="s">
        <v>4001</v>
      </c>
      <c r="O291" s="1819"/>
      <c r="P291" s="1819"/>
      <c r="R291" s="417"/>
    </row>
    <row r="292" spans="1:18" s="108" customFormat="1" ht="10.5" customHeight="1">
      <c r="A292" s="149"/>
      <c r="B292" s="415" t="s">
        <v>2062</v>
      </c>
      <c r="C292" s="37" t="s">
        <v>3995</v>
      </c>
      <c r="D292" s="34"/>
      <c r="F292" s="34"/>
      <c r="H292" s="37"/>
      <c r="L292" s="488" t="s">
        <v>4002</v>
      </c>
      <c r="N292" s="525" t="s">
        <v>779</v>
      </c>
      <c r="O292" s="192" t="s">
        <v>2062</v>
      </c>
      <c r="P292" s="630"/>
      <c r="R292" s="417"/>
    </row>
    <row r="293" spans="1:18" s="108" customFormat="1" ht="10.5" customHeight="1">
      <c r="A293" s="149"/>
      <c r="B293" s="415" t="s">
        <v>2064</v>
      </c>
      <c r="C293" s="37" t="s">
        <v>3996</v>
      </c>
      <c r="D293" s="34"/>
      <c r="F293" s="34"/>
      <c r="H293" s="37"/>
      <c r="L293" s="488" t="s">
        <v>4002</v>
      </c>
      <c r="O293" s="192" t="s">
        <v>2064</v>
      </c>
      <c r="P293" s="631"/>
      <c r="R293" s="417"/>
    </row>
    <row r="294" spans="1:18" s="108" customFormat="1" ht="10.5" customHeight="1">
      <c r="A294" s="149"/>
      <c r="B294" s="415" t="s">
        <v>2622</v>
      </c>
      <c r="C294" s="37" t="s">
        <v>3997</v>
      </c>
      <c r="D294" s="34"/>
      <c r="F294" s="34"/>
      <c r="H294" s="37"/>
      <c r="L294" s="488" t="s">
        <v>4003</v>
      </c>
      <c r="O294" s="192" t="s">
        <v>2622</v>
      </c>
      <c r="P294" s="631"/>
      <c r="R294" s="417"/>
    </row>
    <row r="295" spans="1:18" s="108" customFormat="1" ht="10.5" customHeight="1">
      <c r="A295" s="149"/>
      <c r="B295" s="415" t="s">
        <v>1270</v>
      </c>
      <c r="C295" s="37" t="s">
        <v>3998</v>
      </c>
      <c r="D295" s="34"/>
      <c r="F295" s="34"/>
      <c r="H295" s="37"/>
      <c r="L295" s="488" t="s">
        <v>4003</v>
      </c>
      <c r="O295" s="192" t="s">
        <v>1270</v>
      </c>
      <c r="P295" s="631"/>
      <c r="R295" s="417"/>
    </row>
    <row r="296" spans="1:18" s="108" customFormat="1" ht="10.5" customHeight="1">
      <c r="A296" s="149"/>
      <c r="B296" s="415" t="s">
        <v>1271</v>
      </c>
      <c r="C296" s="37" t="s">
        <v>3999</v>
      </c>
      <c r="D296" s="34"/>
      <c r="F296" s="34"/>
      <c r="H296" s="37"/>
      <c r="L296" s="488" t="s">
        <v>4003</v>
      </c>
      <c r="O296" s="192" t="s">
        <v>1271</v>
      </c>
      <c r="P296" s="631"/>
      <c r="R296" s="417"/>
    </row>
    <row r="297" spans="1:18" s="462" customFormat="1" ht="10.5" customHeight="1" thickBot="1">
      <c r="A297" s="154"/>
      <c r="B297" s="494" t="s">
        <v>1955</v>
      </c>
      <c r="C297" s="435" t="s">
        <v>4000</v>
      </c>
      <c r="D297" s="435"/>
      <c r="E297" s="435"/>
      <c r="F297" s="435"/>
      <c r="G297" s="435"/>
      <c r="H297" s="435"/>
      <c r="I297" s="435"/>
      <c r="J297" s="435"/>
      <c r="K297" s="435"/>
      <c r="L297" s="1226" t="s">
        <v>4003</v>
      </c>
      <c r="O297" s="434" t="s">
        <v>1955</v>
      </c>
      <c r="P297" s="634"/>
      <c r="R297" s="590"/>
    </row>
    <row r="298" spans="1:18" s="44" customFormat="1" ht="12" customHeight="1" thickBot="1">
      <c r="B298" s="103" t="s">
        <v>1937</v>
      </c>
      <c r="C298" s="57"/>
      <c r="D298" s="34"/>
      <c r="F298" s="34"/>
      <c r="H298" s="57"/>
      <c r="L298" s="488" t="s">
        <v>4004</v>
      </c>
      <c r="O298" s="773" t="s">
        <v>3606</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2825</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4069</v>
      </c>
      <c r="D302" s="34"/>
      <c r="E302" s="34"/>
      <c r="F302" s="34"/>
      <c r="H302" s="1136" t="s">
        <v>4294</v>
      </c>
      <c r="I302" s="866">
        <f>IF('Part VI-Revenues &amp; Expenses'!$O$62=0,0,L303/'Part VI-Revenues &amp; Expenses'!$O$62)</f>
        <v>5.7142857142857141E-2</v>
      </c>
      <c r="K302" s="525" t="s">
        <v>4068</v>
      </c>
      <c r="L302" s="866">
        <f>IF('Part VI-Revenues &amp; Expenses'!$O$58=0,0,'Part VI-Revenues &amp; Expenses'!$K$58/'Part VI-Revenues &amp; Expenses'!$O$58)</f>
        <v>0.14285714285714285</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51" t="s">
        <v>4289</v>
      </c>
      <c r="D303" s="1751"/>
      <c r="E303" s="1751"/>
      <c r="F303" s="1751"/>
      <c r="G303" s="1751"/>
      <c r="H303" s="1751"/>
      <c r="I303" s="1378" t="s">
        <v>4290</v>
      </c>
      <c r="J303" s="3182">
        <v>4</v>
      </c>
      <c r="K303" s="1378" t="s">
        <v>4291</v>
      </c>
      <c r="L303" s="3182">
        <v>4</v>
      </c>
      <c r="M303" s="1379" t="str">
        <f>IF(J303&lt;L303,"Check DCA RA units!","")</f>
        <v/>
      </c>
      <c r="N303" s="434" t="s">
        <v>2062</v>
      </c>
      <c r="O303" s="3135" t="s">
        <v>4283</v>
      </c>
      <c r="P303" s="633"/>
      <c r="Q303" s="597"/>
      <c r="R303" s="590"/>
    </row>
    <row r="304" spans="1:18" s="489" customFormat="1" ht="11.25" customHeight="1">
      <c r="A304" s="619"/>
      <c r="B304" s="494" t="s">
        <v>2064</v>
      </c>
      <c r="C304" s="1749" t="s">
        <v>3607</v>
      </c>
      <c r="D304" s="1749"/>
      <c r="E304" s="1749"/>
      <c r="F304" s="1749"/>
      <c r="G304" s="1749"/>
      <c r="H304" s="1749"/>
      <c r="I304" s="1749"/>
      <c r="J304" s="1749"/>
      <c r="K304" s="1749"/>
      <c r="L304" s="1749"/>
      <c r="M304" s="1749"/>
      <c r="N304" s="434" t="s">
        <v>2064</v>
      </c>
      <c r="O304" s="3096" t="s">
        <v>3153</v>
      </c>
      <c r="P304" s="631"/>
    </row>
    <row r="305" spans="1:18" s="489" customFormat="1" ht="11.25" customHeight="1">
      <c r="A305" s="619"/>
      <c r="B305" s="494" t="s">
        <v>2622</v>
      </c>
      <c r="C305" s="1749" t="s">
        <v>4007</v>
      </c>
      <c r="D305" s="1749"/>
      <c r="E305" s="1749"/>
      <c r="F305" s="1749"/>
      <c r="G305" s="1749"/>
      <c r="H305" s="1749"/>
      <c r="I305" s="1749"/>
      <c r="J305" s="1749"/>
      <c r="K305" s="1749"/>
      <c r="L305" s="1749"/>
      <c r="M305" s="1749"/>
      <c r="N305" s="434" t="s">
        <v>2622</v>
      </c>
      <c r="O305" s="3094" t="s">
        <v>3153</v>
      </c>
      <c r="P305" s="632"/>
    </row>
    <row r="306" spans="1:18" s="489" customFormat="1" ht="3" customHeight="1">
      <c r="B306" s="541"/>
      <c r="C306" s="1423"/>
      <c r="D306" s="1423"/>
      <c r="E306" s="1423"/>
      <c r="F306" s="1423"/>
      <c r="G306" s="1423"/>
      <c r="H306" s="1423"/>
      <c r="M306" s="1423"/>
      <c r="N306" s="1423"/>
      <c r="O306" s="1423"/>
      <c r="P306" s="1423"/>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51" t="s">
        <v>3715</v>
      </c>
      <c r="D308" s="1751"/>
      <c r="E308" s="1751"/>
      <c r="F308" s="1751"/>
      <c r="G308" s="1751"/>
      <c r="H308" s="1751"/>
      <c r="I308" s="1751"/>
      <c r="J308" s="1751"/>
      <c r="K308" s="1751"/>
      <c r="L308" s="1751"/>
      <c r="M308" s="774"/>
      <c r="N308" s="434" t="s">
        <v>2062</v>
      </c>
      <c r="O308" s="3246"/>
      <c r="P308" s="629"/>
      <c r="Q308" s="597"/>
      <c r="R308" s="590"/>
    </row>
    <row r="309" spans="1:18" s="462" customFormat="1" ht="11.25" customHeight="1">
      <c r="A309" s="154"/>
      <c r="B309" s="494"/>
      <c r="C309" s="540" t="s">
        <v>4086</v>
      </c>
      <c r="D309" s="1425"/>
      <c r="E309" s="1425"/>
      <c r="F309" s="1425"/>
      <c r="G309" s="3274" t="s">
        <v>1006</v>
      </c>
      <c r="H309" s="3275"/>
      <c r="I309" s="3275"/>
      <c r="J309" s="3276"/>
      <c r="K309" s="1371" t="s">
        <v>4087</v>
      </c>
      <c r="L309" s="3277" t="s">
        <v>1006</v>
      </c>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4085</v>
      </c>
      <c r="K310" s="435"/>
      <c r="L310" s="3278">
        <v>0</v>
      </c>
      <c r="M310" s="1282">
        <f>IF('Part VI-Revenues &amp; Expenses'!$O$62=0,0,L310/'Part VI-Revenues &amp; Expenses'!$O$62)</f>
        <v>0</v>
      </c>
      <c r="N310" s="434" t="s">
        <v>2064</v>
      </c>
      <c r="O310" s="3246"/>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2827</v>
      </c>
      <c r="D314" s="41"/>
      <c r="G314" s="64" t="s">
        <v>3601</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3716</v>
      </c>
      <c r="D316" s="3279" t="s">
        <v>3050</v>
      </c>
      <c r="E316" s="3280"/>
      <c r="F316" s="3280"/>
      <c r="G316" s="3280"/>
      <c r="H316" s="3280"/>
      <c r="I316" s="3281"/>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4113</v>
      </c>
      <c r="C318" s="435"/>
      <c r="D318" s="435"/>
      <c r="E318" s="435"/>
      <c r="F318" s="435"/>
      <c r="G318" s="435"/>
      <c r="H318" s="435"/>
      <c r="I318" s="435"/>
      <c r="J318" s="435" t="s">
        <v>4008</v>
      </c>
      <c r="L318" s="790">
        <f>'Part VI-Revenues &amp; Expenses'!$O$82</f>
        <v>0</v>
      </c>
      <c r="M318" s="463">
        <v>2</v>
      </c>
      <c r="N318" s="174" t="s">
        <v>2058</v>
      </c>
      <c r="O318" s="3182">
        <v>0</v>
      </c>
      <c r="P318" s="1148"/>
      <c r="Q318" s="188" t="s">
        <v>2810</v>
      </c>
    </row>
    <row r="319" spans="1:18" s="462" customFormat="1" ht="11.25" customHeight="1">
      <c r="A319" s="461"/>
      <c r="B319" s="1751" t="s">
        <v>4009</v>
      </c>
      <c r="C319" s="1751"/>
      <c r="D319" s="1751"/>
      <c r="E319" s="1751"/>
      <c r="F319" s="1751"/>
      <c r="G319" s="1751"/>
      <c r="H319" s="1751"/>
      <c r="I319" s="435"/>
      <c r="J319" s="540" t="s">
        <v>2959</v>
      </c>
      <c r="L319" s="791">
        <f>'Part VI-Revenues &amp; Expenses'!$O$62</f>
        <v>70</v>
      </c>
      <c r="M319" s="463"/>
      <c r="N319" s="463"/>
      <c r="O319" s="463"/>
      <c r="P319" s="463"/>
      <c r="Q319" s="188"/>
    </row>
    <row r="320" spans="1:18" s="462" customFormat="1" ht="11.25" customHeight="1">
      <c r="B320" s="1751"/>
      <c r="C320" s="1751"/>
      <c r="D320" s="1751"/>
      <c r="E320" s="1751"/>
      <c r="F320" s="1751"/>
      <c r="G320" s="1751"/>
      <c r="H320" s="1751"/>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2" t="s">
        <v>1006</v>
      </c>
      <c r="C322" s="3283"/>
      <c r="D322" s="3283"/>
      <c r="E322" s="3283"/>
      <c r="F322" s="3283"/>
      <c r="G322" s="3283"/>
      <c r="H322" s="3283"/>
      <c r="I322" s="3283"/>
      <c r="J322" s="3283"/>
      <c r="K322" s="3283"/>
      <c r="L322" s="3283"/>
      <c r="M322" s="3283"/>
      <c r="N322" s="3283"/>
      <c r="O322" s="3283"/>
      <c r="P322" s="3284"/>
      <c r="Q322" s="1833" t="s">
        <v>1301</v>
      </c>
      <c r="R322" s="1834"/>
      <c r="S322" s="1834"/>
    </row>
    <row r="323" spans="1:19" s="462" customFormat="1" ht="3" customHeight="1">
      <c r="B323" s="494"/>
      <c r="F323" s="487"/>
      <c r="G323" s="1222"/>
      <c r="M323" s="463"/>
      <c r="N323" s="463"/>
      <c r="O323" s="463"/>
      <c r="P323" s="463"/>
      <c r="Q323" s="188"/>
    </row>
    <row r="324" spans="1:19" s="462" customFormat="1" ht="11.25" customHeight="1">
      <c r="A324" s="620" t="s">
        <v>2061</v>
      </c>
      <c r="B324" s="1329" t="s">
        <v>3544</v>
      </c>
      <c r="C324" s="150"/>
      <c r="D324" s="1164"/>
      <c r="H324" s="435"/>
      <c r="J324" s="435" t="s">
        <v>3610</v>
      </c>
      <c r="L324" s="790">
        <f>'Part VI-Revenues &amp; Expenses'!$O$84</f>
        <v>0</v>
      </c>
      <c r="M324" s="463">
        <v>1</v>
      </c>
      <c r="N324" s="174" t="s">
        <v>2061</v>
      </c>
      <c r="O324" s="3182">
        <v>0</v>
      </c>
      <c r="P324" s="1148"/>
      <c r="Q324" s="188" t="s">
        <v>2810</v>
      </c>
    </row>
    <row r="325" spans="1:19" s="462" customFormat="1" ht="11.25" customHeight="1">
      <c r="A325" s="620"/>
      <c r="B325" s="1718" t="s">
        <v>4114</v>
      </c>
      <c r="C325" s="1718"/>
      <c r="D325" s="1718"/>
      <c r="E325" s="1718"/>
      <c r="F325" s="1718"/>
      <c r="G325" s="1718"/>
      <c r="H325" s="1718"/>
      <c r="I325" s="1718"/>
      <c r="J325" s="540" t="s">
        <v>2959</v>
      </c>
      <c r="L325" s="791">
        <f>'Part VI-Revenues &amp; Expenses'!$O$62</f>
        <v>70</v>
      </c>
      <c r="M325" s="463"/>
      <c r="N325" s="463"/>
      <c r="O325" s="463"/>
      <c r="P325" s="463"/>
      <c r="Q325" s="188"/>
    </row>
    <row r="326" spans="1:19" s="462" customFormat="1" ht="11.25" customHeight="1">
      <c r="A326" s="620"/>
      <c r="B326" s="1718"/>
      <c r="C326" s="1718"/>
      <c r="D326" s="1718"/>
      <c r="E326" s="1718"/>
      <c r="F326" s="1718"/>
      <c r="G326" s="1718"/>
      <c r="H326" s="1718"/>
      <c r="I326" s="1718"/>
      <c r="J326" s="617" t="s">
        <v>2960</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9" t="s">
        <v>3022</v>
      </c>
      <c r="J330" s="42"/>
      <c r="K330" s="42"/>
      <c r="M330" s="1420">
        <v>5</v>
      </c>
      <c r="P330" s="636"/>
      <c r="Q330" s="115" t="s">
        <v>456</v>
      </c>
    </row>
    <row r="331" spans="1:19" s="44" customFormat="1" ht="1.5" customHeight="1">
      <c r="A331" s="166"/>
      <c r="M331" s="604"/>
      <c r="Q331" s="115"/>
    </row>
    <row r="332" spans="1:19" s="44" customFormat="1" ht="12" customHeight="1">
      <c r="A332" s="166"/>
      <c r="B332" s="1917" t="s">
        <v>4115</v>
      </c>
      <c r="C332" s="1917"/>
      <c r="D332" s="1837">
        <f>IF('Part VI-Revenues &amp; Expenses'!$O$62=0,0,'Part IV-Uses of Funds'!$J$172/'Part VI-Revenues &amp; Expenses'!$O$62)</f>
        <v>7896.4857142857145</v>
      </c>
      <c r="E332" s="1837"/>
      <c r="F332" s="116" t="s">
        <v>4116</v>
      </c>
      <c r="G332" s="1330"/>
      <c r="H332" s="1331">
        <f>IF('Part VI-Revenues &amp; Expenses'!$O$62=0,0,('Part VI-Revenues &amp; Expenses'!$O$77+'Part VI-Revenues &amp; Expenses'!$O$80+'Part VI-Revenues &amp; Expenses'!$O$84)/'Part VI-Revenues &amp; Expenses'!$O$62)</f>
        <v>1</v>
      </c>
      <c r="I332" s="1332" t="s">
        <v>4117</v>
      </c>
      <c r="J332" s="42"/>
      <c r="K332" s="1229"/>
      <c r="L332" s="1230"/>
      <c r="M332" s="77">
        <v>20</v>
      </c>
      <c r="N332" s="6"/>
      <c r="O332" s="614">
        <f>MIN($M332,(SUM(O333:O355)))</f>
        <v>5</v>
      </c>
      <c r="P332" s="614">
        <f>MIN($M332,(SUM(P333:P355)))</f>
        <v>0</v>
      </c>
      <c r="Q332" s="115"/>
    </row>
    <row r="333" spans="1:19" s="44" customFormat="1" ht="10.5" customHeight="1">
      <c r="A333" s="602" t="s">
        <v>2058</v>
      </c>
      <c r="B333" s="1232" t="s">
        <v>2062</v>
      </c>
      <c r="C333" s="1174" t="s">
        <v>4010</v>
      </c>
      <c r="E333" s="54"/>
      <c r="F333" s="1174"/>
      <c r="G333" s="1174"/>
      <c r="H333" s="56"/>
      <c r="I333" s="1175"/>
      <c r="J333" s="1175"/>
      <c r="M333" s="601">
        <v>6</v>
      </c>
      <c r="N333" s="616"/>
      <c r="O333" s="3285"/>
      <c r="P333" s="1815"/>
      <c r="Q333" s="651" t="s">
        <v>2810</v>
      </c>
    </row>
    <row r="334" spans="1:19" s="44" customFormat="1" ht="10.5" customHeight="1">
      <c r="A334" s="776"/>
      <c r="B334" s="1221"/>
      <c r="C334" s="1228" t="s">
        <v>3880</v>
      </c>
      <c r="D334" s="3286"/>
      <c r="E334" s="54"/>
      <c r="F334" s="1228" t="s">
        <v>3881</v>
      </c>
      <c r="G334" s="3287"/>
      <c r="H334" s="56"/>
      <c r="I334" s="466" t="s">
        <v>4011</v>
      </c>
      <c r="J334" s="466"/>
      <c r="K334" s="3288"/>
      <c r="L334" s="3289"/>
      <c r="M334" s="611"/>
      <c r="N334" s="1233"/>
      <c r="O334" s="3290"/>
      <c r="P334" s="1816"/>
      <c r="Q334" s="651"/>
    </row>
    <row r="335" spans="1:19" s="44" customFormat="1" ht="10.5" customHeight="1">
      <c r="A335" s="776" t="s">
        <v>1403</v>
      </c>
      <c r="B335" s="1221" t="s">
        <v>2064</v>
      </c>
      <c r="C335" s="54" t="s">
        <v>4012</v>
      </c>
      <c r="E335" s="54"/>
      <c r="F335" s="54"/>
      <c r="G335" s="1174"/>
      <c r="H335" s="56"/>
      <c r="I335" s="56"/>
      <c r="J335" s="56"/>
      <c r="M335" s="611">
        <v>2</v>
      </c>
      <c r="N335" s="1233"/>
      <c r="O335" s="3290"/>
      <c r="P335" s="1816"/>
      <c r="Q335" s="651"/>
    </row>
    <row r="336" spans="1:19" s="44" customFormat="1" ht="10.5" customHeight="1">
      <c r="A336" s="776"/>
      <c r="C336" s="1228" t="s">
        <v>3880</v>
      </c>
      <c r="D336" s="3286"/>
      <c r="E336" s="54"/>
      <c r="F336" s="1228" t="s">
        <v>3881</v>
      </c>
      <c r="G336" s="3287"/>
      <c r="H336" s="56"/>
      <c r="I336" s="466" t="s">
        <v>4011</v>
      </c>
      <c r="J336" s="466"/>
      <c r="K336" s="3288"/>
      <c r="L336" s="3289"/>
      <c r="M336" s="611"/>
      <c r="N336" s="124"/>
      <c r="O336" s="3290"/>
      <c r="P336" s="1816"/>
      <c r="Q336" s="651"/>
    </row>
    <row r="337" spans="1:18" s="462" customFormat="1" ht="34.5" customHeight="1">
      <c r="A337" s="776" t="s">
        <v>1403</v>
      </c>
      <c r="B337" s="1231" t="s">
        <v>2622</v>
      </c>
      <c r="C337" s="1744" t="s">
        <v>3611</v>
      </c>
      <c r="D337" s="1744"/>
      <c r="E337" s="1744"/>
      <c r="F337" s="1744"/>
      <c r="G337" s="1744"/>
      <c r="H337" s="1744"/>
      <c r="I337" s="1744"/>
      <c r="J337" s="1744"/>
      <c r="K337" s="1744"/>
      <c r="L337" s="1744"/>
      <c r="M337" s="589">
        <v>5</v>
      </c>
      <c r="N337" s="599"/>
      <c r="O337" s="3291"/>
      <c r="P337" s="1817"/>
      <c r="Q337" s="651"/>
    </row>
    <row r="338" spans="1:18" s="462" customFormat="1" ht="12.75" customHeight="1">
      <c r="A338" s="776"/>
      <c r="B338" s="154"/>
      <c r="C338" s="1178" t="s">
        <v>3868</v>
      </c>
      <c r="D338" s="1424"/>
      <c r="G338" s="3292"/>
      <c r="H338" s="1424"/>
      <c r="I338" s="1178" t="s">
        <v>3867</v>
      </c>
      <c r="K338" s="3292"/>
      <c r="M338" s="1424"/>
      <c r="N338" s="1424"/>
      <c r="O338" s="1424"/>
      <c r="P338" s="1424"/>
      <c r="Q338" s="1424"/>
      <c r="R338" s="1424"/>
    </row>
    <row r="339" spans="1:18" s="462" customFormat="1" ht="45" customHeight="1">
      <c r="A339" s="600" t="s">
        <v>2061</v>
      </c>
      <c r="B339" s="1284"/>
      <c r="C339" s="1893" t="s">
        <v>4013</v>
      </c>
      <c r="D339" s="1893"/>
      <c r="E339" s="1893"/>
      <c r="F339" s="1893"/>
      <c r="G339" s="1893"/>
      <c r="H339" s="1893"/>
      <c r="I339" s="1893"/>
      <c r="J339" s="1893"/>
      <c r="K339" s="1893"/>
      <c r="L339" s="1893"/>
      <c r="M339" s="601">
        <v>2</v>
      </c>
      <c r="N339" s="615"/>
      <c r="O339" s="3293"/>
      <c r="P339" s="1219"/>
      <c r="Q339" s="775" t="s">
        <v>2810</v>
      </c>
    </row>
    <row r="340" spans="1:18" s="462" customFormat="1" ht="11.25" customHeight="1">
      <c r="A340" s="1248"/>
      <c r="B340" s="1285"/>
      <c r="C340" s="1286" t="s">
        <v>4088</v>
      </c>
      <c r="D340" s="1433"/>
      <c r="E340" s="1433"/>
      <c r="F340" s="3294"/>
      <c r="G340" s="3295"/>
      <c r="H340" s="3295"/>
      <c r="I340" s="3296"/>
      <c r="J340" s="1352"/>
      <c r="K340" s="1433" t="s">
        <v>4087</v>
      </c>
      <c r="L340" s="3297"/>
      <c r="M340" s="1250"/>
      <c r="N340" s="1287"/>
      <c r="O340" s="434"/>
      <c r="P340" s="434"/>
      <c r="Q340" s="597"/>
      <c r="R340" s="590"/>
    </row>
    <row r="341" spans="1:18" s="462" customFormat="1" ht="12" customHeight="1">
      <c r="A341" s="779" t="s">
        <v>779</v>
      </c>
      <c r="C341" s="1718" t="s">
        <v>4014</v>
      </c>
      <c r="D341" s="1718"/>
      <c r="E341" s="1718"/>
      <c r="F341" s="1718"/>
      <c r="G341" s="1718"/>
      <c r="H341" s="1718"/>
      <c r="I341" s="1718"/>
      <c r="J341" s="1718" t="s">
        <v>4016</v>
      </c>
      <c r="K341" s="1718"/>
      <c r="L341" s="1239" t="str">
        <f>'Part I-Project Information'!$H$90</f>
        <v>Rural</v>
      </c>
      <c r="M341" s="611">
        <v>3</v>
      </c>
      <c r="N341" s="788"/>
      <c r="O341" s="3298"/>
      <c r="P341" s="1835"/>
      <c r="Q341" s="188" t="s">
        <v>2810</v>
      </c>
    </row>
    <row r="342" spans="1:18" s="462" customFormat="1" ht="12" customHeight="1">
      <c r="A342" s="779"/>
      <c r="C342" s="1718"/>
      <c r="D342" s="1718"/>
      <c r="E342" s="1718"/>
      <c r="F342" s="1718"/>
      <c r="G342" s="1718"/>
      <c r="H342" s="1718"/>
      <c r="I342" s="1718"/>
      <c r="J342" s="1718" t="s">
        <v>4017</v>
      </c>
      <c r="K342" s="1718"/>
      <c r="L342" s="1238">
        <f>$O$113</f>
        <v>2</v>
      </c>
      <c r="M342" s="611"/>
      <c r="N342" s="788"/>
      <c r="O342" s="3299"/>
      <c r="P342" s="1836"/>
      <c r="Q342" s="188"/>
    </row>
    <row r="343" spans="1:18" s="462" customFormat="1" ht="24" customHeight="1">
      <c r="A343" s="1234" t="s">
        <v>2193</v>
      </c>
      <c r="B343" s="1235"/>
      <c r="C343" s="1870" t="s">
        <v>4015</v>
      </c>
      <c r="D343" s="1870"/>
      <c r="E343" s="1870"/>
      <c r="F343" s="1870"/>
      <c r="G343" s="1870"/>
      <c r="H343" s="1870"/>
      <c r="I343" s="1240"/>
      <c r="J343" s="1870" t="s">
        <v>4018</v>
      </c>
      <c r="K343" s="1870"/>
      <c r="L343" s="1241">
        <f>$O$129</f>
        <v>0</v>
      </c>
      <c r="M343" s="1236">
        <v>3</v>
      </c>
      <c r="N343" s="1237"/>
      <c r="O343" s="3300"/>
      <c r="P343" s="1432"/>
      <c r="Q343" s="188" t="s">
        <v>2810</v>
      </c>
    </row>
    <row r="344" spans="1:18" s="44" customFormat="1" ht="11.25" customHeight="1">
      <c r="A344" s="779" t="s">
        <v>1801</v>
      </c>
      <c r="B344" s="1232" t="s">
        <v>2062</v>
      </c>
      <c r="C344" s="1744" t="s">
        <v>3704</v>
      </c>
      <c r="D344" s="1744"/>
      <c r="E344" s="1744"/>
      <c r="F344" s="1744"/>
      <c r="G344" s="1744"/>
      <c r="H344" s="1744"/>
      <c r="I344" s="1744"/>
      <c r="J344" s="1744"/>
      <c r="K344" s="1744"/>
      <c r="L344" s="1744"/>
      <c r="M344" s="611">
        <v>2</v>
      </c>
      <c r="N344" s="124"/>
      <c r="O344" s="3285">
        <v>2</v>
      </c>
      <c r="P344" s="1815"/>
      <c r="Q344" s="188" t="s">
        <v>2810</v>
      </c>
    </row>
    <row r="345" spans="1:18" s="44" customFormat="1" ht="11.25" customHeight="1">
      <c r="A345" s="776" t="s">
        <v>1403</v>
      </c>
      <c r="B345" s="1221" t="s">
        <v>2064</v>
      </c>
      <c r="C345" s="1824" t="s">
        <v>3703</v>
      </c>
      <c r="D345" s="1824"/>
      <c r="E345" s="1824"/>
      <c r="F345" s="1824"/>
      <c r="G345" s="1824"/>
      <c r="H345" s="1824"/>
      <c r="I345" s="1824"/>
      <c r="J345" s="1824"/>
      <c r="K345" s="1824"/>
      <c r="L345" s="1824"/>
      <c r="M345" s="613">
        <v>1</v>
      </c>
      <c r="N345" s="124"/>
      <c r="O345" s="3291"/>
      <c r="P345" s="1817"/>
      <c r="Q345" s="106"/>
    </row>
    <row r="346" spans="1:18" s="44" customFormat="1" ht="11.25" customHeight="1">
      <c r="B346" s="776"/>
      <c r="C346" s="1173" t="s">
        <v>3878</v>
      </c>
      <c r="D346" s="1173"/>
      <c r="E346" s="1173"/>
      <c r="F346" s="1435" t="s">
        <v>3871</v>
      </c>
      <c r="G346" s="1435" t="s">
        <v>3872</v>
      </c>
      <c r="H346" s="1435" t="s">
        <v>3873</v>
      </c>
      <c r="I346" s="1435" t="s">
        <v>3874</v>
      </c>
      <c r="J346" s="1435" t="s">
        <v>3875</v>
      </c>
      <c r="K346" s="1435" t="s">
        <v>3876</v>
      </c>
      <c r="L346" s="1435" t="s">
        <v>3877</v>
      </c>
      <c r="M346" s="1440"/>
      <c r="N346" s="1440"/>
      <c r="O346" s="1440"/>
      <c r="P346" s="1440"/>
      <c r="Q346" s="106"/>
    </row>
    <row r="347" spans="1:18" s="44" customFormat="1" ht="11.25" customHeight="1">
      <c r="A347" s="1230"/>
      <c r="B347" s="776"/>
      <c r="C347" s="1823" t="s">
        <v>3879</v>
      </c>
      <c r="D347" s="1823"/>
      <c r="E347" s="1823"/>
      <c r="F347" s="3301">
        <v>0.88570000000000004</v>
      </c>
      <c r="G347" s="3301">
        <v>0.87139999999999995</v>
      </c>
      <c r="H347" s="3301">
        <v>0.85709999999999997</v>
      </c>
      <c r="I347" s="3301">
        <v>0.94289999999999996</v>
      </c>
      <c r="J347" s="3301">
        <v>0.95709999999999995</v>
      </c>
      <c r="K347" s="3301">
        <v>0.95709999999999995</v>
      </c>
      <c r="L347" s="1344">
        <f>IF(OR(F347=0,G347=0,H347=0,I347=0,J347=0,K347=0),"Missing Rent Roll",AVERAGE(F347,G347,H347,I347,J347,K347))</f>
        <v>0.91188333333333327</v>
      </c>
      <c r="M347" s="1440"/>
      <c r="N347" s="1440"/>
      <c r="O347" s="1440"/>
      <c r="P347" s="1440"/>
      <c r="Q347" s="106"/>
    </row>
    <row r="348" spans="1:18" s="462" customFormat="1" ht="22.5" customHeight="1">
      <c r="A348" s="600" t="s">
        <v>1802</v>
      </c>
      <c r="B348" s="1242" t="s">
        <v>2062</v>
      </c>
      <c r="C348" s="1872" t="s">
        <v>3612</v>
      </c>
      <c r="D348" s="1872"/>
      <c r="E348" s="1872"/>
      <c r="F348" s="1872"/>
      <c r="G348" s="1872"/>
      <c r="H348" s="1872"/>
      <c r="I348" s="1872"/>
      <c r="K348" s="1820" t="s">
        <v>4118</v>
      </c>
      <c r="L348" s="1820"/>
      <c r="M348" s="601">
        <v>2</v>
      </c>
      <c r="N348" s="615"/>
      <c r="O348" s="3285"/>
      <c r="P348" s="1815"/>
      <c r="Q348" s="188" t="s">
        <v>2810</v>
      </c>
    </row>
    <row r="349" spans="1:18" s="462" customFormat="1" ht="21.75" customHeight="1">
      <c r="A349" s="776" t="s">
        <v>1403</v>
      </c>
      <c r="B349" s="1243" t="s">
        <v>2064</v>
      </c>
      <c r="C349" s="1873" t="s">
        <v>3613</v>
      </c>
      <c r="D349" s="1873"/>
      <c r="E349" s="1873"/>
      <c r="F349" s="1873"/>
      <c r="G349" s="1873"/>
      <c r="H349" s="1873"/>
      <c r="I349" s="1873"/>
      <c r="J349" s="1224"/>
      <c r="K349" s="3302" t="s">
        <v>1006</v>
      </c>
      <c r="L349" s="3303"/>
      <c r="M349" s="611">
        <v>1</v>
      </c>
      <c r="N349" s="612"/>
      <c r="O349" s="3291"/>
      <c r="P349" s="1817"/>
      <c r="Q349" s="188"/>
    </row>
    <row r="350" spans="1:18" s="108" customFormat="1" ht="11.25" customHeight="1">
      <c r="A350" s="602" t="s">
        <v>2021</v>
      </c>
      <c r="C350" s="1916" t="s">
        <v>3614</v>
      </c>
      <c r="D350" s="1916"/>
      <c r="E350" s="1916"/>
      <c r="F350" s="1916"/>
      <c r="G350" s="1916"/>
      <c r="H350" s="1916"/>
      <c r="I350" s="1916"/>
      <c r="J350" s="1916"/>
      <c r="K350" s="1916"/>
      <c r="L350" s="1916"/>
      <c r="M350" s="1245">
        <v>2</v>
      </c>
      <c r="N350" s="1246"/>
      <c r="O350" s="3304">
        <v>2</v>
      </c>
      <c r="P350" s="1148"/>
      <c r="Q350" s="188" t="s">
        <v>2810</v>
      </c>
    </row>
    <row r="351" spans="1:18" s="44" customFormat="1" ht="11.25" customHeight="1">
      <c r="A351" s="196"/>
      <c r="C351" s="1223" t="s">
        <v>4019</v>
      </c>
      <c r="D351" s="1440"/>
      <c r="E351" s="1918">
        <f>'Part IV-Uses of Funds'!$B$44</f>
        <v>4496982</v>
      </c>
      <c r="F351" s="1918"/>
      <c r="G351" s="1919" t="s">
        <v>4020</v>
      </c>
      <c r="H351" s="1919"/>
      <c r="I351" s="1438">
        <f>'Part IV-Uses of Funds'!$G$131</f>
        <v>9614942</v>
      </c>
      <c r="J351" s="1871" t="s">
        <v>4021</v>
      </c>
      <c r="K351" s="1871"/>
      <c r="L351" s="1343">
        <f>IF(I351=0, 0,E351/I351)</f>
        <v>0.46770765751889093</v>
      </c>
      <c r="M351" s="849"/>
      <c r="N351" s="849"/>
      <c r="O351" s="849"/>
      <c r="P351" s="849"/>
      <c r="Q351" s="188"/>
    </row>
    <row r="352" spans="1:18" s="462" customFormat="1" ht="22.5" customHeight="1">
      <c r="A352" s="1234" t="s">
        <v>3559</v>
      </c>
      <c r="B352" s="1235"/>
      <c r="C352" s="1915" t="s">
        <v>3615</v>
      </c>
      <c r="D352" s="1915"/>
      <c r="E352" s="1915"/>
      <c r="F352" s="1915"/>
      <c r="G352" s="1915"/>
      <c r="H352" s="1915"/>
      <c r="I352" s="1915"/>
      <c r="J352" s="1915"/>
      <c r="K352" s="1915"/>
      <c r="L352" s="1915"/>
      <c r="M352" s="1244">
        <v>2</v>
      </c>
      <c r="N352" s="1237"/>
      <c r="O352" s="3293"/>
      <c r="P352" s="1219"/>
      <c r="Q352" s="775" t="s">
        <v>2810</v>
      </c>
    </row>
    <row r="353" spans="1:18" s="462" customFormat="1" ht="11.25" customHeight="1">
      <c r="A353" s="779" t="s">
        <v>640</v>
      </c>
      <c r="C353" s="1744" t="s">
        <v>3705</v>
      </c>
      <c r="D353" s="1744"/>
      <c r="E353" s="1744"/>
      <c r="F353" s="1744"/>
      <c r="G353" s="1744"/>
      <c r="H353" s="1744"/>
      <c r="I353" s="1744"/>
      <c r="J353" s="1744"/>
      <c r="K353" s="1744"/>
      <c r="L353" s="1744"/>
      <c r="M353" s="789">
        <v>2</v>
      </c>
      <c r="N353" s="788"/>
      <c r="O353" s="3305"/>
      <c r="P353" s="1442"/>
      <c r="Q353" s="775" t="s">
        <v>2810</v>
      </c>
    </row>
    <row r="354" spans="1:18" s="462" customFormat="1" ht="11.25" customHeight="1">
      <c r="A354" s="1234" t="s">
        <v>3560</v>
      </c>
      <c r="B354" s="1235"/>
      <c r="C354" s="1870" t="s">
        <v>3616</v>
      </c>
      <c r="D354" s="1870"/>
      <c r="E354" s="1870"/>
      <c r="F354" s="1870"/>
      <c r="G354" s="1870"/>
      <c r="H354" s="1870"/>
      <c r="I354" s="1870"/>
      <c r="J354" s="1870"/>
      <c r="K354" s="1247"/>
      <c r="L354" s="1247"/>
      <c r="M354" s="1244">
        <v>1</v>
      </c>
      <c r="N354" s="1237"/>
      <c r="O354" s="3293"/>
      <c r="P354" s="1219"/>
      <c r="Q354" s="775" t="s">
        <v>2810</v>
      </c>
    </row>
    <row r="355" spans="1:18" s="462" customFormat="1" ht="11.25" customHeight="1">
      <c r="A355" s="600" t="s">
        <v>4022</v>
      </c>
      <c r="B355" s="1164"/>
      <c r="C355" s="1872" t="s">
        <v>4023</v>
      </c>
      <c r="D355" s="1872"/>
      <c r="E355" s="1872"/>
      <c r="F355" s="1872"/>
      <c r="G355" s="1872"/>
      <c r="H355" s="1872"/>
      <c r="I355" s="1872"/>
      <c r="J355" s="1872"/>
      <c r="K355" s="1224" t="s">
        <v>4024</v>
      </c>
      <c r="L355" s="1342">
        <f>'Part IV-Uses of Funds'!$G$127</f>
        <v>145000</v>
      </c>
      <c r="M355" s="789">
        <v>1</v>
      </c>
      <c r="N355" s="789"/>
      <c r="O355" s="3293">
        <v>1</v>
      </c>
      <c r="P355" s="1219"/>
      <c r="Q355" s="775" t="s">
        <v>2810</v>
      </c>
    </row>
    <row r="356" spans="1:18" s="462" customFormat="1" ht="11.25" customHeight="1">
      <c r="A356" s="1248"/>
      <c r="B356" s="1249"/>
      <c r="C356" s="1873"/>
      <c r="D356" s="1873"/>
      <c r="E356" s="1873"/>
      <c r="F356" s="1873"/>
      <c r="G356" s="1873"/>
      <c r="H356" s="1873"/>
      <c r="I356" s="1873"/>
      <c r="J356" s="1873"/>
      <c r="K356" s="1250" t="s">
        <v>4025</v>
      </c>
      <c r="L356" s="1438">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58" t="s">
        <v>4399</v>
      </c>
      <c r="B358" s="3059"/>
      <c r="C358" s="3059"/>
      <c r="D358" s="3059"/>
      <c r="E358" s="3059"/>
      <c r="F358" s="3059"/>
      <c r="G358" s="3059"/>
      <c r="H358" s="3059"/>
      <c r="I358" s="3059"/>
      <c r="J358" s="3059"/>
      <c r="K358" s="3059"/>
      <c r="L358" s="3059"/>
      <c r="M358" s="3059"/>
      <c r="N358" s="3059"/>
      <c r="O358" s="3059"/>
      <c r="P358" s="3060"/>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78" t="s">
        <v>3629</v>
      </c>
      <c r="C363" s="1878"/>
      <c r="D363" s="1878"/>
      <c r="E363" s="1878"/>
      <c r="F363" s="1878"/>
      <c r="G363" s="1878"/>
      <c r="H363" s="1878"/>
      <c r="I363" s="1878"/>
      <c r="J363" s="1878"/>
      <c r="K363" s="1878"/>
      <c r="L363" s="1878"/>
      <c r="M363" s="1878"/>
      <c r="N363" s="1878"/>
      <c r="O363" s="3054" t="s">
        <v>3153</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4026</v>
      </c>
      <c r="F365" s="54" t="s">
        <v>3624</v>
      </c>
      <c r="G365" s="54"/>
      <c r="J365" s="3306" t="s">
        <v>4359</v>
      </c>
      <c r="K365" s="3307"/>
      <c r="L365" s="3307"/>
      <c r="M365" s="3307"/>
      <c r="N365" s="3308"/>
      <c r="O365" s="1922" t="s">
        <v>3722</v>
      </c>
    </row>
    <row r="366" spans="1:18" s="44" customFormat="1" ht="3" customHeight="1">
      <c r="A366" s="149"/>
      <c r="C366" s="1430"/>
      <c r="D366" s="1430"/>
      <c r="E366" s="1430"/>
      <c r="F366" s="417"/>
      <c r="H366" s="1430"/>
      <c r="I366" s="1430"/>
      <c r="J366" s="1430"/>
      <c r="K366" s="1430"/>
      <c r="L366" s="1430"/>
      <c r="N366" s="621"/>
      <c r="O366" s="1922"/>
      <c r="P366" s="621"/>
    </row>
    <row r="367" spans="1:18" s="44" customFormat="1" ht="11.25" customHeight="1">
      <c r="A367" s="149"/>
      <c r="C367" s="1430"/>
      <c r="D367" s="1430"/>
      <c r="E367" s="1430"/>
      <c r="F367" s="57" t="s">
        <v>3051</v>
      </c>
      <c r="G367" s="57"/>
      <c r="J367" s="1821" t="str">
        <f>'Part I-Project Information'!$H$67</f>
        <v>Family</v>
      </c>
      <c r="K367" s="1822"/>
      <c r="L367" s="1430"/>
      <c r="M367" s="1876" t="s">
        <v>3900</v>
      </c>
      <c r="N367" s="621"/>
      <c r="O367" s="1922"/>
      <c r="P367" s="621"/>
    </row>
    <row r="368" spans="1:18" s="44" customFormat="1" ht="11.25" customHeight="1">
      <c r="A368" s="149"/>
      <c r="B368" s="653" t="s">
        <v>3625</v>
      </c>
      <c r="C368" s="652"/>
      <c r="D368" s="652"/>
      <c r="E368" s="1430"/>
      <c r="F368" s="417"/>
      <c r="H368" s="1430"/>
      <c r="I368" s="1430"/>
      <c r="J368" s="1430"/>
      <c r="K368" s="1430"/>
      <c r="L368" s="1430"/>
      <c r="M368" s="1876"/>
      <c r="N368" s="621"/>
      <c r="O368" s="1922"/>
      <c r="P368" s="1874" t="s">
        <v>3621</v>
      </c>
    </row>
    <row r="369" spans="1:18" s="44" customFormat="1" ht="12.75" customHeight="1">
      <c r="A369" s="149"/>
      <c r="C369" s="1418"/>
      <c r="F369" s="486" t="s">
        <v>3626</v>
      </c>
      <c r="H369" s="1430"/>
      <c r="I369" s="781" t="s">
        <v>3620</v>
      </c>
      <c r="J369" s="607" t="s">
        <v>3622</v>
      </c>
      <c r="K369" s="1422" t="s">
        <v>3621</v>
      </c>
      <c r="L369" s="783" t="s">
        <v>3623</v>
      </c>
      <c r="M369" s="1876"/>
      <c r="N369" s="782"/>
      <c r="O369" s="1922"/>
      <c r="P369" s="1875"/>
    </row>
    <row r="370" spans="1:18" s="44" customFormat="1" ht="21.75" customHeight="1">
      <c r="A370" s="149"/>
      <c r="B370" s="416" t="s">
        <v>2520</v>
      </c>
      <c r="C370" s="780" t="s">
        <v>3619</v>
      </c>
      <c r="D370" s="652"/>
      <c r="E370" s="1430"/>
      <c r="F370" s="3309" t="s">
        <v>4361</v>
      </c>
      <c r="G370" s="3310"/>
      <c r="H370" s="3311"/>
      <c r="I370" s="3312" t="s">
        <v>4360</v>
      </c>
      <c r="J370" s="3312" t="s">
        <v>3156</v>
      </c>
      <c r="K370" s="3313">
        <v>81</v>
      </c>
      <c r="L370" s="782">
        <v>78</v>
      </c>
      <c r="M370" s="840" t="str">
        <f>IF(K370="","",IF(K370&gt;=L370,"Yes",IF(K370&lt;L370,"No","")))</f>
        <v>Yes</v>
      </c>
      <c r="N370" s="782"/>
      <c r="O370" s="843" t="str">
        <f>IF(P370="","",IF(P370&gt;=L370,"Yes",IF(P370&lt;L370,"No","")))</f>
        <v/>
      </c>
      <c r="P370" s="784"/>
      <c r="Q370" s="37" t="s">
        <v>4119</v>
      </c>
    </row>
    <row r="371" spans="1:18" s="44" customFormat="1" ht="12" customHeight="1">
      <c r="A371" s="149"/>
      <c r="B371" s="432" t="s">
        <v>2521</v>
      </c>
      <c r="C371" s="780" t="s">
        <v>3617</v>
      </c>
      <c r="D371" s="652"/>
      <c r="E371" s="1430"/>
      <c r="F371" s="3314" t="s">
        <v>4362</v>
      </c>
      <c r="G371" s="3315"/>
      <c r="H371" s="3316"/>
      <c r="I371" s="3317" t="s">
        <v>4363</v>
      </c>
      <c r="J371" s="3317" t="s">
        <v>3156</v>
      </c>
      <c r="K371" s="3318">
        <v>85.7</v>
      </c>
      <c r="L371" s="782">
        <v>75</v>
      </c>
      <c r="M371" s="841" t="str">
        <f>IF(K371="","",IF(K371&gt;=L371,"Yes",IF(K371&lt;L371,"No","")))</f>
        <v>Yes</v>
      </c>
      <c r="N371" s="782"/>
      <c r="O371" s="844" t="str">
        <f>IF(P371="","",IF(P371&gt;=L371,"Yes",IF(P371&lt;L371,"No","")))</f>
        <v/>
      </c>
      <c r="P371" s="785"/>
      <c r="Q371" s="37" t="s">
        <v>4119</v>
      </c>
    </row>
    <row r="372" spans="1:18" s="44" customFormat="1" ht="12" customHeight="1">
      <c r="A372" s="149"/>
      <c r="B372" s="416" t="s">
        <v>2522</v>
      </c>
      <c r="C372" s="780" t="s">
        <v>3618</v>
      </c>
      <c r="D372" s="652"/>
      <c r="E372" s="1430"/>
      <c r="F372" s="3319" t="s">
        <v>4364</v>
      </c>
      <c r="G372" s="3320"/>
      <c r="H372" s="3321"/>
      <c r="I372" s="3322" t="s">
        <v>4365</v>
      </c>
      <c r="J372" s="3322" t="s">
        <v>3156</v>
      </c>
      <c r="K372" s="3323">
        <v>86.5</v>
      </c>
      <c r="L372" s="782">
        <v>72</v>
      </c>
      <c r="M372" s="842" t="str">
        <f>IF(K372="","",IF(K372&gt;=L372,"Yes",IF(K372&lt;L372,"No","")))</f>
        <v>Yes</v>
      </c>
      <c r="N372" s="782"/>
      <c r="O372" s="845" t="str">
        <f>IF(P372="","",IF(P372&gt;=L372,"Yes",IF(P372&lt;L372,"No","")))</f>
        <v/>
      </c>
      <c r="P372" s="786"/>
      <c r="Q372" s="37" t="s">
        <v>4119</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11.25" customHeight="1">
      <c r="A374" s="3058" t="s">
        <v>4366</v>
      </c>
      <c r="B374" s="3059"/>
      <c r="C374" s="3059"/>
      <c r="D374" s="3059"/>
      <c r="E374" s="3059"/>
      <c r="F374" s="3059"/>
      <c r="G374" s="3059"/>
      <c r="H374" s="3059"/>
      <c r="I374" s="3059"/>
      <c r="J374" s="3059"/>
      <c r="K374" s="3059"/>
      <c r="L374" s="3059"/>
      <c r="M374" s="3059"/>
      <c r="N374" s="3059"/>
      <c r="O374" s="3059"/>
      <c r="P374" s="3060"/>
      <c r="Q374" s="500" t="s">
        <v>1301</v>
      </c>
    </row>
    <row r="375" spans="1:18" s="44" customFormat="1" ht="10.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2965</v>
      </c>
      <c r="B378" s="112" t="s">
        <v>2964</v>
      </c>
      <c r="C378" s="56"/>
      <c r="D378" s="124"/>
      <c r="E378" s="124"/>
      <c r="F378" s="42"/>
      <c r="G378" s="1422" t="s">
        <v>4027</v>
      </c>
      <c r="H378" s="42"/>
      <c r="M378" s="1193">
        <v>2</v>
      </c>
      <c r="N378" s="192"/>
      <c r="O378" s="68">
        <f>IF(AND($H$388="",$I$391&gt;=0.6),2,IF(AND($H$388="",$I$391&gt;=0.5),1,0))</f>
        <v>0</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4034</v>
      </c>
      <c r="M380" s="607">
        <v>2</v>
      </c>
      <c r="R380" s="603"/>
    </row>
    <row r="381" spans="1:18" s="57" customFormat="1" ht="12" customHeight="1">
      <c r="B381" s="149" t="s">
        <v>2061</v>
      </c>
      <c r="C381" s="37" t="s">
        <v>4035</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06" t="s">
        <v>4028</v>
      </c>
      <c r="C383" s="1807"/>
      <c r="D383" s="1437" t="s">
        <v>2966</v>
      </c>
      <c r="E383" s="1912" t="s">
        <v>3628</v>
      </c>
      <c r="F383" s="1912"/>
      <c r="G383" s="1912"/>
      <c r="H383" s="1912"/>
      <c r="I383" s="1912"/>
      <c r="J383" s="1912"/>
      <c r="K383" s="1912"/>
      <c r="L383" s="1912"/>
      <c r="M383" s="1437" t="s">
        <v>1659</v>
      </c>
      <c r="N383" s="1804" t="s">
        <v>2687</v>
      </c>
      <c r="O383" s="1805"/>
    </row>
    <row r="384" spans="1:18" s="57" customFormat="1" ht="12" customHeight="1">
      <c r="A384" s="48"/>
      <c r="B384" s="1806"/>
      <c r="C384" s="1807"/>
      <c r="D384" s="787" t="s">
        <v>1251</v>
      </c>
      <c r="E384" s="1909" t="s">
        <v>2970</v>
      </c>
      <c r="F384" s="1910"/>
      <c r="G384" s="1910"/>
      <c r="H384" s="1910"/>
      <c r="I384" s="1910"/>
      <c r="J384" s="1910"/>
      <c r="K384" s="1910"/>
      <c r="L384" s="1911"/>
      <c r="M384" s="787" t="s">
        <v>2701</v>
      </c>
      <c r="N384" s="1802" t="s">
        <v>1326</v>
      </c>
      <c r="O384" s="1803"/>
    </row>
    <row r="385" spans="1:18" s="57" customFormat="1" ht="12.75" customHeight="1">
      <c r="A385" s="48"/>
      <c r="B385" s="1806"/>
      <c r="C385" s="1807"/>
      <c r="D385" s="1436">
        <v>20000</v>
      </c>
      <c r="E385" s="1908">
        <v>15000</v>
      </c>
      <c r="F385" s="1908"/>
      <c r="G385" s="1908"/>
      <c r="H385" s="1908"/>
      <c r="I385" s="1908"/>
      <c r="J385" s="1908"/>
      <c r="K385" s="1908"/>
      <c r="L385" s="1908"/>
      <c r="M385" s="1436">
        <v>6000</v>
      </c>
      <c r="N385" s="1800">
        <v>3000</v>
      </c>
      <c r="O385" s="1801"/>
    </row>
    <row r="386" spans="1:18" s="57" customFormat="1" ht="12" customHeight="1">
      <c r="A386" s="48"/>
      <c r="B386" s="48"/>
      <c r="C386" s="466"/>
      <c r="I386" s="607" t="s">
        <v>3910</v>
      </c>
      <c r="J386" s="607" t="s">
        <v>3911</v>
      </c>
      <c r="K386" s="1252"/>
      <c r="L386" s="1252"/>
      <c r="M386" s="1252"/>
      <c r="R386" s="603"/>
    </row>
    <row r="387" spans="1:18" s="57" customFormat="1" ht="12" customHeight="1">
      <c r="C387" s="1254" t="s">
        <v>4033</v>
      </c>
      <c r="D387" s="1252"/>
      <c r="E387" s="1252"/>
      <c r="F387" s="1252"/>
      <c r="G387" s="1252"/>
      <c r="H387" s="1252"/>
      <c r="I387" s="3324">
        <v>3000</v>
      </c>
      <c r="J387" s="3325"/>
      <c r="K387" s="1907" t="str">
        <f>IF(J388&lt;J387,"Threshold not met!","")</f>
        <v/>
      </c>
      <c r="L387" s="1253" t="s">
        <v>2967</v>
      </c>
      <c r="M387" s="1932" t="str">
        <f>'Part I-Project Information'!$F$28</f>
        <v>St. Marys</v>
      </c>
      <c r="N387" s="1933"/>
      <c r="O387" s="1933"/>
      <c r="P387" s="1934"/>
    </row>
    <row r="388" spans="1:18" s="57" customFormat="1" ht="12" customHeight="1">
      <c r="A388" s="1258"/>
      <c r="B388" s="1258"/>
      <c r="C388" s="481" t="s">
        <v>4029</v>
      </c>
      <c r="H388" s="1255" t="str">
        <f>IF(I388&lt;I387,"Threshold not met!","")</f>
        <v/>
      </c>
      <c r="I388" s="3326">
        <v>3433</v>
      </c>
      <c r="J388" s="3327"/>
      <c r="K388" s="1907"/>
      <c r="L388" s="61" t="s">
        <v>2968</v>
      </c>
      <c r="M388" s="1896" t="str">
        <f>'Part I-Project Information'!$J$29</f>
        <v>Camden</v>
      </c>
      <c r="N388" s="1897"/>
      <c r="O388" s="1897"/>
      <c r="P388" s="1898"/>
    </row>
    <row r="389" spans="1:18" s="57" customFormat="1" ht="12" customHeight="1">
      <c r="A389" s="1258"/>
      <c r="B389" s="1258"/>
      <c r="C389" s="481" t="s">
        <v>4031</v>
      </c>
      <c r="I389" s="3328">
        <v>1595</v>
      </c>
      <c r="J389" s="3329"/>
      <c r="L389" s="481" t="s">
        <v>2969</v>
      </c>
      <c r="M389" s="1896" t="str">
        <f>'Part I-Project Information'!$O$30</f>
        <v>Camden Co.</v>
      </c>
      <c r="N389" s="1897"/>
      <c r="O389" s="1897"/>
      <c r="P389" s="1898"/>
    </row>
    <row r="390" spans="1:18" s="57" customFormat="1" ht="12" customHeight="1">
      <c r="L390" s="481" t="s">
        <v>3052</v>
      </c>
      <c r="M390" s="1896" t="str">
        <f>VLOOKUP('Part I-Project Information'!$J$29,'DCA Underwriting Assumptions'!$G$141:$J$300,4)</f>
        <v>Non-MSA</v>
      </c>
      <c r="N390" s="1897"/>
      <c r="O390" s="1897"/>
      <c r="P390" s="1898"/>
    </row>
    <row r="391" spans="1:18" s="57" customFormat="1" ht="12" customHeight="1">
      <c r="C391" s="481" t="s">
        <v>4032</v>
      </c>
      <c r="I391" s="1256">
        <f>IF(I388=0,0,I389/I388)</f>
        <v>0.46460821438974659</v>
      </c>
      <c r="J391" s="1257">
        <f>IF(J388=0,0,J389/J388)</f>
        <v>0</v>
      </c>
      <c r="L391" s="57" t="s">
        <v>4030</v>
      </c>
      <c r="M391" s="1904" t="str">
        <f>'Part I-Project Information'!$K$30</f>
        <v>Rural</v>
      </c>
      <c r="N391" s="1905"/>
      <c r="O391" s="1905"/>
      <c r="P391" s="190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58" t="s">
        <v>4369</v>
      </c>
      <c r="B394" s="3059"/>
      <c r="C394" s="3059"/>
      <c r="D394" s="3059"/>
      <c r="E394" s="3059"/>
      <c r="F394" s="3059"/>
      <c r="G394" s="3059"/>
      <c r="H394" s="3059"/>
      <c r="I394" s="3059"/>
      <c r="J394" s="3059"/>
      <c r="K394" s="3059"/>
      <c r="L394" s="3059"/>
      <c r="M394" s="3059"/>
      <c r="N394" s="3059"/>
      <c r="O394" s="3059"/>
      <c r="P394" s="3060"/>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4091</v>
      </c>
      <c r="D400" s="46"/>
      <c r="E400" s="46"/>
      <c r="F400" s="40"/>
      <c r="G400" s="37"/>
      <c r="I400" s="37"/>
      <c r="J400" s="37"/>
      <c r="K400" s="37"/>
      <c r="L400" s="417"/>
      <c r="M400" s="1416"/>
      <c r="N400" s="6"/>
      <c r="O400" s="1288">
        <v>10</v>
      </c>
      <c r="P400" s="1288">
        <v>10</v>
      </c>
      <c r="Q400" s="115"/>
    </row>
    <row r="401" spans="1:18" s="108" customFormat="1" ht="11.25" customHeight="1">
      <c r="A401" s="166"/>
      <c r="B401" s="92" t="s">
        <v>4092</v>
      </c>
      <c r="D401" s="46"/>
      <c r="E401" s="46"/>
      <c r="F401" s="40"/>
      <c r="G401" s="37"/>
      <c r="I401" s="37"/>
      <c r="J401" s="37"/>
      <c r="K401" s="37"/>
      <c r="L401" s="417"/>
      <c r="M401" s="1416"/>
      <c r="N401" s="6"/>
      <c r="O401" s="3330">
        <v>0</v>
      </c>
      <c r="P401" s="623"/>
      <c r="Q401" s="115"/>
    </row>
    <row r="402" spans="1:18" s="108" customFormat="1" ht="11.25" customHeight="1">
      <c r="A402" s="166"/>
      <c r="B402" s="92" t="s">
        <v>4093</v>
      </c>
      <c r="D402" s="46"/>
      <c r="E402" s="46"/>
      <c r="F402" s="40"/>
      <c r="G402" s="37"/>
      <c r="I402" s="37"/>
      <c r="J402" s="37"/>
      <c r="K402" s="37"/>
      <c r="L402" s="417"/>
      <c r="M402" s="1416"/>
      <c r="N402" s="6"/>
      <c r="O402" s="3331">
        <v>0</v>
      </c>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182">
        <v>10</v>
      </c>
      <c r="P404" s="1148"/>
      <c r="Q404" s="188" t="s">
        <v>2810</v>
      </c>
    </row>
    <row r="405" spans="1:18" s="108" customFormat="1" ht="11.25" customHeight="1">
      <c r="A405" s="71"/>
      <c r="B405" s="71" t="s">
        <v>1937</v>
      </c>
      <c r="C405" s="51"/>
      <c r="D405" s="71"/>
      <c r="E405" s="1426"/>
      <c r="F405" s="1426"/>
      <c r="G405" s="1426"/>
      <c r="H405" s="1426"/>
      <c r="I405" s="1426"/>
      <c r="J405" s="1426"/>
      <c r="K405" s="1426"/>
      <c r="L405" s="1426"/>
      <c r="M405" s="1426"/>
      <c r="N405" s="99"/>
      <c r="O405" s="1165"/>
      <c r="P405" s="1416"/>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57</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6"/>
      <c r="O409" s="523"/>
      <c r="P409" s="523">
        <f>P214</f>
        <v>0</v>
      </c>
    </row>
    <row r="410" spans="1:18" s="43" customFormat="1" ht="13.5" customHeight="1">
      <c r="A410" s="56"/>
      <c r="B410" s="72"/>
      <c r="C410" s="56"/>
      <c r="D410" s="36"/>
      <c r="E410" s="36"/>
      <c r="F410" s="74"/>
      <c r="G410" s="74"/>
      <c r="I410" s="180" t="s">
        <v>3058</v>
      </c>
      <c r="J410" s="73"/>
      <c r="K410" s="73"/>
      <c r="L410" s="44"/>
      <c r="M410" s="36"/>
      <c r="N410" s="1416"/>
      <c r="O410" s="1416"/>
      <c r="P410" s="523">
        <f>P288</f>
        <v>0</v>
      </c>
    </row>
    <row r="411" spans="1:18" s="44" customFormat="1" ht="13.5" customHeight="1">
      <c r="A411" s="43"/>
      <c r="B411" s="43"/>
      <c r="C411" s="1421"/>
      <c r="D411" s="1421"/>
      <c r="E411" s="1421"/>
      <c r="F411" s="1421"/>
      <c r="G411" s="1421"/>
      <c r="I411" s="180" t="s">
        <v>3059</v>
      </c>
      <c r="J411" s="1421"/>
      <c r="K411" s="1421"/>
      <c r="L411" s="1421"/>
      <c r="M411" s="1421"/>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20"/>
      <c r="P412" s="648">
        <f>P408-P409-P410-P411</f>
        <v>22</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798" t="s">
        <v>4139</v>
      </c>
      <c r="B414" s="1798"/>
      <c r="C414" s="1798"/>
      <c r="D414" s="1798"/>
      <c r="E414" s="1798"/>
      <c r="F414" s="1798"/>
      <c r="G414" s="1798"/>
      <c r="H414" s="1798"/>
      <c r="I414" s="1798"/>
      <c r="J414" s="1798"/>
      <c r="K414" s="1798"/>
      <c r="L414" s="1798"/>
      <c r="M414" s="1798"/>
      <c r="N414" s="1798"/>
      <c r="O414" s="1798"/>
      <c r="P414" s="1798"/>
    </row>
    <row r="415" spans="1:18" s="44" customFormat="1" ht="107.25" customHeight="1">
      <c r="A415" s="3058"/>
      <c r="B415" s="3059"/>
      <c r="C415" s="3059"/>
      <c r="D415" s="3059"/>
      <c r="E415" s="3059"/>
      <c r="F415" s="3059"/>
      <c r="G415" s="3059"/>
      <c r="H415" s="3059"/>
      <c r="I415" s="3059"/>
      <c r="J415" s="3059"/>
      <c r="K415" s="3059"/>
      <c r="L415" s="3059"/>
      <c r="M415" s="3059"/>
      <c r="N415" s="3059"/>
      <c r="O415" s="3059"/>
      <c r="P415" s="3060"/>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3649</v>
      </c>
      <c r="N438" s="1346"/>
      <c r="O438" s="1347"/>
      <c r="P438" s="1347"/>
    </row>
    <row r="439" spans="3:16" s="546" customFormat="1">
      <c r="C439" s="1291" t="s">
        <v>1441</v>
      </c>
      <c r="J439" s="1294" t="s">
        <v>3650</v>
      </c>
      <c r="N439" s="1346"/>
      <c r="O439" s="1347"/>
      <c r="P439" s="1347"/>
    </row>
    <row r="440" spans="3:16" s="546" customFormat="1">
      <c r="C440" s="1291" t="s">
        <v>2362</v>
      </c>
      <c r="J440" s="546" t="s">
        <v>3632</v>
      </c>
      <c r="N440" s="1346"/>
      <c r="O440" s="1347"/>
      <c r="P440" s="1347"/>
    </row>
    <row r="441" spans="3:16" s="546" customFormat="1">
      <c r="J441" s="546" t="s">
        <v>3633</v>
      </c>
      <c r="N441" s="1346"/>
      <c r="O441" s="1347"/>
      <c r="P441" s="1347"/>
    </row>
    <row r="442" spans="3:16" s="546" customFormat="1">
      <c r="J442" s="546" t="s">
        <v>3634</v>
      </c>
      <c r="N442" s="1346"/>
      <c r="O442" s="1347"/>
      <c r="P442" s="1347"/>
    </row>
    <row r="443" spans="3:16" s="546" customFormat="1">
      <c r="C443" s="1295" t="s">
        <v>2904</v>
      </c>
      <c r="G443" s="1296" t="s">
        <v>1560</v>
      </c>
      <c r="H443" s="1297"/>
      <c r="I443" s="1296"/>
      <c r="J443" s="546" t="s">
        <v>3635</v>
      </c>
      <c r="L443" s="1296"/>
      <c r="N443" s="1346"/>
      <c r="O443" s="1347"/>
      <c r="P443" s="1347"/>
    </row>
    <row r="444" spans="3:16" s="546" customFormat="1">
      <c r="C444" s="1298" t="s">
        <v>2906</v>
      </c>
      <c r="G444" s="1299" t="s">
        <v>2609</v>
      </c>
      <c r="H444" s="1297"/>
      <c r="I444" s="1299"/>
      <c r="J444" s="1297" t="s">
        <v>3636</v>
      </c>
      <c r="L444" s="1299"/>
      <c r="N444" s="1346"/>
      <c r="O444" s="1347"/>
      <c r="P444" s="1347"/>
    </row>
    <row r="445" spans="3:16" s="546" customFormat="1">
      <c r="C445" s="1298" t="s">
        <v>2907</v>
      </c>
      <c r="G445" s="1299" t="s">
        <v>1848</v>
      </c>
      <c r="H445" s="1297"/>
      <c r="I445" s="1300"/>
      <c r="J445" s="1297" t="s">
        <v>3637</v>
      </c>
      <c r="L445" s="1300"/>
      <c r="N445" s="1346"/>
      <c r="O445" s="1347"/>
      <c r="P445" s="1347"/>
    </row>
    <row r="446" spans="3:16" s="546" customFormat="1">
      <c r="C446" s="1298" t="s">
        <v>2908</v>
      </c>
      <c r="G446" s="1299" t="s">
        <v>1695</v>
      </c>
      <c r="H446" s="1297"/>
      <c r="I446" s="1300"/>
      <c r="J446" s="1297" t="s">
        <v>3638</v>
      </c>
      <c r="L446" s="1300"/>
      <c r="N446" s="1346"/>
      <c r="O446" s="1347"/>
      <c r="P446" s="1347"/>
    </row>
    <row r="447" spans="3:16" s="546" customFormat="1">
      <c r="C447" s="1298" t="s">
        <v>2909</v>
      </c>
      <c r="G447" s="1299" t="s">
        <v>3977</v>
      </c>
      <c r="H447" s="1297"/>
      <c r="I447" s="1300"/>
      <c r="J447" s="1297" t="s">
        <v>3639</v>
      </c>
      <c r="L447" s="1300"/>
      <c r="N447" s="1346"/>
      <c r="O447" s="1347"/>
      <c r="P447" s="1347"/>
    </row>
    <row r="448" spans="3:16" s="546" customFormat="1">
      <c r="C448" s="1298" t="s">
        <v>2910</v>
      </c>
      <c r="G448" s="1299" t="s">
        <v>2149</v>
      </c>
      <c r="H448" s="1297"/>
      <c r="I448" s="1300"/>
      <c r="J448" s="1297" t="s">
        <v>3640</v>
      </c>
      <c r="L448" s="1300"/>
      <c r="N448" s="1346"/>
      <c r="O448" s="1347"/>
      <c r="P448" s="1347"/>
    </row>
    <row r="449" spans="1:16" s="546" customFormat="1">
      <c r="C449" s="1298" t="s">
        <v>2911</v>
      </c>
      <c r="G449" s="1299" t="s">
        <v>12</v>
      </c>
      <c r="H449" s="1297"/>
      <c r="I449" s="1300"/>
      <c r="J449" s="1297" t="s">
        <v>3641</v>
      </c>
      <c r="L449" s="1300"/>
      <c r="N449" s="1346"/>
      <c r="O449" s="1347"/>
      <c r="P449" s="1347"/>
    </row>
    <row r="450" spans="1:16" s="546" customFormat="1">
      <c r="C450" s="1298"/>
      <c r="G450" s="1299" t="s">
        <v>1381</v>
      </c>
      <c r="H450" s="1297"/>
      <c r="I450" s="1300"/>
      <c r="J450" s="1297" t="s">
        <v>3642</v>
      </c>
      <c r="L450" s="1300"/>
      <c r="N450" s="1346"/>
      <c r="O450" s="1347"/>
      <c r="P450" s="1347"/>
    </row>
    <row r="451" spans="1:16" s="546" customFormat="1">
      <c r="C451" s="1298"/>
      <c r="G451" s="1299" t="s">
        <v>1561</v>
      </c>
      <c r="H451" s="1297"/>
      <c r="I451" s="1300"/>
      <c r="J451" s="1297" t="s">
        <v>3643</v>
      </c>
      <c r="L451" s="1300"/>
      <c r="N451" s="1346"/>
      <c r="O451" s="1347"/>
      <c r="P451" s="1347"/>
    </row>
    <row r="452" spans="1:16" s="546" customFormat="1">
      <c r="C452" s="1298"/>
      <c r="G452" s="1299" t="s">
        <v>1059</v>
      </c>
      <c r="H452" s="1297"/>
      <c r="I452" s="1300"/>
      <c r="J452" s="1297" t="s">
        <v>3644</v>
      </c>
      <c r="L452" s="1300"/>
      <c r="N452" s="1346"/>
      <c r="O452" s="1347"/>
      <c r="P452" s="1347"/>
    </row>
    <row r="453" spans="1:16" s="546" customFormat="1">
      <c r="G453" s="1299" t="s">
        <v>1824</v>
      </c>
      <c r="H453" s="1297"/>
      <c r="I453" s="1300"/>
      <c r="J453" s="1297" t="s">
        <v>3645</v>
      </c>
      <c r="L453" s="1300"/>
      <c r="N453" s="1346"/>
      <c r="O453" s="1347"/>
      <c r="P453" s="1347"/>
    </row>
    <row r="454" spans="1:16" s="546" customFormat="1">
      <c r="G454" s="1299" t="s">
        <v>2575</v>
      </c>
      <c r="H454" s="1297"/>
      <c r="I454" s="1300"/>
      <c r="J454" s="1297" t="s">
        <v>3646</v>
      </c>
      <c r="L454" s="1300"/>
      <c r="N454" s="1346"/>
      <c r="O454" s="1347"/>
      <c r="P454" s="1347"/>
    </row>
    <row r="455" spans="1:16" s="546" customFormat="1">
      <c r="A455" s="1295" t="s">
        <v>2913</v>
      </c>
      <c r="G455" s="1299" t="s">
        <v>2136</v>
      </c>
      <c r="H455" s="1297"/>
      <c r="I455" s="1300"/>
      <c r="J455" s="1297" t="s">
        <v>3647</v>
      </c>
      <c r="L455" s="1300"/>
      <c r="N455" s="1346"/>
      <c r="O455" s="1347"/>
      <c r="P455" s="1347"/>
    </row>
    <row r="456" spans="1:16" s="546" customFormat="1">
      <c r="A456" s="1295" t="s">
        <v>2946</v>
      </c>
      <c r="G456" s="1299" t="s">
        <v>625</v>
      </c>
      <c r="H456" s="1297"/>
      <c r="I456" s="1300"/>
      <c r="J456" s="1297" t="s">
        <v>3648</v>
      </c>
      <c r="L456" s="1300"/>
      <c r="N456" s="1346"/>
      <c r="O456" s="1347"/>
      <c r="P456" s="1347"/>
    </row>
    <row r="457" spans="1:16" s="546" customFormat="1">
      <c r="A457" s="1298" t="s">
        <v>3580</v>
      </c>
      <c r="D457" s="1301"/>
      <c r="E457" s="1302">
        <v>3</v>
      </c>
      <c r="G457" s="1299" t="s">
        <v>348</v>
      </c>
      <c r="H457" s="1297"/>
      <c r="I457" s="1300"/>
      <c r="J457" s="1297"/>
      <c r="L457" s="1300"/>
      <c r="N457" s="1346"/>
      <c r="O457" s="1347"/>
      <c r="P457" s="1347"/>
    </row>
    <row r="458" spans="1:16" s="546" customFormat="1">
      <c r="A458" s="1298" t="s">
        <v>3581</v>
      </c>
      <c r="D458" s="1301"/>
      <c r="E458" s="1302">
        <v>2</v>
      </c>
      <c r="G458" s="1299" t="s">
        <v>906</v>
      </c>
      <c r="H458" s="1297"/>
      <c r="I458" s="1300"/>
      <c r="J458" s="1297"/>
      <c r="L458" s="1300"/>
      <c r="N458" s="1346"/>
      <c r="O458" s="1347"/>
      <c r="P458" s="1347"/>
    </row>
    <row r="459" spans="1:16" s="546" customFormat="1">
      <c r="A459" s="1298" t="s">
        <v>3582</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3978</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3603</v>
      </c>
      <c r="H471" s="1300"/>
      <c r="I471" s="1297"/>
      <c r="J471" s="1297"/>
      <c r="K471" s="546"/>
      <c r="L471" s="1300"/>
      <c r="M471" s="546"/>
      <c r="N471" s="130"/>
      <c r="O471" s="1412"/>
      <c r="P471" s="1412"/>
    </row>
    <row r="472" spans="1:16" s="172" customFormat="1">
      <c r="A472" s="546"/>
      <c r="B472" s="546"/>
      <c r="C472" s="546"/>
      <c r="D472" s="1304"/>
      <c r="E472" s="546"/>
      <c r="F472" s="546"/>
      <c r="G472" s="1299" t="s">
        <v>853</v>
      </c>
      <c r="H472" s="1300"/>
      <c r="I472" s="1297"/>
      <c r="J472" s="1297"/>
      <c r="K472" s="546"/>
      <c r="L472" s="1300"/>
      <c r="M472" s="546"/>
      <c r="N472" s="130"/>
      <c r="O472" s="1412"/>
      <c r="P472" s="1412"/>
    </row>
    <row r="473" spans="1:16" s="172" customFormat="1">
      <c r="A473" s="546"/>
      <c r="B473" s="546"/>
      <c r="C473" s="546"/>
      <c r="D473" s="1304"/>
      <c r="E473" s="1304"/>
      <c r="F473" s="546"/>
      <c r="G473" s="1299" t="s">
        <v>184</v>
      </c>
      <c r="H473" s="1300"/>
      <c r="I473" s="1297"/>
      <c r="J473" s="1297"/>
      <c r="K473" s="546"/>
      <c r="L473" s="1300"/>
      <c r="M473" s="546"/>
      <c r="N473" s="130"/>
      <c r="O473" s="1412"/>
      <c r="P473" s="1412"/>
    </row>
    <row r="474" spans="1:16" s="172" customFormat="1">
      <c r="A474" s="546"/>
      <c r="B474" s="546"/>
      <c r="C474" s="546"/>
      <c r="D474" s="546"/>
      <c r="E474" s="546"/>
      <c r="F474" s="546"/>
      <c r="G474" s="1299" t="s">
        <v>540</v>
      </c>
      <c r="H474" s="1300"/>
      <c r="I474" s="1297"/>
      <c r="J474" s="1297"/>
      <c r="K474" s="546"/>
      <c r="L474" s="1300"/>
      <c r="M474" s="546"/>
      <c r="N474" s="130"/>
      <c r="O474" s="1412"/>
      <c r="P474" s="1412"/>
    </row>
    <row r="475" spans="1:16" s="172" customFormat="1">
      <c r="A475" s="546"/>
      <c r="B475" s="546"/>
      <c r="C475" s="546"/>
      <c r="D475" s="546"/>
      <c r="E475" s="546"/>
      <c r="F475" s="546"/>
      <c r="G475" s="1299" t="s">
        <v>548</v>
      </c>
      <c r="H475" s="1300"/>
      <c r="I475" s="1297"/>
      <c r="J475" s="1297"/>
      <c r="K475" s="546"/>
      <c r="L475" s="1300"/>
      <c r="M475" s="546"/>
      <c r="N475" s="130"/>
      <c r="O475" s="1412"/>
      <c r="P475" s="1412"/>
    </row>
    <row r="476" spans="1:16" s="172" customFormat="1" ht="13.5">
      <c r="A476" s="546"/>
      <c r="B476" s="546"/>
      <c r="C476" s="1303"/>
      <c r="D476" s="546"/>
      <c r="E476" s="546"/>
      <c r="F476" s="546"/>
      <c r="G476" s="1299" t="s">
        <v>561</v>
      </c>
      <c r="H476" s="1305"/>
      <c r="I476" s="1297"/>
      <c r="J476" s="1297"/>
      <c r="K476" s="546"/>
      <c r="L476" s="1300"/>
      <c r="M476" s="546"/>
      <c r="N476" s="130"/>
      <c r="O476" s="1412"/>
      <c r="P476" s="1412"/>
    </row>
    <row r="477" spans="1:16" s="172" customFormat="1" ht="13.5">
      <c r="A477" s="546"/>
      <c r="B477" s="546"/>
      <c r="C477" s="1303"/>
      <c r="D477" s="546"/>
      <c r="E477" s="546"/>
      <c r="F477" s="546"/>
      <c r="G477" s="1299" t="s">
        <v>1694</v>
      </c>
      <c r="H477" s="1305"/>
      <c r="I477" s="1297"/>
      <c r="J477" s="1297"/>
      <c r="K477" s="546"/>
      <c r="L477" s="1300"/>
      <c r="M477" s="546"/>
      <c r="N477" s="130"/>
      <c r="O477" s="1412"/>
      <c r="P477" s="1412"/>
    </row>
    <row r="478" spans="1:16" s="172" customFormat="1" ht="13.5">
      <c r="A478" s="546"/>
      <c r="B478" s="546"/>
      <c r="C478" s="1303"/>
      <c r="D478" s="546"/>
      <c r="E478" s="546"/>
      <c r="F478" s="546"/>
      <c r="G478" s="1299" t="s">
        <v>2173</v>
      </c>
      <c r="H478" s="1305"/>
      <c r="I478" s="1297"/>
      <c r="J478" s="1297"/>
      <c r="K478" s="546"/>
      <c r="L478" s="1300"/>
      <c r="M478" s="546"/>
      <c r="N478" s="130"/>
      <c r="O478" s="1412"/>
      <c r="P478" s="1412"/>
    </row>
    <row r="479" spans="1:16" s="172" customFormat="1">
      <c r="A479" s="546"/>
      <c r="B479" s="546"/>
      <c r="C479" s="1303"/>
      <c r="D479" s="546"/>
      <c r="E479" s="546"/>
      <c r="F479" s="546"/>
      <c r="G479" s="1299" t="s">
        <v>2328</v>
      </c>
      <c r="H479" s="1297"/>
      <c r="I479" s="1297"/>
      <c r="J479" s="1297"/>
      <c r="K479" s="546"/>
      <c r="L479" s="1300"/>
      <c r="M479" s="546"/>
      <c r="N479" s="130"/>
      <c r="O479" s="1412"/>
      <c r="P479" s="1412"/>
    </row>
    <row r="480" spans="1:16" s="172" customFormat="1">
      <c r="A480" s="546"/>
      <c r="B480" s="546"/>
      <c r="C480" s="1303"/>
      <c r="D480" s="546"/>
      <c r="E480" s="546"/>
      <c r="F480" s="546"/>
      <c r="G480" s="1299" t="s">
        <v>412</v>
      </c>
      <c r="H480" s="1297"/>
      <c r="I480" s="1297"/>
      <c r="J480" s="1297"/>
      <c r="K480" s="546"/>
      <c r="L480" s="1300"/>
      <c r="M480" s="546"/>
      <c r="N480" s="130"/>
      <c r="O480" s="1412"/>
      <c r="P480" s="1412"/>
    </row>
    <row r="481" spans="1:16" s="172" customFormat="1">
      <c r="A481" s="546"/>
      <c r="B481" s="546"/>
      <c r="C481" s="1303"/>
      <c r="D481" s="546"/>
      <c r="E481" s="546"/>
      <c r="F481" s="546"/>
      <c r="G481" s="1299" t="s">
        <v>2200</v>
      </c>
      <c r="H481" s="1297"/>
      <c r="I481" s="1297"/>
      <c r="J481" s="1297"/>
      <c r="K481" s="546"/>
      <c r="L481" s="1306"/>
      <c r="M481" s="546"/>
      <c r="N481" s="130"/>
      <c r="O481" s="1412"/>
      <c r="P481" s="1412"/>
    </row>
    <row r="482" spans="1:16" s="172" customFormat="1" ht="13.5">
      <c r="A482" s="546"/>
      <c r="B482" s="546"/>
      <c r="C482" s="1303"/>
      <c r="D482" s="546"/>
      <c r="E482" s="546"/>
      <c r="F482" s="546"/>
      <c r="G482" s="1299" t="s">
        <v>1496</v>
      </c>
      <c r="H482" s="1297"/>
      <c r="I482" s="1297"/>
      <c r="J482" s="1297"/>
      <c r="K482" s="546"/>
      <c r="L482" s="1305"/>
      <c r="M482" s="546"/>
      <c r="N482" s="130"/>
      <c r="O482" s="1412"/>
      <c r="P482" s="1412"/>
    </row>
    <row r="483" spans="1:16" s="172" customFormat="1" ht="13.5">
      <c r="A483" s="546"/>
      <c r="B483" s="546"/>
      <c r="C483" s="1304"/>
      <c r="D483" s="546"/>
      <c r="E483" s="546"/>
      <c r="F483" s="546"/>
      <c r="G483" s="1299" t="s">
        <v>1613</v>
      </c>
      <c r="H483" s="1297"/>
      <c r="I483" s="1297"/>
      <c r="J483" s="1297"/>
      <c r="K483" s="546"/>
      <c r="L483" s="1305"/>
      <c r="M483" s="546"/>
      <c r="N483" s="130"/>
      <c r="O483" s="1412"/>
      <c r="P483" s="1412"/>
    </row>
    <row r="484" spans="1:16" s="172" customFormat="1" ht="13.5">
      <c r="A484" s="546"/>
      <c r="B484" s="546"/>
      <c r="C484" s="1304"/>
      <c r="D484" s="546"/>
      <c r="E484" s="546"/>
      <c r="F484" s="546"/>
      <c r="G484" s="1299" t="s">
        <v>256</v>
      </c>
      <c r="H484" s="1297"/>
      <c r="I484" s="1297"/>
      <c r="J484" s="1297"/>
      <c r="K484" s="546"/>
      <c r="L484" s="1305"/>
      <c r="M484" s="546"/>
      <c r="N484" s="130"/>
      <c r="O484" s="1412"/>
      <c r="P484" s="1412"/>
    </row>
    <row r="485" spans="1:16" s="172" customFormat="1" ht="13.5">
      <c r="A485" s="546"/>
      <c r="B485" s="546"/>
      <c r="C485" s="546"/>
      <c r="D485" s="546"/>
      <c r="E485" s="546"/>
      <c r="F485" s="546"/>
      <c r="G485" s="1299" t="s">
        <v>69</v>
      </c>
      <c r="H485" s="1297"/>
      <c r="I485" s="1297"/>
      <c r="J485" s="1297"/>
      <c r="K485" s="546"/>
      <c r="L485" s="1305"/>
      <c r="M485" s="546"/>
      <c r="N485" s="130"/>
      <c r="O485" s="1412"/>
      <c r="P485" s="1412"/>
    </row>
    <row r="486" spans="1:16" s="172" customFormat="1">
      <c r="A486" s="546"/>
      <c r="B486" s="546"/>
      <c r="C486" s="546"/>
      <c r="D486" s="546"/>
      <c r="E486" s="546"/>
      <c r="F486" s="546"/>
      <c r="G486" s="1299" t="s">
        <v>1080</v>
      </c>
      <c r="H486" s="1297"/>
      <c r="I486" s="1297"/>
      <c r="J486" s="1297"/>
      <c r="K486" s="1297"/>
      <c r="L486" s="546"/>
      <c r="M486" s="546"/>
      <c r="N486" s="130"/>
      <c r="O486" s="1412"/>
      <c r="P486" s="1412"/>
    </row>
    <row r="487" spans="1:16" s="172" customFormat="1">
      <c r="A487" s="546"/>
      <c r="B487" s="546"/>
      <c r="C487" s="546"/>
      <c r="D487" s="546"/>
      <c r="E487" s="546"/>
      <c r="F487" s="546"/>
      <c r="G487" s="1299" t="s">
        <v>2348</v>
      </c>
      <c r="H487" s="1297"/>
      <c r="I487" s="1297"/>
      <c r="J487" s="1297"/>
      <c r="K487" s="1297"/>
      <c r="L487" s="546"/>
      <c r="M487" s="546"/>
      <c r="N487" s="130"/>
      <c r="O487" s="1412"/>
      <c r="P487" s="1412"/>
    </row>
    <row r="488" spans="1:16" s="172" customFormat="1" ht="13.5">
      <c r="A488" s="546"/>
      <c r="B488" s="546"/>
      <c r="C488" s="546"/>
      <c r="D488" s="546"/>
      <c r="E488" s="546"/>
      <c r="F488" s="546"/>
      <c r="G488" s="1307" t="s">
        <v>2242</v>
      </c>
      <c r="H488" s="1297"/>
      <c r="I488" s="1297"/>
      <c r="J488" s="1297"/>
      <c r="K488" s="1297"/>
      <c r="L488" s="546"/>
      <c r="M488" s="546"/>
      <c r="N488" s="130"/>
      <c r="O488" s="1412"/>
      <c r="P488" s="1412"/>
    </row>
    <row r="489" spans="1:16" s="172" customFormat="1" ht="13.5">
      <c r="A489" s="546"/>
      <c r="B489" s="546"/>
      <c r="C489" s="546"/>
      <c r="D489" s="546"/>
      <c r="E489" s="546"/>
      <c r="F489" s="546"/>
      <c r="G489" s="1307" t="s">
        <v>1698</v>
      </c>
      <c r="H489" s="1297"/>
      <c r="I489" s="1297"/>
      <c r="J489" s="1297"/>
      <c r="K489" s="1297"/>
      <c r="L489" s="546"/>
      <c r="M489" s="546"/>
      <c r="N489" s="130"/>
      <c r="O489" s="1412"/>
      <c r="P489" s="1412"/>
    </row>
    <row r="490" spans="1:16" s="172" customFormat="1" ht="13.5">
      <c r="A490" s="546"/>
      <c r="B490" s="546"/>
      <c r="C490" s="546"/>
      <c r="D490" s="546"/>
      <c r="E490" s="546"/>
      <c r="F490" s="546"/>
      <c r="G490" s="1307" t="s">
        <v>2340</v>
      </c>
      <c r="H490" s="1297"/>
      <c r="I490" s="1297"/>
      <c r="J490" s="1297"/>
      <c r="K490" s="1297"/>
      <c r="L490" s="546"/>
      <c r="M490" s="546"/>
      <c r="N490" s="130"/>
      <c r="O490" s="1412"/>
      <c r="P490" s="1412"/>
    </row>
    <row r="491" spans="1:16" s="172" customFormat="1" ht="13.5">
      <c r="A491" s="546"/>
      <c r="B491" s="546"/>
      <c r="C491" s="546"/>
      <c r="D491" s="546"/>
      <c r="E491" s="546"/>
      <c r="F491" s="546"/>
      <c r="G491" s="1307" t="s">
        <v>2205</v>
      </c>
      <c r="H491" s="1297"/>
      <c r="I491" s="1297"/>
      <c r="J491" s="1297"/>
      <c r="K491" s="1297"/>
      <c r="L491" s="546"/>
      <c r="M491" s="546"/>
      <c r="N491" s="130"/>
      <c r="O491" s="1412"/>
      <c r="P491" s="1412"/>
    </row>
    <row r="492" spans="1:16" s="172" customFormat="1" ht="13.5">
      <c r="A492" s="546"/>
      <c r="B492" s="546"/>
      <c r="C492" s="546"/>
      <c r="D492" s="546"/>
      <c r="E492" s="546"/>
      <c r="F492" s="546"/>
      <c r="G492" s="1307" t="s">
        <v>1699</v>
      </c>
      <c r="H492" s="1297"/>
      <c r="I492" s="1297"/>
      <c r="J492" s="1297"/>
      <c r="K492" s="1297"/>
      <c r="L492" s="546"/>
      <c r="M492" s="546"/>
      <c r="N492" s="130"/>
      <c r="O492" s="1412"/>
      <c r="P492" s="1412"/>
    </row>
    <row r="493" spans="1:16" s="172" customFormat="1" ht="13.5">
      <c r="A493" s="546"/>
      <c r="B493" s="546"/>
      <c r="C493" s="546"/>
      <c r="D493" s="546"/>
      <c r="E493" s="546"/>
      <c r="F493" s="546"/>
      <c r="G493" s="1307" t="s">
        <v>2415</v>
      </c>
      <c r="H493" s="1297"/>
      <c r="I493" s="1297"/>
      <c r="J493" s="1297"/>
      <c r="K493" s="1297"/>
      <c r="L493" s="546"/>
      <c r="M493" s="546"/>
      <c r="N493" s="130"/>
      <c r="O493" s="1412"/>
      <c r="P493" s="1412"/>
    </row>
    <row r="494" spans="1:16" s="172" customFormat="1" ht="13.5">
      <c r="A494" s="546"/>
      <c r="B494" s="546"/>
      <c r="C494" s="546"/>
      <c r="D494" s="546"/>
      <c r="E494" s="546"/>
      <c r="F494" s="546"/>
      <c r="G494" s="1307" t="s">
        <v>1750</v>
      </c>
      <c r="H494" s="1297"/>
      <c r="I494" s="1297"/>
      <c r="J494" s="1297"/>
      <c r="K494" s="1297"/>
      <c r="L494" s="546"/>
      <c r="M494" s="546"/>
      <c r="N494" s="130"/>
      <c r="O494" s="1412"/>
      <c r="P494" s="1412"/>
    </row>
    <row r="495" spans="1:16" s="172" customFormat="1" ht="13.5">
      <c r="A495" s="546"/>
      <c r="B495" s="546"/>
      <c r="C495" s="546"/>
      <c r="D495" s="546"/>
      <c r="E495" s="546"/>
      <c r="F495" s="546"/>
      <c r="G495" s="1305" t="s">
        <v>2341</v>
      </c>
      <c r="H495" s="1297"/>
      <c r="I495" s="1297"/>
      <c r="J495" s="1297"/>
      <c r="K495" s="1297"/>
      <c r="L495" s="546"/>
      <c r="M495" s="546"/>
      <c r="N495" s="130"/>
      <c r="O495" s="1412"/>
      <c r="P495" s="1412"/>
    </row>
    <row r="496" spans="1:16" s="172" customFormat="1" ht="13.5">
      <c r="A496" s="546"/>
      <c r="B496" s="546"/>
      <c r="C496" s="546"/>
      <c r="D496" s="546"/>
      <c r="E496" s="546"/>
      <c r="F496" s="546"/>
      <c r="G496" s="1305" t="s">
        <v>1760</v>
      </c>
      <c r="H496" s="1297"/>
      <c r="I496" s="1297"/>
      <c r="J496" s="1297"/>
      <c r="K496" s="1297"/>
      <c r="L496" s="546"/>
      <c r="M496" s="546"/>
      <c r="N496" s="130"/>
      <c r="O496" s="1412"/>
      <c r="P496" s="1412"/>
    </row>
    <row r="497" spans="1:19" s="172" customFormat="1" ht="13.5">
      <c r="A497" s="546"/>
      <c r="B497" s="546"/>
      <c r="C497" s="546"/>
      <c r="D497" s="546"/>
      <c r="E497" s="546"/>
      <c r="F497" s="546"/>
      <c r="G497" s="1305" t="s">
        <v>1765</v>
      </c>
      <c r="H497" s="546"/>
      <c r="I497" s="546"/>
      <c r="J497" s="1297"/>
      <c r="K497" s="546"/>
      <c r="L497" s="546"/>
      <c r="M497" s="546"/>
      <c r="N497" s="130"/>
      <c r="O497" s="1412"/>
      <c r="P497" s="1412"/>
    </row>
    <row r="498" spans="1:19" s="172" customFormat="1" ht="13.5">
      <c r="A498" s="546"/>
      <c r="B498" s="546"/>
      <c r="C498" s="546"/>
      <c r="D498" s="546"/>
      <c r="E498" s="546"/>
      <c r="F498" s="546"/>
      <c r="G498" s="1305" t="s">
        <v>1768</v>
      </c>
      <c r="H498" s="546"/>
      <c r="I498" s="546"/>
      <c r="J498" s="546"/>
      <c r="K498" s="546"/>
      <c r="L498" s="546"/>
      <c r="M498" s="546"/>
      <c r="N498" s="130"/>
      <c r="O498" s="1412"/>
      <c r="P498" s="1412"/>
    </row>
    <row r="499" spans="1:19" s="172" customFormat="1" ht="13.5">
      <c r="A499" s="546"/>
      <c r="B499" s="546"/>
      <c r="C499" s="546"/>
      <c r="D499" s="546"/>
      <c r="E499" s="546"/>
      <c r="F499" s="546"/>
      <c r="G499" s="1305" t="s">
        <v>1773</v>
      </c>
      <c r="H499" s="546"/>
      <c r="I499" s="546"/>
      <c r="J499" s="546"/>
      <c r="K499" s="546"/>
      <c r="L499" s="546"/>
      <c r="M499" s="546"/>
      <c r="N499" s="130"/>
      <c r="O499" s="1412"/>
      <c r="P499" s="1412"/>
    </row>
    <row r="500" spans="1:19" s="172" customFormat="1" ht="13.5">
      <c r="A500" s="546"/>
      <c r="B500" s="546"/>
      <c r="C500" s="546"/>
      <c r="D500" s="546"/>
      <c r="E500" s="546"/>
      <c r="F500" s="546"/>
      <c r="G500" s="1305" t="s">
        <v>108</v>
      </c>
      <c r="H500" s="546"/>
      <c r="I500" s="546"/>
      <c r="J500" s="546"/>
      <c r="K500" s="546"/>
      <c r="L500" s="546"/>
      <c r="M500" s="546"/>
      <c r="N500" s="130"/>
      <c r="O500" s="1412"/>
      <c r="P500" s="1412"/>
    </row>
    <row r="501" spans="1:19" s="172" customFormat="1" ht="13.5">
      <c r="A501" s="546"/>
      <c r="B501" s="546"/>
      <c r="C501" s="546"/>
      <c r="D501" s="546"/>
      <c r="E501" s="546"/>
      <c r="F501" s="546"/>
      <c r="G501" s="1305" t="s">
        <v>309</v>
      </c>
      <c r="H501" s="546"/>
      <c r="I501" s="546"/>
      <c r="J501" s="546"/>
      <c r="K501" s="546"/>
      <c r="L501" s="546"/>
      <c r="M501" s="546"/>
      <c r="N501" s="130"/>
      <c r="O501" s="1412"/>
      <c r="P501" s="1412"/>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QxXeZUiWwXu+yAwlqrYoYLP3+DuPYKFKG4dVJ0qaZhBwM7Q8KIIoW8D7U45/wrlWvJHht8VaQD+RUe4G9lSM5Q==" saltValue="dusC9zfmeWqvPlJELPUOaA==" spinCount="100000" sheet="1" objects="1" scenarios="1" formatColumns="0" formatRows="0"/>
  <mergeCells count="298">
    <mergeCell ref="C231:D231"/>
    <mergeCell ref="C225:D225"/>
    <mergeCell ref="J176:K176"/>
    <mergeCell ref="A224:O224"/>
    <mergeCell ref="B123:J124"/>
    <mergeCell ref="A24:E24"/>
    <mergeCell ref="M387:P387"/>
    <mergeCell ref="B363:N363"/>
    <mergeCell ref="C303:H303"/>
    <mergeCell ref="L266:M266"/>
    <mergeCell ref="L268:M268"/>
    <mergeCell ref="J365:N365"/>
    <mergeCell ref="K27:N27"/>
    <mergeCell ref="F47:H47"/>
    <mergeCell ref="F48:H48"/>
    <mergeCell ref="F49:H49"/>
    <mergeCell ref="G229:H229"/>
    <mergeCell ref="I260:J260"/>
    <mergeCell ref="L251:L252"/>
    <mergeCell ref="L263:M263"/>
    <mergeCell ref="L264:M264"/>
    <mergeCell ref="I258:J258"/>
    <mergeCell ref="J229:K229"/>
    <mergeCell ref="M229:N229"/>
    <mergeCell ref="P344:P345"/>
    <mergeCell ref="C349:I349"/>
    <mergeCell ref="C348:I348"/>
    <mergeCell ref="T160:U160"/>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B90:F91"/>
    <mergeCell ref="H37:I37"/>
    <mergeCell ref="I68:L69"/>
    <mergeCell ref="G20:I20"/>
    <mergeCell ref="G21:I21"/>
    <mergeCell ref="G22:I22"/>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I282:J282"/>
    <mergeCell ref="I277:K277"/>
    <mergeCell ref="G270:K270"/>
    <mergeCell ref="O365:O369"/>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I67:K67"/>
    <mergeCell ref="I70:L71"/>
    <mergeCell ref="A75:P75"/>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K19:N19"/>
    <mergeCell ref="J231:K231"/>
    <mergeCell ref="M231:N231"/>
    <mergeCell ref="G231:H231"/>
    <mergeCell ref="I261:J261"/>
    <mergeCell ref="L260:M260"/>
    <mergeCell ref="L259:M259"/>
    <mergeCell ref="I290:L290"/>
    <mergeCell ref="G309:J309"/>
    <mergeCell ref="I267:J267"/>
    <mergeCell ref="L267:M267"/>
    <mergeCell ref="L258:M258"/>
    <mergeCell ref="C256:M256"/>
    <mergeCell ref="G23:I23"/>
    <mergeCell ref="A41:P41"/>
    <mergeCell ref="O26:P26"/>
    <mergeCell ref="O22:P22"/>
    <mergeCell ref="O23:P23"/>
    <mergeCell ref="G27:I27"/>
    <mergeCell ref="G24:I24"/>
    <mergeCell ref="O27:P27"/>
    <mergeCell ref="O24:P24"/>
    <mergeCell ref="O25:P25"/>
    <mergeCell ref="O20:P20"/>
    <mergeCell ref="J129:L129"/>
    <mergeCell ref="J141:K141"/>
    <mergeCell ref="L141:M141"/>
    <mergeCell ref="G141:H142"/>
    <mergeCell ref="J142:K142"/>
    <mergeCell ref="L142:M142"/>
    <mergeCell ref="O17:P17"/>
    <mergeCell ref="K22:N22"/>
    <mergeCell ref="K20:N20"/>
    <mergeCell ref="J140:K140"/>
    <mergeCell ref="C61:L61"/>
    <mergeCell ref="K91:M91"/>
    <mergeCell ref="K90:M90"/>
    <mergeCell ref="K101:M101"/>
    <mergeCell ref="L140:M140"/>
    <mergeCell ref="K26:N26"/>
    <mergeCell ref="I87:K87"/>
    <mergeCell ref="A26:E26"/>
    <mergeCell ref="A84:P84"/>
    <mergeCell ref="A111:P111"/>
    <mergeCell ref="C120:M121"/>
    <mergeCell ref="K24:N24"/>
    <mergeCell ref="A115:A117"/>
    <mergeCell ref="O19:P19"/>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J139:K139"/>
    <mergeCell ref="L148:M148"/>
    <mergeCell ref="L149:M149"/>
    <mergeCell ref="L150:M150"/>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A22:E22"/>
    <mergeCell ref="L154:M154"/>
    <mergeCell ref="L146:M146"/>
    <mergeCell ref="L147:M147"/>
    <mergeCell ref="L253:L254"/>
    <mergeCell ref="A25:E25"/>
    <mergeCell ref="J43:L45"/>
    <mergeCell ref="A54:P54"/>
    <mergeCell ref="B66:H66"/>
    <mergeCell ref="I66:L66"/>
    <mergeCell ref="A202:P202"/>
    <mergeCell ref="B198:L198"/>
    <mergeCell ref="B197:L197"/>
    <mergeCell ref="K225:L227"/>
    <mergeCell ref="K161:L161"/>
    <mergeCell ref="M162:M166"/>
    <mergeCell ref="L144:M144"/>
    <mergeCell ref="L143:M143"/>
    <mergeCell ref="L138:M138"/>
    <mergeCell ref="L137:M137"/>
    <mergeCell ref="L136:M136"/>
    <mergeCell ref="G131:P131"/>
    <mergeCell ref="A127:P127"/>
    <mergeCell ref="C137:F139"/>
    <mergeCell ref="L139:M139"/>
    <mergeCell ref="Q322:S322"/>
    <mergeCell ref="K334:L334"/>
    <mergeCell ref="K336:L336"/>
    <mergeCell ref="C341:I342"/>
    <mergeCell ref="J342:K342"/>
    <mergeCell ref="J341:K341"/>
    <mergeCell ref="P341:P342"/>
    <mergeCell ref="O341:O342"/>
    <mergeCell ref="B325:I326"/>
    <mergeCell ref="D332:E332"/>
    <mergeCell ref="F340:I340"/>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scale="97"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57" t="s">
        <v>4170</v>
      </c>
    </row>
    <row r="2" spans="1:6" s="34" customFormat="1" ht="13.5" customHeight="1">
      <c r="A2" s="1155" t="str">
        <f>'Part I-Project Information'!$F$24</f>
        <v>The Pines Apartments</v>
      </c>
    </row>
    <row r="3" spans="1:6" s="34" customFormat="1" ht="13.5" customHeight="1">
      <c r="A3" s="1155" t="str">
        <f>CONCATENATE('Part I-Project Information'!$F$28,", ", 'Part I-Project Information'!$J$29," County")</f>
        <v>St. Marys, Camden County</v>
      </c>
    </row>
    <row r="4" spans="1:6" ht="6.75" customHeight="1"/>
    <row r="5" spans="1:6" ht="113.25" customHeight="1">
      <c r="A5" s="2621" t="s">
        <v>2792</v>
      </c>
      <c r="B5" s="1773" t="s">
        <v>2793</v>
      </c>
      <c r="C5" s="1444"/>
      <c r="D5" s="1444"/>
      <c r="E5" s="1444"/>
      <c r="F5" s="1444"/>
    </row>
    <row r="6" spans="1:6" ht="6.6" customHeight="1">
      <c r="A6" s="2621"/>
      <c r="B6" s="1773"/>
      <c r="C6" s="1444"/>
      <c r="D6" s="1444"/>
      <c r="E6" s="1444"/>
      <c r="F6" s="1444"/>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Qg0G7gBM10jQD9qZnLToc5/my3k2rj+L3jgrkInJ0bcmrAKPitXD8PZ/i9DMFfLL4M4XENQZR9A7CiB2WZGM6g==" saltValue="fMVAOQzayheaRTil2E/O7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57" t="s">
        <v>3765</v>
      </c>
    </row>
    <row r="2" spans="1:6" s="34" customFormat="1" ht="13.5" customHeight="1">
      <c r="A2" s="1155" t="str">
        <f>'Part I-Project Information'!$F$24</f>
        <v>The Pines Apartments</v>
      </c>
    </row>
    <row r="3" spans="1:6" s="34" customFormat="1" ht="13.5" customHeight="1">
      <c r="A3" s="1155" t="str">
        <f>CONCATENATE('Part I-Project Information'!$F$28,", ", 'Part I-Project Information'!$J$29," County")</f>
        <v>St. Marys, Camden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1" t="s">
        <v>2792</v>
      </c>
      <c r="B6" s="1773" t="s">
        <v>2793</v>
      </c>
      <c r="C6" s="1444"/>
      <c r="D6" s="1444"/>
      <c r="E6" s="1444"/>
      <c r="F6" s="1444"/>
    </row>
    <row r="7" spans="1:6" ht="6.6" customHeight="1">
      <c r="A7" s="2621"/>
      <c r="B7" s="1773"/>
      <c r="C7" s="1444"/>
      <c r="D7" s="1444"/>
      <c r="E7" s="1444"/>
      <c r="F7" s="1444"/>
    </row>
    <row r="8" spans="1:6" ht="134.25" customHeight="1">
      <c r="A8" s="2621"/>
      <c r="C8" s="1153"/>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4"/>
    </row>
  </sheetData>
  <sheetProtection algorithmName="SHA-512" hashValue="aOblZIPYWb84Uh9oTKDlun2Uvu7xPq/HkL9UDy6E+6u68lqxJGtDiFux+89E2FQVm0CCsTI24JAzrRze2MSh/A==" saltValue="YXKl+9CvchvHwK4hfRWqS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3071</v>
      </c>
      <c r="B1" s="1937"/>
      <c r="C1" s="1937"/>
      <c r="D1" s="1937"/>
      <c r="E1" s="1937"/>
      <c r="F1" s="1937"/>
      <c r="G1" s="1937"/>
      <c r="H1" s="1937"/>
      <c r="I1" s="1937"/>
      <c r="J1" s="1937"/>
    </row>
    <row r="2" spans="1:11" ht="15.75">
      <c r="A2" s="1937" t="str">
        <f>Overview!C8</f>
        <v>The Pines Apartments</v>
      </c>
      <c r="B2" s="1937"/>
      <c r="C2" s="1937"/>
      <c r="D2" s="1937"/>
      <c r="E2" s="1937"/>
      <c r="F2" s="1937"/>
      <c r="G2" s="1937"/>
      <c r="H2" s="1937"/>
      <c r="I2" s="1937"/>
      <c r="J2" s="1937"/>
    </row>
    <row r="3" spans="1:11" ht="15.75">
      <c r="A3" s="1937" t="str">
        <f>'Subsidy Layering Memo'!F14</f>
        <v>St. Marys, Camden</v>
      </c>
      <c r="B3" s="1937"/>
      <c r="C3" s="1937"/>
      <c r="D3" s="1937"/>
      <c r="E3" s="1937"/>
      <c r="F3" s="1937"/>
      <c r="G3" s="1937"/>
      <c r="H3" s="1937"/>
      <c r="I3" s="1937"/>
      <c r="J3" s="1937"/>
    </row>
    <row r="4" spans="1:11" ht="15.75">
      <c r="A4" s="1938" t="s">
        <v>3072</v>
      </c>
      <c r="B4" s="1937"/>
      <c r="C4" s="1937"/>
      <c r="D4" s="1937"/>
      <c r="E4" s="1937"/>
      <c r="F4" s="1937"/>
      <c r="G4" s="1937"/>
      <c r="H4" s="1937"/>
      <c r="I4" s="1937"/>
      <c r="J4" s="1937"/>
    </row>
    <row r="5" spans="1:11" ht="5.25" customHeight="1"/>
    <row r="6" spans="1:11" ht="5.25" customHeight="1"/>
    <row r="7" spans="1:11" ht="15.75">
      <c r="A7" s="1939" t="s">
        <v>3073</v>
      </c>
      <c r="B7" s="1939"/>
      <c r="C7" s="1940"/>
    </row>
    <row r="8" spans="1:11" ht="123" customHeight="1">
      <c r="A8" s="1936" t="s">
        <v>3596</v>
      </c>
      <c r="B8" s="1936"/>
      <c r="C8" s="1936"/>
      <c r="D8" s="1936"/>
      <c r="E8" s="1936"/>
      <c r="F8" s="1936"/>
      <c r="G8" s="1936"/>
      <c r="H8" s="1936"/>
      <c r="I8" s="1936"/>
      <c r="J8" s="1936"/>
      <c r="K8" s="887"/>
    </row>
    <row r="9" spans="1:11" ht="15.75">
      <c r="A9" s="888" t="s">
        <v>3074</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3075</v>
      </c>
      <c r="B13" s="889"/>
    </row>
    <row r="14" spans="1:11">
      <c r="A14" s="886" t="s">
        <v>3076</v>
      </c>
      <c r="E14" s="890" t="s">
        <v>3077</v>
      </c>
    </row>
    <row r="15" spans="1:11">
      <c r="A15" s="886" t="s">
        <v>3078</v>
      </c>
      <c r="D15" s="891">
        <f>Overview!C25</f>
        <v>1600000</v>
      </c>
    </row>
    <row r="16" spans="1:11">
      <c r="A16" s="892" t="s">
        <v>3079</v>
      </c>
      <c r="D16" s="893" t="e">
        <f>Overview!C13</f>
        <v>#REF!</v>
      </c>
    </row>
    <row r="17" spans="1:11" ht="14.25" customHeight="1"/>
    <row r="18" spans="1:11" ht="15.75">
      <c r="A18" s="888" t="s">
        <v>3080</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3081</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The Pines Apartments</v>
      </c>
    </row>
    <row r="13" spans="1:10" ht="15">
      <c r="A13" s="901"/>
      <c r="D13" s="900" t="s">
        <v>3095</v>
      </c>
      <c r="F13" s="903" t="str">
        <f>Overview!E8</f>
        <v>2016-079</v>
      </c>
    </row>
    <row r="14" spans="1:10" ht="15">
      <c r="A14" s="901"/>
      <c r="D14" s="900" t="s">
        <v>3096</v>
      </c>
      <c r="F14" s="903" t="str">
        <f>Overview!H8</f>
        <v>St. Marys, Camden</v>
      </c>
    </row>
    <row r="15" spans="1:10" ht="15">
      <c r="A15" s="901"/>
      <c r="D15" s="900" t="s">
        <v>3484</v>
      </c>
      <c r="F15" s="904">
        <f>Overview!$C$25</f>
        <v>1600000</v>
      </c>
    </row>
    <row r="16" spans="1:10" ht="15">
      <c r="A16" s="901"/>
      <c r="D16" s="905" t="s">
        <v>3097</v>
      </c>
      <c r="F16" s="906" t="e">
        <f>Overview!C13</f>
        <v>#REF!</v>
      </c>
      <c r="G16" s="907" t="s">
        <v>3485</v>
      </c>
      <c r="H16" s="903" t="e">
        <f>Overview!D13</f>
        <v>#REF!</v>
      </c>
    </row>
    <row r="17" spans="1:18" ht="15">
      <c r="A17" s="901"/>
      <c r="D17" s="905" t="s">
        <v>3051</v>
      </c>
      <c r="F17" s="903" t="str">
        <f>Overview!C14</f>
        <v>Family</v>
      </c>
    </row>
    <row r="18" spans="1:18" ht="15">
      <c r="A18" s="901"/>
      <c r="D18" s="905" t="s">
        <v>3490</v>
      </c>
      <c r="F18" s="903" t="str">
        <f>Overview!H15</f>
        <v>Rural</v>
      </c>
    </row>
    <row r="19" spans="1:18" ht="15">
      <c r="A19" s="901"/>
      <c r="D19" s="905" t="s">
        <v>3486</v>
      </c>
      <c r="F19" s="903" t="str">
        <f>Overview!E16</f>
        <v>No</v>
      </c>
    </row>
    <row r="20" spans="1:18" ht="15">
      <c r="A20" s="901"/>
      <c r="D20" s="905"/>
    </row>
    <row r="21" spans="1:18" ht="15">
      <c r="A21" s="908" t="s">
        <v>3098</v>
      </c>
    </row>
    <row r="22" spans="1:18" ht="111.75" customHeight="1">
      <c r="A22" s="1945" t="s">
        <v>3775</v>
      </c>
      <c r="B22" s="1945"/>
      <c r="C22" s="1945"/>
      <c r="D22" s="1945"/>
      <c r="E22" s="1945"/>
      <c r="F22" s="1945"/>
      <c r="G22" s="1945"/>
      <c r="H22" s="1945"/>
      <c r="I22" s="1945"/>
      <c r="J22" s="1945"/>
      <c r="L22" s="1946" t="s">
        <v>3495</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3099</v>
      </c>
    </row>
    <row r="27" spans="1:18" ht="14.25" customHeight="1">
      <c r="A27" s="1949" t="s">
        <v>3100</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3101</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3102</v>
      </c>
    </row>
    <row r="41" spans="1:10" ht="135" customHeight="1">
      <c r="A41" s="1948" t="s">
        <v>3597</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3103</v>
      </c>
    </row>
    <row r="44" spans="1:10" ht="33" customHeight="1">
      <c r="A44" s="1944" t="s">
        <v>3104</v>
      </c>
      <c r="B44" s="1950"/>
      <c r="C44" s="1950"/>
      <c r="D44" s="1950"/>
      <c r="E44" s="1950"/>
      <c r="F44" s="1950"/>
      <c r="G44" s="1950"/>
      <c r="H44" s="1950"/>
      <c r="I44" s="1950"/>
      <c r="J44" s="1944"/>
    </row>
    <row r="45" spans="1:10" ht="3" customHeight="1"/>
    <row r="46" spans="1:10" ht="72.75" customHeight="1">
      <c r="A46" s="1944" t="s">
        <v>3105</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3106</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3107</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3496</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3108</v>
      </c>
      <c r="B54" s="1952"/>
      <c r="C54" s="1952"/>
      <c r="D54" s="1952"/>
      <c r="E54" s="1952"/>
      <c r="F54" s="1952"/>
      <c r="G54" s="1952"/>
      <c r="H54" s="1952"/>
      <c r="I54" s="1952"/>
      <c r="J54" s="1952"/>
    </row>
    <row r="55" spans="1:17" ht="3" customHeight="1"/>
    <row r="56" spans="1:17" ht="73.5" customHeight="1">
      <c r="A56" s="1944" t="s">
        <v>3109</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3110</v>
      </c>
      <c r="L58" s="912" t="s">
        <v>3767</v>
      </c>
    </row>
    <row r="59" spans="1:17" ht="73.5" customHeight="1">
      <c r="A59" s="1945" t="s">
        <v>3111</v>
      </c>
      <c r="B59" s="1945"/>
      <c r="C59" s="1945"/>
      <c r="D59" s="1945"/>
      <c r="E59" s="1945"/>
      <c r="F59" s="1945"/>
      <c r="G59" s="1945"/>
      <c r="H59" s="1945"/>
      <c r="I59" s="1945"/>
      <c r="J59" s="1945"/>
      <c r="L59" s="913">
        <f>'Closing term sheet'!C135</f>
        <v>625891.5</v>
      </c>
      <c r="M59" s="914"/>
      <c r="N59" s="914"/>
      <c r="O59" s="914"/>
    </row>
    <row r="60" spans="1:17" ht="7.5" customHeight="1">
      <c r="A60" s="909"/>
      <c r="B60" s="909"/>
      <c r="C60" s="909"/>
      <c r="D60" s="909"/>
      <c r="E60" s="909"/>
      <c r="F60" s="909"/>
      <c r="G60" s="909"/>
      <c r="H60" s="909"/>
      <c r="I60" s="909"/>
      <c r="J60" s="909"/>
      <c r="L60" s="915" t="s">
        <v>3768</v>
      </c>
      <c r="M60" s="916" t="s">
        <v>3773</v>
      </c>
      <c r="N60" s="917" t="s">
        <v>3770</v>
      </c>
      <c r="O60" s="915" t="s">
        <v>3769</v>
      </c>
      <c r="P60" s="916" t="s">
        <v>3772</v>
      </c>
      <c r="Q60" s="917" t="s">
        <v>3771</v>
      </c>
    </row>
    <row r="61" spans="1:17" ht="78.75" customHeight="1">
      <c r="A61" s="1952" t="s">
        <v>3598</v>
      </c>
      <c r="B61" s="1952"/>
      <c r="C61" s="1952"/>
      <c r="D61" s="1952"/>
      <c r="E61" s="1952"/>
      <c r="F61" s="1952"/>
      <c r="G61" s="1952"/>
      <c r="H61" s="1952"/>
      <c r="I61" s="1952"/>
      <c r="J61" s="918"/>
      <c r="L61" s="919">
        <f>'Part III-Sources of Funds'!I45</f>
        <v>5526434</v>
      </c>
      <c r="M61" s="920">
        <f>'Part IV-Uses of Funds'!$J$174</f>
        <v>552754</v>
      </c>
      <c r="N61" s="921">
        <f>'Part IV-Uses of Funds'!N167</f>
        <v>1</v>
      </c>
      <c r="O61" s="919">
        <f>'Part III-Sources of Funds'!I46</f>
        <v>2486895</v>
      </c>
      <c r="P61" s="920">
        <f>M61</f>
        <v>552754</v>
      </c>
      <c r="Q61" s="921">
        <f>'Part IV-Uses of Funds'!Q167</f>
        <v>0.45</v>
      </c>
    </row>
    <row r="62" spans="1:17" ht="18.75" customHeight="1">
      <c r="A62" s="922" t="s">
        <v>3112</v>
      </c>
    </row>
    <row r="63" spans="1:17" ht="159.75" customHeight="1">
      <c r="A63" s="1952" t="s">
        <v>3599</v>
      </c>
      <c r="B63" s="1952"/>
      <c r="C63" s="1952"/>
      <c r="D63" s="1952"/>
      <c r="E63" s="1952"/>
      <c r="F63" s="1952"/>
      <c r="G63" s="1952"/>
      <c r="H63" s="1952"/>
      <c r="I63" s="1952"/>
      <c r="J63" s="1952"/>
      <c r="L63" s="923">
        <f>'Part VII-Pro Forma'!K67</f>
        <v>1184535.8014703258</v>
      </c>
      <c r="M63" s="1956" t="s">
        <v>3774</v>
      </c>
      <c r="N63" s="1957"/>
    </row>
    <row r="64" spans="1:17" ht="6" customHeight="1">
      <c r="A64" s="908"/>
    </row>
    <row r="65" spans="1:10" ht="15">
      <c r="A65" s="908" t="s">
        <v>3113</v>
      </c>
    </row>
    <row r="66" spans="1:10" ht="66.75" customHeight="1">
      <c r="A66" s="1952" t="s">
        <v>3114</v>
      </c>
      <c r="B66" s="1952"/>
      <c r="C66" s="1952"/>
      <c r="D66" s="1952"/>
      <c r="E66" s="1952"/>
      <c r="F66" s="1952"/>
      <c r="G66" s="1952"/>
      <c r="H66" s="1952"/>
      <c r="I66" s="1952"/>
      <c r="J66" s="1952"/>
    </row>
    <row r="67" spans="1:10" ht="36" customHeight="1">
      <c r="A67" s="1952" t="s">
        <v>3115</v>
      </c>
      <c r="B67" s="1952"/>
      <c r="C67" s="1952"/>
      <c r="D67" s="1952"/>
      <c r="E67" s="1952"/>
      <c r="F67" s="1952"/>
      <c r="G67" s="1952"/>
      <c r="H67" s="1952"/>
      <c r="I67" s="1952"/>
      <c r="J67" s="1952"/>
    </row>
    <row r="68" spans="1:10" ht="6" customHeight="1">
      <c r="A68" s="908"/>
    </row>
    <row r="69" spans="1:10" ht="15">
      <c r="A69" s="908" t="s">
        <v>3116</v>
      </c>
    </row>
    <row r="70" spans="1:10" ht="105.75" customHeight="1">
      <c r="A70" s="1944" t="s">
        <v>3117</v>
      </c>
      <c r="B70" s="1944"/>
      <c r="C70" s="1944"/>
      <c r="D70" s="1944"/>
      <c r="E70" s="1944"/>
      <c r="F70" s="1944"/>
      <c r="G70" s="1944"/>
      <c r="H70" s="1944"/>
      <c r="I70" s="1944"/>
      <c r="J70" s="1944"/>
    </row>
    <row r="71" spans="1:10" ht="6" customHeight="1">
      <c r="A71" s="908"/>
    </row>
    <row r="72" spans="1:10" ht="15">
      <c r="A72" s="908" t="s">
        <v>3118</v>
      </c>
    </row>
    <row r="73" spans="1:10" ht="66" customHeight="1">
      <c r="A73" s="1944" t="s">
        <v>3119</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3120</v>
      </c>
      <c r="B75" s="907"/>
      <c r="C75" s="907"/>
      <c r="D75" s="907"/>
      <c r="E75" s="907"/>
      <c r="F75" s="907"/>
      <c r="G75" s="907"/>
      <c r="H75" s="907"/>
      <c r="I75" s="907"/>
      <c r="J75" s="925"/>
    </row>
    <row r="76" spans="1:10" s="910" customFormat="1" ht="63" customHeight="1">
      <c r="A76" s="1944" t="s">
        <v>3121</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3122</v>
      </c>
      <c r="B78" s="1954"/>
      <c r="C78" s="1954"/>
      <c r="D78" s="907"/>
      <c r="E78" s="907"/>
      <c r="F78" s="907"/>
      <c r="G78" s="907"/>
      <c r="H78" s="907"/>
      <c r="I78" s="907"/>
      <c r="J78" s="925"/>
    </row>
    <row r="79" spans="1:10" ht="41.25" customHeight="1">
      <c r="A79" s="1952" t="s">
        <v>3600</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3123</v>
      </c>
    </row>
    <row r="82" spans="1:15" ht="139.5" customHeight="1">
      <c r="A82" s="1952" t="s">
        <v>3124</v>
      </c>
      <c r="B82" s="1952"/>
      <c r="C82" s="1952"/>
      <c r="D82" s="1952"/>
      <c r="E82" s="1952"/>
      <c r="F82" s="1952"/>
      <c r="G82" s="1952"/>
      <c r="H82" s="1952"/>
      <c r="I82" s="1952"/>
      <c r="J82" s="1952"/>
      <c r="L82" s="1960" t="s">
        <v>3125</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2" t="s">
        <v>3127</v>
      </c>
      <c r="B85" s="1952"/>
      <c r="C85" s="1952"/>
      <c r="D85" s="1952"/>
      <c r="E85" s="1952"/>
      <c r="F85" s="1952"/>
      <c r="G85" s="1952"/>
      <c r="H85" s="1952"/>
      <c r="I85" s="1952"/>
      <c r="J85" s="1952"/>
      <c r="L85" s="1960" t="s">
        <v>3128</v>
      </c>
      <c r="M85" s="1960"/>
      <c r="N85" s="929" t="e">
        <f>'After-Tax Analysis'!G66</f>
        <v>#VALUE!</v>
      </c>
      <c r="O85" s="930" t="s">
        <v>3129</v>
      </c>
    </row>
    <row r="86" spans="1:15" ht="6" customHeight="1">
      <c r="A86" s="908"/>
    </row>
    <row r="87" spans="1:15" ht="15">
      <c r="A87" s="908" t="s">
        <v>3130</v>
      </c>
    </row>
    <row r="88" spans="1:15" ht="118.5" customHeight="1">
      <c r="A88" s="1944" t="s">
        <v>3131</v>
      </c>
      <c r="B88" s="1944"/>
      <c r="C88" s="1944"/>
      <c r="D88" s="1944"/>
      <c r="E88" s="1944"/>
      <c r="F88" s="1944"/>
      <c r="G88" s="1944"/>
      <c r="H88" s="1944"/>
      <c r="I88" s="1944"/>
      <c r="J88" s="1944"/>
    </row>
    <row r="89" spans="1:15" ht="20.25" customHeight="1">
      <c r="A89" s="1950" t="s">
        <v>3132</v>
      </c>
      <c r="B89" s="1950"/>
      <c r="C89" s="1950"/>
      <c r="D89" s="1944"/>
      <c r="E89" s="909"/>
      <c r="F89" s="909"/>
      <c r="G89" s="909"/>
      <c r="H89" s="909"/>
      <c r="I89" s="909"/>
      <c r="J89" s="909"/>
    </row>
    <row r="90" spans="1:15" ht="109.5" customHeight="1">
      <c r="A90" s="1944" t="s">
        <v>3133</v>
      </c>
      <c r="B90" s="1950"/>
      <c r="C90" s="1950"/>
      <c r="D90" s="1950"/>
      <c r="E90" s="1950"/>
      <c r="F90" s="1950"/>
      <c r="G90" s="1950"/>
      <c r="H90" s="1950"/>
      <c r="I90" s="1950"/>
      <c r="J90" s="1950"/>
    </row>
    <row r="91" spans="1:15" ht="11.25" customHeight="1">
      <c r="A91" s="908"/>
    </row>
    <row r="92" spans="1:15" ht="15">
      <c r="A92" s="908" t="s">
        <v>3134</v>
      </c>
    </row>
    <row r="93" spans="1:15" ht="122.25" customHeight="1">
      <c r="A93" s="1945" t="s">
        <v>3135</v>
      </c>
      <c r="B93" s="1945"/>
      <c r="C93" s="1945"/>
      <c r="D93" s="1945"/>
      <c r="E93" s="1945"/>
      <c r="F93" s="1945"/>
      <c r="G93" s="1945"/>
      <c r="H93" s="1945"/>
      <c r="I93" s="1945"/>
      <c r="J93" s="1945"/>
      <c r="L93" s="929">
        <f>'Part VII-Pro Forma'!K67</f>
        <v>1184535.8014703258</v>
      </c>
      <c r="M93" s="1961" t="s">
        <v>3136</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3137</v>
      </c>
      <c r="B97" s="1950"/>
      <c r="C97" s="1950"/>
      <c r="D97" s="909"/>
      <c r="E97" s="909"/>
      <c r="F97" s="909"/>
      <c r="G97" s="909"/>
      <c r="H97" s="909"/>
      <c r="I97" s="909"/>
      <c r="J97" s="925"/>
    </row>
    <row r="98" spans="1:10" ht="37.5" customHeight="1">
      <c r="A98" s="1952" t="s">
        <v>3138</v>
      </c>
      <c r="B98" s="1952"/>
      <c r="C98" s="1952"/>
      <c r="D98" s="1952"/>
      <c r="E98" s="1952"/>
      <c r="F98" s="1952"/>
      <c r="G98" s="1952"/>
      <c r="H98" s="1952"/>
      <c r="I98" s="1952"/>
      <c r="J98" s="1952"/>
    </row>
    <row r="99" spans="1:10" ht="6" customHeight="1">
      <c r="A99" s="908"/>
    </row>
    <row r="100" spans="1:10" ht="15">
      <c r="A100" s="908" t="s">
        <v>3139</v>
      </c>
    </row>
    <row r="101" spans="1:10" ht="43.5" customHeight="1">
      <c r="A101" s="1944" t="s">
        <v>3140</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3141</v>
      </c>
    </row>
    <row r="105" spans="1:10">
      <c r="A105" s="1958" t="s">
        <v>3142</v>
      </c>
      <c r="B105" s="1958"/>
      <c r="C105" s="1958"/>
      <c r="D105" s="1958"/>
      <c r="E105" s="1958"/>
      <c r="F105" s="1958"/>
      <c r="G105" s="1958"/>
      <c r="H105" s="1958"/>
      <c r="I105" s="1958"/>
      <c r="J105" s="1958"/>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59" t="s">
        <v>3146</v>
      </c>
      <c r="B116" s="1959"/>
      <c r="C116" s="1959"/>
      <c r="D116" s="1959"/>
      <c r="E116" s="1959"/>
      <c r="H116" s="1959" t="s">
        <v>3147</v>
      </c>
      <c r="I116" s="1959"/>
      <c r="J116" s="1959"/>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The Pines Apartments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2"/>
      <c r="J7" s="1962"/>
      <c r="K7" s="1962"/>
      <c r="L7" s="886"/>
      <c r="M7" s="886"/>
    </row>
    <row r="8" spans="1:13" ht="15.75">
      <c r="A8" s="889" t="s">
        <v>3151</v>
      </c>
      <c r="B8" s="889"/>
      <c r="C8" s="1962" t="str">
        <f>'Part I-Project Information'!F24</f>
        <v>The Pines Apartments</v>
      </c>
      <c r="D8" s="1962"/>
      <c r="E8" s="939" t="str">
        <f>'Part I-Project Information'!O4</f>
        <v>2016-079</v>
      </c>
      <c r="F8" s="940" t="s">
        <v>3152</v>
      </c>
      <c r="G8" s="938"/>
      <c r="H8" s="1962" t="str">
        <f>CONCATENATE('Part I-Project Information'!F28,", ",'Part I-Project Information'!J29)</f>
        <v>St. Marys, Camden</v>
      </c>
      <c r="I8" s="1962"/>
      <c r="J8" s="1962"/>
      <c r="K8" s="1962"/>
      <c r="L8" s="886"/>
      <c r="M8" s="941"/>
    </row>
    <row r="9" spans="1:13" ht="15.75">
      <c r="A9" s="889" t="s">
        <v>3154</v>
      </c>
      <c r="B9" s="889"/>
      <c r="C9" s="1962" t="s">
        <v>1837</v>
      </c>
      <c r="D9" s="1962"/>
      <c r="E9" s="938"/>
      <c r="F9" s="940" t="s">
        <v>3155</v>
      </c>
      <c r="G9" s="938"/>
      <c r="H9" s="1962" t="str">
        <f>'Part II-Development Team'!H5</f>
        <v>Hallmark Pines, LP</v>
      </c>
      <c r="I9" s="1962"/>
      <c r="J9" s="1962"/>
      <c r="K9" s="1962"/>
      <c r="L9" s="1962"/>
      <c r="M9" s="941"/>
    </row>
    <row r="10" spans="1:13" ht="15.75">
      <c r="A10" s="889" t="s">
        <v>3157</v>
      </c>
      <c r="B10" s="886"/>
      <c r="C10" s="881" t="str">
        <f>'Part II-Development Team'!H14</f>
        <v>Hallmark Pines Manager, LLC</v>
      </c>
      <c r="D10" s="938"/>
      <c r="E10" s="938"/>
      <c r="F10" s="940" t="s">
        <v>3844</v>
      </c>
      <c r="G10" s="938"/>
      <c r="H10" s="1962" t="str">
        <f>'Part II-Development Team'!H33</f>
        <v>Community Affordable Housing Equity Corporation</v>
      </c>
      <c r="I10" s="1962"/>
      <c r="J10" s="1962"/>
      <c r="K10" s="1962" t="str">
        <f>'Part II-Development Team'!H39</f>
        <v>Sugar Creek Capital</v>
      </c>
      <c r="L10" s="1962"/>
    </row>
    <row r="11" spans="1:13" ht="15.75">
      <c r="A11" s="889" t="s">
        <v>3158</v>
      </c>
      <c r="B11" s="886"/>
      <c r="C11" s="938" t="str">
        <f>IF('Part II-Development Team'!H20="","",'Part II-Development Team'!H20)</f>
        <v/>
      </c>
      <c r="D11" s="938"/>
      <c r="E11" s="938"/>
      <c r="F11" s="940" t="s">
        <v>677</v>
      </c>
      <c r="G11" s="938"/>
      <c r="H11" s="1962" t="str">
        <f>'Part II-Development Team'!H54</f>
        <v>Hallmark Development Services, LLC</v>
      </c>
      <c r="I11" s="1962"/>
      <c r="J11" s="1962"/>
      <c r="K11" s="1962">
        <f>'Part II-Development Team'!H60</f>
        <v>0</v>
      </c>
      <c r="L11" s="1962"/>
    </row>
    <row r="12" spans="1:13" ht="15.75">
      <c r="A12" s="889" t="s">
        <v>3159</v>
      </c>
      <c r="B12" s="886"/>
      <c r="C12" s="881" t="str">
        <f>'Part II-Development Team'!H86</f>
        <v>Formula Construction Group, LLC</v>
      </c>
      <c r="D12" s="938"/>
      <c r="E12" s="938"/>
      <c r="F12" s="940" t="s">
        <v>3160</v>
      </c>
      <c r="G12" s="938"/>
      <c r="H12" s="1962" t="str">
        <f>'Part II-Development Team'!H92</f>
        <v>Hallmark Management, Inc.</v>
      </c>
      <c r="I12" s="1962"/>
      <c r="J12" s="1962"/>
      <c r="K12" s="1962"/>
      <c r="L12" s="886"/>
      <c r="M12" s="886"/>
    </row>
    <row r="13" spans="1:13" ht="15.75">
      <c r="A13" s="889" t="s">
        <v>3161</v>
      </c>
      <c r="B13" s="940"/>
      <c r="C13" s="879" t="e">
        <f>#REF!</f>
        <v>#REF!</v>
      </c>
      <c r="D13" s="880" t="e">
        <f>#REF!</f>
        <v>#REF!</v>
      </c>
      <c r="E13" s="939"/>
      <c r="F13" s="940" t="s">
        <v>3488</v>
      </c>
      <c r="G13" s="938"/>
      <c r="H13" s="1968">
        <f>'Part I-Project Information'!H61</f>
        <v>6</v>
      </c>
      <c r="I13" s="1968"/>
      <c r="J13" s="1968"/>
      <c r="K13" s="1968"/>
      <c r="L13" s="886"/>
      <c r="M13" s="886"/>
    </row>
    <row r="14" spans="1:13" ht="15.75">
      <c r="A14" s="889" t="s">
        <v>3487</v>
      </c>
      <c r="B14" s="886"/>
      <c r="C14" s="881" t="str">
        <f>'Part I-Project Information'!H67</f>
        <v>Family</v>
      </c>
      <c r="D14" s="1962" t="str">
        <f>IF('Part I-Project Information'!N67=0,"",'Part I-Project Information'!N67)</f>
        <v/>
      </c>
      <c r="E14" s="1962"/>
      <c r="F14" s="940" t="s">
        <v>3162</v>
      </c>
      <c r="G14" s="938"/>
      <c r="H14" s="1963" t="s">
        <v>3776</v>
      </c>
      <c r="I14" s="1963"/>
      <c r="J14" s="1963"/>
      <c r="K14" s="1963" t="s">
        <v>3776</v>
      </c>
      <c r="L14" s="1963"/>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3813</v>
      </c>
      <c r="B16" s="886"/>
      <c r="C16" s="881" t="str">
        <f>'Part I-Project Information'!H86</f>
        <v>No</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9614942</v>
      </c>
      <c r="D18" s="945">
        <f>IF(C18=0,"",$C$29/C18)</f>
        <v>0.16640766007740868</v>
      </c>
      <c r="E18" s="938" t="s">
        <v>3492</v>
      </c>
      <c r="F18" s="940" t="s">
        <v>3493</v>
      </c>
      <c r="G18" s="938"/>
      <c r="H18" s="1967">
        <f>'Part IV-Uses of Funds'!B44</f>
        <v>4496982</v>
      </c>
      <c r="I18" s="1967"/>
      <c r="J18" s="946">
        <f>IF(H18=0,"",$C$29/H18)</f>
        <v>0.35579417484882081</v>
      </c>
      <c r="K18" s="1962" t="s">
        <v>3494</v>
      </c>
      <c r="L18" s="1962"/>
      <c r="M18" s="886"/>
    </row>
    <row r="19" spans="1:13" ht="15.75">
      <c r="A19" s="889" t="s">
        <v>3164</v>
      </c>
      <c r="B19" s="886"/>
      <c r="C19" s="882" t="e">
        <f>C18/C13</f>
        <v>#REF!</v>
      </c>
      <c r="D19" s="938"/>
      <c r="E19" s="886"/>
      <c r="F19" s="889" t="s">
        <v>3164</v>
      </c>
      <c r="G19" s="886"/>
      <c r="H19" s="1966" t="e">
        <f>H18/C13</f>
        <v>#REF!</v>
      </c>
      <c r="I19" s="1966"/>
      <c r="J19" s="886"/>
      <c r="K19" s="886"/>
      <c r="L19" s="886"/>
      <c r="M19" s="886"/>
    </row>
    <row r="20" spans="1:13" ht="15.75">
      <c r="A20" s="889" t="s">
        <v>3165</v>
      </c>
      <c r="B20" s="886"/>
      <c r="C20" s="882" t="e">
        <f>C18/#REF!</f>
        <v>#REF!</v>
      </c>
      <c r="D20" s="947"/>
      <c r="E20" s="948"/>
      <c r="F20" s="889" t="s">
        <v>3165</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FHA Sec. 221(d)(4)/Wells Fargo</v>
      </c>
      <c r="C25" s="954">
        <f>'Part III-Sources of Funds'!I37</f>
        <v>1600000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1600000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8013329</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1600000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0.16640766007740868</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0.35579417484882081</v>
      </c>
      <c r="D40" s="886"/>
      <c r="E40" s="886"/>
      <c r="F40" s="889"/>
      <c r="G40" s="889" t="s">
        <v>3185</v>
      </c>
      <c r="H40" s="886"/>
      <c r="I40" s="886"/>
      <c r="K40" s="965">
        <f>C30/C18</f>
        <v>0.83342458020027577</v>
      </c>
      <c r="L40" s="886"/>
      <c r="M40" s="886"/>
    </row>
    <row r="46" spans="1:13" ht="15.75">
      <c r="A46" s="968" t="s">
        <v>3186</v>
      </c>
      <c r="B46" s="933"/>
      <c r="C46" s="933"/>
      <c r="D46" s="933"/>
      <c r="E46" s="933"/>
      <c r="F46" s="933"/>
      <c r="G46" s="933"/>
      <c r="H46" s="933"/>
      <c r="I46" s="933"/>
      <c r="J46" s="933"/>
      <c r="K46" s="933"/>
      <c r="L46" s="933"/>
      <c r="M46" s="886"/>
    </row>
    <row r="47" spans="1:13" ht="15.75">
      <c r="A47" s="968" t="str">
        <f>C8</f>
        <v>The Pines Apartments</v>
      </c>
      <c r="B47" s="933"/>
      <c r="C47" s="933"/>
      <c r="D47" s="933"/>
      <c r="E47" s="933"/>
      <c r="F47" s="933"/>
      <c r="G47" s="933"/>
      <c r="H47" s="933"/>
      <c r="I47" s="933"/>
      <c r="J47" s="933"/>
      <c r="K47" s="933"/>
      <c r="L47" s="933"/>
      <c r="M47" s="886"/>
    </row>
    <row r="50" spans="1:14" s="886" customFormat="1" ht="15.75">
      <c r="A50" s="889" t="s">
        <v>3187</v>
      </c>
      <c r="C50" s="969" t="s">
        <v>3188</v>
      </c>
      <c r="E50" s="970" t="s">
        <v>3777</v>
      </c>
      <c r="F50" s="971">
        <v>0.1</v>
      </c>
      <c r="G50" s="970" t="s">
        <v>3778</v>
      </c>
      <c r="H50" s="971">
        <v>0.05</v>
      </c>
      <c r="I50" s="970" t="s">
        <v>3779</v>
      </c>
      <c r="J50" s="971">
        <v>0.03</v>
      </c>
      <c r="K50" s="1964" t="s">
        <v>3189</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498864</v>
      </c>
      <c r="D52" s="974"/>
      <c r="E52" s="974">
        <f>$C$52</f>
        <v>498864</v>
      </c>
      <c r="F52" s="974"/>
      <c r="G52" s="974">
        <f>$C$52</f>
        <v>498864</v>
      </c>
      <c r="H52" s="974"/>
      <c r="I52" s="974">
        <f>$C$52</f>
        <v>498864</v>
      </c>
      <c r="J52" s="974"/>
      <c r="K52" s="974">
        <f>$C$52</f>
        <v>498864</v>
      </c>
      <c r="L52" s="975"/>
      <c r="M52" s="28"/>
      <c r="N52" s="28"/>
    </row>
    <row r="53" spans="1:14" s="886" customFormat="1" ht="18.75" customHeight="1">
      <c r="B53" s="973" t="s">
        <v>3193</v>
      </c>
      <c r="C53" s="974">
        <f>'Part VII-Pro Forma'!B15</f>
        <v>9977.2800000000007</v>
      </c>
      <c r="D53" s="974"/>
      <c r="E53" s="974">
        <f>$C$53</f>
        <v>9977.2800000000007</v>
      </c>
      <c r="F53" s="974"/>
      <c r="G53" s="974">
        <f>$C$53</f>
        <v>9977.2800000000007</v>
      </c>
      <c r="H53" s="974"/>
      <c r="I53" s="974">
        <f>$C$53</f>
        <v>9977.2800000000007</v>
      </c>
      <c r="J53" s="974"/>
      <c r="K53" s="974">
        <f>$C$53</f>
        <v>9977.2800000000007</v>
      </c>
      <c r="L53" s="975"/>
      <c r="M53" s="28"/>
      <c r="N53" s="28"/>
    </row>
    <row r="54" spans="1:14" s="886" customFormat="1" ht="18.75" customHeight="1">
      <c r="B54" s="973" t="s">
        <v>3191</v>
      </c>
      <c r="C54" s="974">
        <f>-($C$52+C53)*0.07</f>
        <v>-35618.889600000002</v>
      </c>
      <c r="D54" s="974"/>
      <c r="E54" s="974">
        <f>-($C$52+E53)*F50</f>
        <v>-50884.128000000004</v>
      </c>
      <c r="F54" s="976"/>
      <c r="G54" s="974">
        <f>-($C$52+G53)*0.07</f>
        <v>-35618.889600000002</v>
      </c>
      <c r="H54" s="974"/>
      <c r="I54" s="974">
        <f>-($C$52+I53)*0.07</f>
        <v>-35618.889600000002</v>
      </c>
      <c r="J54" s="974"/>
      <c r="K54" s="974">
        <f>-($C$52+K53)*L54</f>
        <v>-50884.128000000004</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-95783.104757729001</v>
      </c>
      <c r="D75" s="974"/>
      <c r="E75" s="974">
        <f>$C$75</f>
        <v>-95783.104757729001</v>
      </c>
      <c r="F75" s="974"/>
      <c r="G75" s="974">
        <f>$C$75</f>
        <v>-95783.104757729001</v>
      </c>
      <c r="H75" s="974"/>
      <c r="I75" s="974">
        <f>$C$75</f>
        <v>-95783.104757729001</v>
      </c>
      <c r="J75" s="974"/>
      <c r="K75" s="974">
        <f>$C$75</f>
        <v>-95783.104757729001</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The Pines Apartments</v>
      </c>
    </row>
    <row r="2" spans="1:15" ht="13.5" customHeight="1"/>
    <row r="3" spans="1:15" ht="13.5" customHeight="1">
      <c r="A3" s="901" t="s">
        <v>3210</v>
      </c>
      <c r="C3" s="900" t="s">
        <v>3211</v>
      </c>
      <c r="E3" s="1000">
        <f>SUM('Part IV-Uses of Funds'!J148,'Part IV-Uses of Funds'!M148,'Part IV-Uses of Funds'!P148)</f>
        <v>8905451</v>
      </c>
      <c r="G3" s="1001" t="s">
        <v>3212</v>
      </c>
      <c r="H3" s="901">
        <v>27.5</v>
      </c>
      <c r="I3" s="900" t="s">
        <v>2555</v>
      </c>
      <c r="K3" s="907" t="s">
        <v>3234</v>
      </c>
      <c r="M3" s="903"/>
      <c r="O3" s="1002"/>
    </row>
    <row r="4" spans="1:15" ht="13.5" customHeight="1">
      <c r="C4" s="900" t="s">
        <v>3839</v>
      </c>
      <c r="E4" s="1000">
        <f>SUM('Part IV-Uses of Funds'!G85:H89)</f>
        <v>115000</v>
      </c>
      <c r="G4" s="1001" t="s">
        <v>3213</v>
      </c>
      <c r="H4" s="901">
        <f>'Part III-Sources of Funds'!M37</f>
        <v>40</v>
      </c>
      <c r="I4" s="900" t="s">
        <v>2555</v>
      </c>
      <c r="K4" s="1003" t="s">
        <v>3497</v>
      </c>
      <c r="M4" s="903"/>
    </row>
    <row r="5" spans="1:15" ht="13.5" customHeight="1">
      <c r="C5" s="900" t="s">
        <v>3840</v>
      </c>
      <c r="E5" s="1000">
        <f>SUM('Part IV-Uses of Funds'!G96:H102)</f>
        <v>112220</v>
      </c>
      <c r="G5" s="1001" t="s">
        <v>3213</v>
      </c>
      <c r="H5" s="901">
        <v>15</v>
      </c>
      <c r="I5" s="900" t="s">
        <v>2555</v>
      </c>
      <c r="K5" s="1002">
        <f>-E6</f>
        <v>-8013329</v>
      </c>
    </row>
    <row r="6" spans="1:15" ht="13.5" customHeight="1">
      <c r="C6" s="900" t="s">
        <v>3214</v>
      </c>
      <c r="E6" s="1004">
        <f>'Part III-Sources of Funds'!$I$45+'Part III-Sources of Funds'!$I$46</f>
        <v>8013329</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38653.175642271046</v>
      </c>
      <c r="D9" s="1009">
        <f>'Part VII-Pro Forma'!C30</f>
        <v>39720.380150270983</v>
      </c>
      <c r="E9" s="1009">
        <f>'Part VII-Pro Forma'!D30</f>
        <v>39063.206315431031</v>
      </c>
      <c r="F9" s="1009">
        <f>'Part VII-Pro Forma'!E30</f>
        <v>38290.679897904207</v>
      </c>
      <c r="G9" s="1009">
        <f>'Part VII-Pro Forma'!F30</f>
        <v>37395.669572857252</v>
      </c>
      <c r="H9" s="1009">
        <f>'Part VII-Pro Forma'!G30</f>
        <v>36373.881460764547</v>
      </c>
      <c r="I9" s="1009">
        <f>'Part VII-Pro Forma'!H30</f>
        <v>35218.853478468678</v>
      </c>
      <c r="K9" s="1002" t="e">
        <f>F24</f>
        <v>#VALUE!</v>
      </c>
      <c r="N9" s="1010" t="s">
        <v>3220</v>
      </c>
    </row>
    <row r="10" spans="1:15" ht="13.5" customHeight="1">
      <c r="A10" s="900" t="s">
        <v>3219</v>
      </c>
      <c r="C10" s="1011">
        <f>'Part III-Sources of Funds'!I37-'Part VII-Pro Forma'!B37</f>
        <v>12070.811531009385</v>
      </c>
      <c r="D10" s="1011">
        <f>'Part VII-Pro Forma'!B37-'Part VII-Pro Forma'!C37</f>
        <v>12720.002549478784</v>
      </c>
      <c r="E10" s="1011">
        <f>'Part VII-Pro Forma'!C37-'Part VII-Pro Forma'!D37</f>
        <v>13404.108285767958</v>
      </c>
      <c r="F10" s="1011">
        <f>'Part VII-Pro Forma'!D37-'Part VII-Pro Forma'!E37</f>
        <v>14125.006519275717</v>
      </c>
      <c r="G10" s="1011">
        <f>'Part VII-Pro Forma'!E37-'Part VII-Pro Forma'!F37</f>
        <v>14884.676019920036</v>
      </c>
      <c r="H10" s="1011">
        <f>'Part VII-Pro Forma'!F37-'Part VII-Pro Forma'!G37</f>
        <v>15685.201979598263</v>
      </c>
      <c r="I10" s="1011">
        <f>'Part VII-Pro Forma'!G37-'Part VII-Pro Forma'!H37</f>
        <v>16528.781735762488</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3842</v>
      </c>
      <c r="B13" s="1014"/>
      <c r="C13" s="1015">
        <f>-SUMIF('Part VII-Pro Forma'!$A$13:$L$13,C$8,'Part VII-Pro Forma'!$A$21:$L$21)-SUMIF('Part VII-Pro Forma'!$A$43:$L$43,C$8,'Part VII-Pro Forma'!$A$51:$L$51)-SUMIF('Part VII-Pro Forma'!$A$73:$L$73,C$8,'Part VII-Pro Forma'!$A$81:$L$81)</f>
        <v>24500</v>
      </c>
      <c r="D13" s="1015">
        <f>-SUMIF('Part VII-Pro Forma'!$A$13:$L$13,D$8,'Part VII-Pro Forma'!$A$21:$L$21)-SUMIF('Part VII-Pro Forma'!$A$43:$L$43,D$8,'Part VII-Pro Forma'!$A$51:$L$51)-SUMIF('Part VII-Pro Forma'!$A$73:$L$73,D$8,'Part VII-Pro Forma'!$A$81:$L$81)</f>
        <v>25235</v>
      </c>
      <c r="E13" s="1015">
        <f>-SUMIF('Part VII-Pro Forma'!$A$13:$L$13,E$8,'Part VII-Pro Forma'!$A$21:$L$21)-SUMIF('Part VII-Pro Forma'!$A$43:$L$43,E$8,'Part VII-Pro Forma'!$A$51:$L$51)-SUMIF('Part VII-Pro Forma'!$A$73:$L$73,E$8,'Part VII-Pro Forma'!$A$81:$L$81)</f>
        <v>25992.05</v>
      </c>
      <c r="F13" s="1015">
        <f>-SUMIF('Part VII-Pro Forma'!$A$13:$L$13,F$8,'Part VII-Pro Forma'!$A$21:$L$21)-SUMIF('Part VII-Pro Forma'!$A$43:$L$43,F$8,'Part VII-Pro Forma'!$A$51:$L$51)-SUMIF('Part VII-Pro Forma'!$A$73:$L$73,F$8,'Part VII-Pro Forma'!$A$81:$L$81)</f>
        <v>26771.8115</v>
      </c>
      <c r="G13" s="1015">
        <f>-SUMIF('Part VII-Pro Forma'!$A$13:$L$13,G$8,'Part VII-Pro Forma'!$A$21:$L$21)-SUMIF('Part VII-Pro Forma'!$A$43:$L$43,G$8,'Part VII-Pro Forma'!$A$51:$L$51)-SUMIF('Part VII-Pro Forma'!$A$73:$L$73,G$8,'Part VII-Pro Forma'!$A$81:$L$81)</f>
        <v>27574.965844999999</v>
      </c>
      <c r="H13" s="1015">
        <f>-SUMIF('Part VII-Pro Forma'!$A$13:$L$13,H$8,'Part VII-Pro Forma'!$A$21:$L$21)-SUMIF('Part VII-Pro Forma'!$A$43:$L$43,H$8,'Part VII-Pro Forma'!$A$51:$L$51)-SUMIF('Part VII-Pro Forma'!$A$73:$L$73,H$8,'Part VII-Pro Forma'!$A$81:$L$81)</f>
        <v>28402.214820349996</v>
      </c>
      <c r="I13" s="1015">
        <f>-SUMIF('Part VII-Pro Forma'!$A$13:$L$13,I$8,'Part VII-Pro Forma'!$A$21:$L$21)-SUMIF('Part VII-Pro Forma'!$A$43:$L$43,I$8,'Part VII-Pro Forma'!$A$51:$L$51)-SUMIF('Part VII-Pro Forma'!$A$73:$L$73,I$8,'Part VII-Pro Forma'!$A$81:$L$81)</f>
        <v>29254.281264960497</v>
      </c>
      <c r="K13" s="1002" t="e">
        <f>C44</f>
        <v>#VALUE!</v>
      </c>
      <c r="O13" s="1007"/>
    </row>
    <row r="14" spans="1:15" ht="13.5" customHeight="1">
      <c r="A14" s="1013" t="s">
        <v>3843</v>
      </c>
      <c r="B14" s="1014"/>
      <c r="C14" s="1015">
        <f>-SUMIF('Part VII-Pro Forma'!$A$13:$L$13,C$8,'Part VII-Pro Forma'!$A$29:$L$29)-SUMIF('Part VII-Pro Forma'!$A$43:$L$43,C$8,'Part VII-Pro Forma'!$A$59:$L$59)-SUMIF('Part VII-Pro Forma'!$A$73:$L$73,C$8,'Part VII-Pro Forma'!$A$89:$L$89)</f>
        <v>1613</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323834.58181818185</v>
      </c>
      <c r="D15" s="1017">
        <f t="shared" si="0"/>
        <v>323834.58181818185</v>
      </c>
      <c r="E15" s="1017">
        <f t="shared" si="0"/>
        <v>323834.58181818185</v>
      </c>
      <c r="F15" s="1017">
        <f t="shared" si="0"/>
        <v>323834.58181818185</v>
      </c>
      <c r="G15" s="1017">
        <f t="shared" si="0"/>
        <v>323834.58181818185</v>
      </c>
      <c r="H15" s="1017">
        <f t="shared" si="0"/>
        <v>323834.58181818185</v>
      </c>
      <c r="I15" s="1017">
        <f t="shared" si="0"/>
        <v>323834.58181818185</v>
      </c>
      <c r="K15" s="1002" t="e">
        <f>E44</f>
        <v>#VALUE!</v>
      </c>
      <c r="O15" s="1007"/>
    </row>
    <row r="16" spans="1:15" ht="13.5" customHeight="1">
      <c r="A16" s="1016" t="s">
        <v>3224</v>
      </c>
      <c r="C16" s="1017">
        <f>IF(C$8&lt;=$H$4,($E$4/$H$4),0)+IF(C$8&lt;=$H$5,($E$5/$H$5),0)</f>
        <v>10356.333333333332</v>
      </c>
      <c r="D16" s="1017">
        <f t="shared" ref="D16:I16" si="1">IF(D$8&lt;=$H$4,($E$4/$H$4),0)+IF(D$8&lt;=$H$5,($E$5/$H$5),0)</f>
        <v>10356.333333333332</v>
      </c>
      <c r="E16" s="1017">
        <f t="shared" si="1"/>
        <v>10356.333333333332</v>
      </c>
      <c r="F16" s="1017">
        <f t="shared" si="1"/>
        <v>10356.333333333332</v>
      </c>
      <c r="G16" s="1017">
        <f t="shared" si="1"/>
        <v>10356.333333333332</v>
      </c>
      <c r="H16" s="1017">
        <f t="shared" si="1"/>
        <v>10356.333333333332</v>
      </c>
      <c r="I16" s="1017">
        <f t="shared" si="1"/>
        <v>10356.333333333332</v>
      </c>
      <c r="K16" s="1002" t="e">
        <f>F44</f>
        <v>#VALUE!</v>
      </c>
      <c r="M16" s="900" t="s">
        <v>3228</v>
      </c>
      <c r="O16" s="1007">
        <f>E3</f>
        <v>8905451</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6476691.6363636367</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2428759.3636363633</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552754</v>
      </c>
      <c r="D21" s="1018">
        <f t="shared" ref="D21:I21" si="5">C21</f>
        <v>552754</v>
      </c>
      <c r="E21" s="1018">
        <f t="shared" si="5"/>
        <v>552754</v>
      </c>
      <c r="F21" s="1018">
        <f t="shared" si="5"/>
        <v>552754</v>
      </c>
      <c r="G21" s="1018">
        <f t="shared" si="5"/>
        <v>552754</v>
      </c>
      <c r="H21" s="1018">
        <f t="shared" si="5"/>
        <v>552754</v>
      </c>
      <c r="I21" s="1018">
        <f t="shared" si="5"/>
        <v>552754</v>
      </c>
      <c r="J21" s="900" t="s">
        <v>254</v>
      </c>
      <c r="K21" s="1002" t="e">
        <f>D64</f>
        <v>#VALUE!</v>
      </c>
      <c r="O21" s="1007"/>
    </row>
    <row r="22" spans="1:17" ht="13.5" customHeight="1">
      <c r="A22" s="900" t="s">
        <v>3231</v>
      </c>
      <c r="C22" s="1018">
        <f>C21</f>
        <v>552754</v>
      </c>
      <c r="D22" s="1018">
        <f t="shared" ref="D22:I22" si="6">D21</f>
        <v>552754</v>
      </c>
      <c r="E22" s="1018">
        <f t="shared" si="6"/>
        <v>552754</v>
      </c>
      <c r="F22" s="1018">
        <f t="shared" si="6"/>
        <v>552754</v>
      </c>
      <c r="G22" s="1018">
        <f t="shared" si="6"/>
        <v>552754</v>
      </c>
      <c r="H22" s="1018">
        <f t="shared" si="6"/>
        <v>552754</v>
      </c>
      <c r="I22" s="1018">
        <f t="shared" si="6"/>
        <v>552754</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2428759.3636363633</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-2428759.3636363633</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33924.949505326935</v>
      </c>
      <c r="D29" s="1009">
        <f>'Part VII-Pro Forma'!J30</f>
        <v>32485.353358586595</v>
      </c>
      <c r="E29" s="1009">
        <f>'Part VII-Pro Forma'!K30</f>
        <v>30894.062571951159</v>
      </c>
      <c r="F29" s="1009">
        <f>'Part VII-Pro Forma'!B60</f>
        <v>29143.881971114533</v>
      </c>
      <c r="G29" s="1009">
        <f>'Part VII-Pro Forma'!C60</f>
        <v>27227.417039837877</v>
      </c>
      <c r="H29" s="1009">
        <f>'Part VII-Pro Forma'!D60</f>
        <v>25139.067069960234</v>
      </c>
      <c r="I29" s="1009">
        <f>'Part VII-Pro Forma'!E60</f>
        <v>22870.018088510275</v>
      </c>
      <c r="N29" s="1021"/>
      <c r="O29" s="1021"/>
    </row>
    <row r="30" spans="1:17" ht="13.5" customHeight="1">
      <c r="A30" s="900" t="s">
        <v>3219</v>
      </c>
      <c r="C30" s="1011">
        <f>'Part VII-Pro Forma'!H37-'Part VII-Pro Forma'!I37</f>
        <v>17417.730802818201</v>
      </c>
      <c r="D30" s="1011">
        <f>'Part VII-Pro Forma'!I37-'Part VII-Pro Forma'!J37</f>
        <v>18354.489227904705</v>
      </c>
      <c r="E30" s="1011">
        <f>'Part VII-Pro Forma'!J37-'Part VII-Pro Forma'!K37</f>
        <v>19341.628288500477</v>
      </c>
      <c r="F30" s="1011">
        <f>'Part VII-Pro Forma'!K37-'Part VII-Pro Forma'!B67</f>
        <v>20381.857550237095</v>
      </c>
      <c r="G30" s="1011">
        <f>'Part VII-Pro Forma'!B67-'Part VII-Pro Forma'!C67</f>
        <v>21478.032304299297</v>
      </c>
      <c r="H30" s="1011">
        <f>'Part VII-Pro Forma'!C67-'Part VII-Pro Forma'!D67</f>
        <v>22633.161404817831</v>
      </c>
      <c r="I30" s="1011">
        <f>'Part VII-Pro Forma'!D67-'Part VII-Pro Forma'!E67</f>
        <v>23850.415527776117</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-485751.87272727268</v>
      </c>
    </row>
    <row r="32" spans="1:17" ht="13.5" customHeight="1">
      <c r="A32" s="900" t="s">
        <v>3219</v>
      </c>
      <c r="C32" s="1009"/>
      <c r="D32" s="1009"/>
      <c r="E32" s="1009"/>
      <c r="F32" s="1009"/>
      <c r="G32" s="1009"/>
      <c r="H32" s="1009"/>
      <c r="I32" s="1009"/>
    </row>
    <row r="33" spans="1:15" ht="13.5" customHeight="1">
      <c r="A33" s="1013" t="s">
        <v>3842</v>
      </c>
      <c r="B33" s="1014"/>
      <c r="C33" s="1015">
        <f>-SUMIF('Part VII-Pro Forma'!$A$13:$L$13,C$28,'Part VII-Pro Forma'!$A$21:$L$21)-SUMIF('Part VII-Pro Forma'!$A$43:$L$43,C$28,'Part VII-Pro Forma'!$A$51:$L$51)-SUMIF('Part VII-Pro Forma'!$A$73:$L$73,C$28,'Part VII-Pro Forma'!$A$81:$L$81)</f>
        <v>30131.909702909314</v>
      </c>
      <c r="D33" s="1015">
        <f>-SUMIF('Part VII-Pro Forma'!$A$13:$L$13,D$28,'Part VII-Pro Forma'!$A$21:$L$21)-SUMIF('Part VII-Pro Forma'!$A$43:$L$43,D$28,'Part VII-Pro Forma'!$A$51:$L$51)-SUMIF('Part VII-Pro Forma'!$A$73:$L$73,D$28,'Part VII-Pro Forma'!$A$81:$L$81)</f>
        <v>31035.866993996591</v>
      </c>
      <c r="E33" s="1015">
        <f>-SUMIF('Part VII-Pro Forma'!$A$13:$L$13,E$28,'Part VII-Pro Forma'!$A$21:$L$21)-SUMIF('Part VII-Pro Forma'!$A$43:$L$43,E$28,'Part VII-Pro Forma'!$A$51:$L$51)-SUMIF('Part VII-Pro Forma'!$A$73:$L$73,E$28,'Part VII-Pro Forma'!$A$81:$L$81)</f>
        <v>31966.94300381649</v>
      </c>
      <c r="F33" s="1015">
        <f>-SUMIF('Part VII-Pro Forma'!$A$13:$L$13,F$28,'Part VII-Pro Forma'!$A$21:$L$21)-SUMIF('Part VII-Pro Forma'!$A$43:$L$43,F$28,'Part VII-Pro Forma'!$A$51:$L$51)-SUMIF('Part VII-Pro Forma'!$A$73:$L$73,F$28,'Part VII-Pro Forma'!$A$81:$L$81)</f>
        <v>32925.951293930986</v>
      </c>
      <c r="G33" s="1015">
        <f>-SUMIF('Part VII-Pro Forma'!$A$13:$L$13,G$28,'Part VII-Pro Forma'!$A$21:$L$21)-SUMIF('Part VII-Pro Forma'!$A$43:$L$43,G$28,'Part VII-Pro Forma'!$A$51:$L$51)-SUMIF('Part VII-Pro Forma'!$A$73:$L$73,G$28,'Part VII-Pro Forma'!$A$81:$L$81)</f>
        <v>33913.729832748912</v>
      </c>
      <c r="H33" s="1015">
        <f>-SUMIF('Part VII-Pro Forma'!$A$13:$L$13,H$28,'Part VII-Pro Forma'!$A$21:$L$21)-SUMIF('Part VII-Pro Forma'!$A$43:$L$43,H$28,'Part VII-Pro Forma'!$A$51:$L$51)-SUMIF('Part VII-Pro Forma'!$A$73:$L$73,H$28,'Part VII-Pro Forma'!$A$81:$L$81)</f>
        <v>34931.141727731374</v>
      </c>
      <c r="I33" s="1015">
        <f>-SUMIF('Part VII-Pro Forma'!$A$13:$L$13,I$28,'Part VII-Pro Forma'!$A$21:$L$21)-SUMIF('Part VII-Pro Forma'!$A$43:$L$43,I$28,'Part VII-Pro Forma'!$A$51:$L$51)-SUMIF('Part VII-Pro Forma'!$A$73:$L$73,I$28,'Part VII-Pro Forma'!$A$81:$L$81)</f>
        <v>35979.075979563313</v>
      </c>
      <c r="K33" s="900" t="s">
        <v>254</v>
      </c>
      <c r="M33" s="900" t="s">
        <v>3239</v>
      </c>
      <c r="O33" s="1009" t="e">
        <f>O14-O31</f>
        <v>#VALUE!</v>
      </c>
    </row>
    <row r="34" spans="1:15" ht="13.5" customHeight="1">
      <c r="A34" s="1013" t="s">
        <v>3843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323834.58181818185</v>
      </c>
      <c r="D35" s="1017">
        <f t="shared" si="8"/>
        <v>323834.58181818185</v>
      </c>
      <c r="E35" s="1017">
        <f t="shared" si="8"/>
        <v>323834.58181818185</v>
      </c>
      <c r="F35" s="1017">
        <f t="shared" si="8"/>
        <v>323834.58181818185</v>
      </c>
      <c r="G35" s="1017">
        <f t="shared" si="8"/>
        <v>323834.58181818185</v>
      </c>
      <c r="H35" s="1017">
        <f t="shared" si="8"/>
        <v>323834.58181818185</v>
      </c>
      <c r="I35" s="1017">
        <f t="shared" si="8"/>
        <v>323834.58181818185</v>
      </c>
    </row>
    <row r="36" spans="1:15" ht="13.5" customHeight="1">
      <c r="A36" s="1016" t="s">
        <v>3224</v>
      </c>
      <c r="C36" s="1009">
        <f>IF(C$28&lt;=$H$4,($E$4/$H$4),0)+IF(C$28&lt;=$H$5,($E$5/$H$5),0)</f>
        <v>10356.333333333332</v>
      </c>
      <c r="D36" s="1009">
        <f t="shared" ref="D36:I36" si="9">IF(D$28&lt;=$H$4,($E$4/$H$4),0)+IF(D$28&lt;=$H$5,($E$5/$H$5),0)</f>
        <v>10356.333333333332</v>
      </c>
      <c r="E36" s="1009">
        <f t="shared" si="9"/>
        <v>10356.333333333332</v>
      </c>
      <c r="F36" s="1009">
        <f t="shared" si="9"/>
        <v>10356.333333333332</v>
      </c>
      <c r="G36" s="1009">
        <f t="shared" si="9"/>
        <v>10356.333333333332</v>
      </c>
      <c r="H36" s="1009">
        <f t="shared" si="9"/>
        <v>10356.333333333332</v>
      </c>
      <c r="I36" s="1009">
        <f t="shared" si="9"/>
        <v>10356.333333333332</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552754</v>
      </c>
      <c r="D41" s="1018">
        <f>C41</f>
        <v>552754</v>
      </c>
      <c r="E41" s="1018">
        <f>D41</f>
        <v>552754</v>
      </c>
      <c r="F41" s="1018">
        <v>0</v>
      </c>
      <c r="G41" s="1018">
        <v>0</v>
      </c>
      <c r="H41" s="1018">
        <v>0</v>
      </c>
      <c r="I41" s="1018">
        <v>0</v>
      </c>
    </row>
    <row r="42" spans="1:15" ht="13.5" customHeight="1">
      <c r="A42" s="900" t="s">
        <v>3231</v>
      </c>
      <c r="C42" s="1018">
        <f>C22</f>
        <v>552754</v>
      </c>
      <c r="D42" s="1018">
        <f>C42</f>
        <v>552754</v>
      </c>
      <c r="E42" s="1018">
        <f>D42</f>
        <v>552754</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20413.235554891013</v>
      </c>
      <c r="D49" s="1009">
        <f>'Part VII-Pro Forma'!G60</f>
        <v>17760.456820883061</v>
      </c>
      <c r="E49" s="1009">
        <f>'Part VII-Pro Forma'!H60</f>
        <v>14902.183345987403</v>
      </c>
      <c r="F49" s="1009">
        <f>'Part VII-Pro Forma'!I60</f>
        <v>11831.672660399679</v>
      </c>
      <c r="G49" s="1009">
        <f>'Part VII-Pro Forma'!J60</f>
        <v>8538.9300676701678</v>
      </c>
      <c r="H49" s="1009">
        <f>'Part VII-Pro Forma'!K60</f>
        <v>5014.7000788533769</v>
      </c>
    </row>
    <row r="50" spans="1:10" ht="13.5" customHeight="1">
      <c r="A50" s="900" t="s">
        <v>3219</v>
      </c>
      <c r="C50" s="1009">
        <f>'Part VII-Pro Forma'!E67-'Part VII-Pro Forma'!F67</f>
        <v>25133.135874093976</v>
      </c>
      <c r="D50" s="1009">
        <f>'Part VII-Pro Forma'!F67-'Part VII-Pro Forma'!G67</f>
        <v>26484.843340780353</v>
      </c>
      <c r="E50" s="1009">
        <f>'Part VII-Pro Forma'!G67-'Part VII-Pro Forma'!H67</f>
        <v>27909.248185328906</v>
      </c>
      <c r="F50" s="1009">
        <f>'Part VII-Pro Forma'!H67-'Part VII-Pro Forma'!I67</f>
        <v>29410.260209880769</v>
      </c>
      <c r="G50" s="1009">
        <f>'Part VII-Pro Forma'!I67-'Part VII-Pro Forma'!J67</f>
        <v>30991.999493113719</v>
      </c>
      <c r="H50" s="1009">
        <f>'Part VII-Pro Forma'!J67-'Part VII-Pro Forma'!K67</f>
        <v>32658.807699310128</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3842</v>
      </c>
      <c r="B53" s="1014"/>
      <c r="C53" s="1015">
        <f>-SUMIF('Part VII-Pro Forma'!$A$13:$L$13,C$48,'Part VII-Pro Forma'!$A$21:$L$21)-SUMIF('Part VII-Pro Forma'!$A$43:$L$43,C$48,'Part VII-Pro Forma'!$A$51:$L$51)-SUMIF('Part VII-Pro Forma'!$A$73:$L$73,C$48,'Part VII-Pro Forma'!$A$81:$L$81)</f>
        <v>37058.448258950222</v>
      </c>
      <c r="D53" s="1015">
        <f>-SUMIF('Part VII-Pro Forma'!$A$13:$L$13,D$48,'Part VII-Pro Forma'!$A$21:$L$21)-SUMIF('Part VII-Pro Forma'!$A$43:$L$43,D$48,'Part VII-Pro Forma'!$A$51:$L$51)-SUMIF('Part VII-Pro Forma'!$A$73:$L$73,D$48,'Part VII-Pro Forma'!$A$81:$L$81)</f>
        <v>38170.201706718726</v>
      </c>
      <c r="E53" s="1015">
        <f>-SUMIF('Part VII-Pro Forma'!$A$13:$L$13,E$48,'Part VII-Pro Forma'!$A$21:$L$21)-SUMIF('Part VII-Pro Forma'!$A$43:$L$43,E$48,'Part VII-Pro Forma'!$A$51:$L$51)-SUMIF('Part VII-Pro Forma'!$A$73:$L$73,E$48,'Part VII-Pro Forma'!$A$81:$L$81)</f>
        <v>39315.30775792028</v>
      </c>
      <c r="F53" s="1015">
        <f>-SUMIF('Part VII-Pro Forma'!$A$13:$L$13,F$48,'Part VII-Pro Forma'!$A$21:$L$21)-SUMIF('Part VII-Pro Forma'!$A$43:$L$43,F$48,'Part VII-Pro Forma'!$A$51:$L$51)-SUMIF('Part VII-Pro Forma'!$A$73:$L$73,F$48,'Part VII-Pro Forma'!$A$81:$L$81)</f>
        <v>40494.766990657889</v>
      </c>
      <c r="G53" s="1015">
        <f>-SUMIF('Part VII-Pro Forma'!$A$13:$L$13,G$48,'Part VII-Pro Forma'!$A$21:$L$21)-SUMIF('Part VII-Pro Forma'!$A$43:$L$43,G$48,'Part VII-Pro Forma'!$A$51:$L$51)-SUMIF('Part VII-Pro Forma'!$A$73:$L$73,G$48,'Part VII-Pro Forma'!$A$81:$L$81)</f>
        <v>41709.61000037763</v>
      </c>
      <c r="H53" s="1015">
        <f>-SUMIF('Part VII-Pro Forma'!$A$13:$L$13,H$48,'Part VII-Pro Forma'!$A$21:$L$21)-SUMIF('Part VII-Pro Forma'!$A$43:$L$43,H$48,'Part VII-Pro Forma'!$A$51:$L$51)-SUMIF('Part VII-Pro Forma'!$A$73:$L$73,H$48,'Part VII-Pro Forma'!$A$81:$L$81)</f>
        <v>42960.898300388959</v>
      </c>
    </row>
    <row r="54" spans="1:10" ht="13.5" customHeight="1">
      <c r="A54" s="1013" t="s">
        <v>3843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323834.58181818185</v>
      </c>
      <c r="D55" s="1017">
        <f t="shared" si="14"/>
        <v>323834.58181818185</v>
      </c>
      <c r="E55" s="1017">
        <f t="shared" si="14"/>
        <v>323834.58181818185</v>
      </c>
      <c r="F55" s="1017">
        <f t="shared" si="14"/>
        <v>323834.58181818185</v>
      </c>
      <c r="G55" s="1017">
        <f t="shared" si="14"/>
        <v>323834.58181818185</v>
      </c>
      <c r="H55" s="1017">
        <f t="shared" si="14"/>
        <v>323834.58181818185</v>
      </c>
    </row>
    <row r="56" spans="1:10" ht="13.5" customHeight="1">
      <c r="A56" s="1016" t="s">
        <v>3224</v>
      </c>
      <c r="C56" s="1009">
        <f t="shared" ref="C56:H56" si="15">IF(C$48&lt;=$H$4,($E$4/$H$4),0)+IF(C$48&lt;=$H$5,($E$5/$H$5),0)</f>
        <v>10356.333333333332</v>
      </c>
      <c r="D56" s="1009">
        <f t="shared" si="15"/>
        <v>2875</v>
      </c>
      <c r="E56" s="1009">
        <f t="shared" si="15"/>
        <v>2875</v>
      </c>
      <c r="F56" s="1009">
        <f t="shared" si="15"/>
        <v>2875</v>
      </c>
      <c r="G56" s="1009">
        <f t="shared" si="15"/>
        <v>2875</v>
      </c>
      <c r="H56" s="1009">
        <f t="shared" si="15"/>
        <v>2875</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2" zoomScale="148" zoomScaleNormal="148" workbookViewId="0">
      <selection activeCell="A2"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- 2016-079 The Pines Apartments, St. Marys, Camden County</v>
      </c>
      <c r="B1" s="1455"/>
      <c r="C1" s="1455"/>
      <c r="D1" s="1455"/>
      <c r="E1" s="1455"/>
      <c r="F1" s="1455"/>
      <c r="G1" s="1455"/>
      <c r="H1" s="1455"/>
      <c r="I1" s="1455"/>
      <c r="J1" s="1455"/>
      <c r="K1" s="1455"/>
      <c r="L1" s="1455"/>
      <c r="M1" s="1455"/>
      <c r="N1" s="1455"/>
      <c r="O1" s="1455"/>
      <c r="P1" s="1456"/>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8" t="s">
        <v>2779</v>
      </c>
      <c r="P3" s="1448"/>
    </row>
    <row r="4" spans="1:16" s="329" customFormat="1" ht="12" customHeight="1" thickBot="1">
      <c r="A4" s="543"/>
      <c r="B4" s="331"/>
      <c r="F4" s="332"/>
      <c r="G4" s="298" t="s">
        <v>459</v>
      </c>
      <c r="H4" s="1403"/>
      <c r="I4" s="1403"/>
      <c r="J4" s="1403"/>
      <c r="O4" s="2622" t="s">
        <v>4401</v>
      </c>
      <c r="P4" s="2623"/>
    </row>
    <row r="5" spans="1:16" s="329" customFormat="1" ht="12" customHeight="1" thickBot="1">
      <c r="A5" s="543"/>
      <c r="B5" s="1465" t="s">
        <v>4368</v>
      </c>
      <c r="C5" s="1466"/>
      <c r="D5" s="1467"/>
      <c r="F5" s="610"/>
      <c r="G5" s="188" t="s">
        <v>3502</v>
      </c>
      <c r="H5" s="1403"/>
      <c r="I5" s="1403"/>
      <c r="J5" s="1403"/>
    </row>
    <row r="6" spans="1:16" s="329" customFormat="1" ht="9" customHeight="1">
      <c r="A6" s="543"/>
      <c r="B6" s="331"/>
      <c r="C6" s="331"/>
      <c r="D6" s="331"/>
      <c r="E6" s="1403"/>
      <c r="H6" s="1403"/>
      <c r="I6" s="1403"/>
      <c r="J6" s="1403"/>
      <c r="K6" s="296"/>
      <c r="M6" s="1403"/>
    </row>
    <row r="7" spans="1:16" s="329" customFormat="1" ht="13.15" customHeight="1">
      <c r="A7" s="331" t="s">
        <v>640</v>
      </c>
      <c r="B7" s="331" t="s">
        <v>2460</v>
      </c>
      <c r="D7" s="299"/>
      <c r="E7" s="333"/>
      <c r="F7" s="334" t="s">
        <v>1781</v>
      </c>
      <c r="J7" s="1459">
        <f>'Part IV-Uses of Funds'!J174</f>
        <v>552754</v>
      </c>
      <c r="K7" s="1460"/>
      <c r="M7" s="1403"/>
    </row>
    <row r="8" spans="1:16" s="1" customFormat="1" ht="13.15" customHeight="1">
      <c r="A8" s="4"/>
      <c r="B8" s="4"/>
      <c r="D8" s="28"/>
      <c r="E8" s="413"/>
      <c r="F8" s="329" t="s">
        <v>1333</v>
      </c>
      <c r="J8" s="1461">
        <f>'Part III-Sources of Funds'!E10</f>
        <v>0</v>
      </c>
      <c r="K8" s="1462"/>
      <c r="L8" s="329"/>
      <c r="M8" s="1403"/>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4" t="s">
        <v>4203</v>
      </c>
      <c r="G10" s="2625"/>
      <c r="H10" s="2626"/>
      <c r="I10" s="2627" t="s">
        <v>4198</v>
      </c>
      <c r="J10" s="580" t="s">
        <v>4199</v>
      </c>
      <c r="K10" s="340"/>
      <c r="L10" s="1403"/>
      <c r="O10" s="2628" t="s">
        <v>4269</v>
      </c>
      <c r="P10" s="2629"/>
    </row>
    <row r="11" spans="1:16" s="329" customFormat="1" ht="12.75" customHeight="1">
      <c r="A11" s="543"/>
      <c r="H11" s="1403"/>
      <c r="J11" s="581" t="s">
        <v>2845</v>
      </c>
      <c r="K11" s="296"/>
      <c r="M11" s="1403"/>
      <c r="O11" s="2630" t="s">
        <v>3156</v>
      </c>
      <c r="P11" s="2631"/>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2" t="s">
        <v>4204</v>
      </c>
      <c r="G15" s="2633"/>
      <c r="H15" s="2633"/>
      <c r="I15" s="2633"/>
      <c r="J15" s="2633"/>
      <c r="K15" s="2633"/>
      <c r="L15" s="2634"/>
      <c r="M15" s="1389" t="s">
        <v>2055</v>
      </c>
      <c r="N15" s="2632" t="s">
        <v>4205</v>
      </c>
      <c r="O15" s="2633"/>
      <c r="P15" s="2634"/>
    </row>
    <row r="16" spans="1:16" s="329" customFormat="1" ht="13.15" customHeight="1">
      <c r="B16" s="334" t="s">
        <v>2056</v>
      </c>
      <c r="F16" s="2632" t="s">
        <v>4207</v>
      </c>
      <c r="G16" s="2633"/>
      <c r="H16" s="2633"/>
      <c r="I16" s="2633"/>
      <c r="J16" s="2633"/>
      <c r="K16" s="2633"/>
      <c r="L16" s="2634"/>
      <c r="M16" s="1389" t="s">
        <v>1787</v>
      </c>
      <c r="O16" s="2635">
        <v>7706350130</v>
      </c>
      <c r="P16" s="2636"/>
    </row>
    <row r="17" spans="1:18" s="329" customFormat="1" ht="13.15" customHeight="1">
      <c r="B17" s="334" t="s">
        <v>642</v>
      </c>
      <c r="F17" s="2637" t="s">
        <v>1251</v>
      </c>
      <c r="G17" s="2638"/>
      <c r="H17" s="2639"/>
      <c r="M17" s="1389" t="s">
        <v>1868</v>
      </c>
      <c r="O17" s="2640">
        <v>7709801380</v>
      </c>
      <c r="P17" s="2641"/>
    </row>
    <row r="18" spans="1:18" s="329" customFormat="1" ht="13.15" customHeight="1">
      <c r="B18" s="334" t="s">
        <v>1865</v>
      </c>
      <c r="F18" s="2642" t="s">
        <v>880</v>
      </c>
      <c r="I18" s="1403" t="s">
        <v>2308</v>
      </c>
      <c r="J18" s="2643">
        <v>303395704</v>
      </c>
      <c r="K18" s="2644"/>
      <c r="M18" s="1389" t="s">
        <v>2054</v>
      </c>
      <c r="O18" s="2640">
        <v>4046251902</v>
      </c>
      <c r="P18" s="2641"/>
    </row>
    <row r="19" spans="1:18" s="329" customFormat="1" ht="13.15" customHeight="1">
      <c r="B19" s="334" t="s">
        <v>1786</v>
      </c>
      <c r="F19" s="2640">
        <v>7709842100</v>
      </c>
      <c r="G19" s="2645"/>
      <c r="H19" s="2641"/>
      <c r="I19" s="1393" t="s">
        <v>1785</v>
      </c>
      <c r="J19" s="2646">
        <v>130</v>
      </c>
      <c r="K19" s="1403" t="s">
        <v>2059</v>
      </c>
      <c r="L19" s="2632" t="s">
        <v>4206</v>
      </c>
      <c r="M19" s="2633"/>
      <c r="N19" s="2633"/>
      <c r="O19" s="2633"/>
      <c r="P19" s="2634"/>
    </row>
    <row r="20" spans="1:18" s="329" customFormat="1" ht="13.15" customHeight="1">
      <c r="A20" s="331"/>
      <c r="B20" s="322" t="s">
        <v>679</v>
      </c>
      <c r="D20" s="333"/>
      <c r="G20" s="333"/>
      <c r="H20" s="333"/>
      <c r="I20" s="337"/>
    </row>
    <row r="21" spans="1:18" s="329" customFormat="1" ht="4.5" customHeight="1">
      <c r="A21" s="543"/>
      <c r="B21" s="543"/>
      <c r="C21" s="338"/>
      <c r="D21" s="1399"/>
      <c r="E21" s="1399"/>
      <c r="F21" s="1399"/>
      <c r="H21" s="1403"/>
      <c r="I21" s="1399"/>
      <c r="J21" s="338"/>
      <c r="K21" s="1399"/>
      <c r="P21" s="339"/>
    </row>
    <row r="22" spans="1:18" s="329" customFormat="1" ht="13.15" customHeight="1">
      <c r="A22" s="335" t="s">
        <v>1858</v>
      </c>
      <c r="B22" s="331" t="s">
        <v>1530</v>
      </c>
      <c r="D22" s="299"/>
      <c r="E22" s="333"/>
      <c r="F22" s="333"/>
      <c r="G22" s="334"/>
      <c r="H22" s="333"/>
      <c r="I22" s="333"/>
      <c r="J22" s="337"/>
      <c r="L22" s="336"/>
      <c r="M22" s="336"/>
    </row>
    <row r="23" spans="1:18" s="329" customFormat="1" ht="1.5" customHeight="1">
      <c r="A23" s="335"/>
      <c r="B23" s="331"/>
      <c r="D23" s="299"/>
      <c r="E23" s="333"/>
      <c r="F23" s="333"/>
      <c r="G23" s="334"/>
      <c r="H23" s="333"/>
      <c r="I23" s="333"/>
      <c r="J23" s="337"/>
      <c r="L23" s="336"/>
    </row>
    <row r="24" spans="1:18" s="329" customFormat="1" ht="13.15" customHeight="1">
      <c r="A24" s="331"/>
      <c r="B24" s="329" t="s">
        <v>641</v>
      </c>
      <c r="D24" s="340"/>
      <c r="F24" s="2647" t="s">
        <v>4213</v>
      </c>
      <c r="G24" s="2648"/>
      <c r="H24" s="2648"/>
      <c r="I24" s="2648"/>
      <c r="J24" s="2648"/>
      <c r="K24" s="2649"/>
      <c r="L24" s="1389" t="s">
        <v>2271</v>
      </c>
      <c r="O24" s="2632" t="s">
        <v>3156</v>
      </c>
      <c r="P24" s="2634"/>
    </row>
    <row r="25" spans="1:18" s="329" customFormat="1" ht="13.15" customHeight="1">
      <c r="A25" s="341"/>
      <c r="B25" s="329" t="s">
        <v>2802</v>
      </c>
      <c r="D25" s="342"/>
      <c r="F25" s="2650" t="s">
        <v>4270</v>
      </c>
      <c r="G25" s="2651"/>
      <c r="H25" s="2651"/>
      <c r="I25" s="2651"/>
      <c r="J25" s="2651"/>
      <c r="K25" s="2652"/>
      <c r="L25" s="329" t="s">
        <v>4128</v>
      </c>
      <c r="O25" s="2650" t="s">
        <v>1006</v>
      </c>
      <c r="P25" s="2652"/>
    </row>
    <row r="26" spans="1:18" s="329" customFormat="1" ht="13.15" customHeight="1">
      <c r="A26" s="341"/>
      <c r="B26" s="329" t="s">
        <v>2848</v>
      </c>
      <c r="D26" s="342"/>
      <c r="F26" s="2650"/>
      <c r="G26" s="2651"/>
      <c r="H26" s="2651"/>
      <c r="I26" s="2651"/>
      <c r="J26" s="2651"/>
      <c r="K26" s="2652"/>
      <c r="L26" s="1389" t="s">
        <v>2128</v>
      </c>
      <c r="N26" s="2653" t="s">
        <v>3156</v>
      </c>
      <c r="O26" s="1403" t="s">
        <v>4127</v>
      </c>
      <c r="P26" s="2653">
        <v>1</v>
      </c>
    </row>
    <row r="27" spans="1:18" s="329" customFormat="1" ht="13.15" customHeight="1">
      <c r="A27" s="341"/>
      <c r="B27" s="329" t="s">
        <v>2898</v>
      </c>
      <c r="D27" s="342"/>
      <c r="F27" s="329" t="s">
        <v>4307</v>
      </c>
      <c r="G27" s="2654" t="s">
        <v>4310</v>
      </c>
      <c r="H27" s="2655"/>
      <c r="I27" s="329" t="s">
        <v>4308</v>
      </c>
      <c r="J27" s="2654" t="s">
        <v>4309</v>
      </c>
      <c r="K27" s="2655"/>
      <c r="L27" s="1389" t="s">
        <v>2363</v>
      </c>
      <c r="O27" s="2656">
        <v>7.02</v>
      </c>
      <c r="P27" s="2657"/>
      <c r="R27" s="329" t="s">
        <v>4271</v>
      </c>
    </row>
    <row r="28" spans="1:18" s="329" customFormat="1" ht="13.15" customHeight="1">
      <c r="A28" s="543"/>
      <c r="B28" s="329" t="s">
        <v>642</v>
      </c>
      <c r="F28" s="2632" t="s">
        <v>848</v>
      </c>
      <c r="G28" s="2633"/>
      <c r="H28" s="2634"/>
      <c r="I28" s="346" t="s">
        <v>2803</v>
      </c>
      <c r="J28" s="2643">
        <v>315584631</v>
      </c>
      <c r="K28" s="2644"/>
      <c r="L28" s="405" t="str">
        <f>IF(AND(NOT(F24=""),NOT(F28="Select from list"),J28=""),"Enter Zip!","")</f>
        <v/>
      </c>
      <c r="M28" s="344" t="s">
        <v>3061</v>
      </c>
      <c r="O28" s="2658" t="s">
        <v>4272</v>
      </c>
      <c r="P28" s="2659"/>
    </row>
    <row r="29" spans="1:18" s="329" customFormat="1" ht="13.15" customHeight="1">
      <c r="A29" s="543"/>
      <c r="B29" s="1399" t="s">
        <v>3854</v>
      </c>
      <c r="D29" s="1399"/>
      <c r="F29" s="2650" t="s">
        <v>4209</v>
      </c>
      <c r="G29" s="2651"/>
      <c r="H29" s="2652"/>
      <c r="I29" s="343" t="s">
        <v>643</v>
      </c>
      <c r="J29" s="2660" t="str">
        <f>IF($F$28="","",VLOOKUP($F$28,'DCA Underwriting Assumptions'!$R$141:$S$771,2,FALSE))</f>
        <v>Camden</v>
      </c>
      <c r="K29" s="2661"/>
      <c r="M29" s="1389" t="s">
        <v>468</v>
      </c>
      <c r="N29" s="2662" t="s">
        <v>3156</v>
      </c>
      <c r="O29" s="1403" t="s">
        <v>469</v>
      </c>
      <c r="P29" s="2662" t="s">
        <v>3156</v>
      </c>
    </row>
    <row r="30" spans="1:18" s="329" customFormat="1" ht="13.15" customHeight="1">
      <c r="A30" s="543"/>
      <c r="B30" s="331"/>
      <c r="C30" s="329" t="s">
        <v>1615</v>
      </c>
      <c r="F30" s="2663" t="s">
        <v>3153</v>
      </c>
      <c r="G30" s="1463" t="s">
        <v>2899</v>
      </c>
      <c r="H30" s="1464"/>
      <c r="I30" s="588" t="str">
        <f>IF($J$29="","",IF(VLOOKUP($J$29,'DCA Underwriting Assumptions'!G141:M300,7,FALSE)="Rural","Yes",IF(VLOOKUP($J$29,'DCA Underwriting Assumptions'!G141:M300,7,FALSE)="Urban","No","")))</f>
        <v>Yes</v>
      </c>
      <c r="J30" s="1393" t="s">
        <v>2920</v>
      </c>
      <c r="K30" s="1393" t="str">
        <f>IF(OR(F30="Yes",I30="Yes"),"Rural","Urban")</f>
        <v>Rural</v>
      </c>
      <c r="M30" s="1389" t="s">
        <v>2699</v>
      </c>
      <c r="N30" s="472" t="str">
        <f>VLOOKUP($J$29,'DCA Underwriting Assumptions'!$G$141:$J$300,4)</f>
        <v>Non-MSA</v>
      </c>
      <c r="O30" s="2664" t="str">
        <f>IF($F$28="","",VLOOKUP($J$29,'DCA Underwriting Assumptions'!$G$141:$L$300,3,FALSE))</f>
        <v>Camden Co.</v>
      </c>
      <c r="P30" s="2665"/>
    </row>
    <row r="31" spans="1:18" s="329" customFormat="1" ht="3" customHeight="1">
      <c r="A31" s="543"/>
      <c r="B31" s="331"/>
      <c r="C31" s="331"/>
      <c r="I31" s="334"/>
      <c r="J31" s="1399"/>
      <c r="L31" s="1407"/>
      <c r="M31" s="1407"/>
      <c r="N31" s="1407"/>
      <c r="O31" s="1407"/>
      <c r="P31" s="1407"/>
    </row>
    <row r="32" spans="1:18" s="329" customFormat="1" ht="13.15" customHeight="1">
      <c r="A32" s="543"/>
      <c r="C32" s="329" t="s">
        <v>2858</v>
      </c>
      <c r="F32" s="1458" t="s">
        <v>2878</v>
      </c>
      <c r="G32" s="1458"/>
      <c r="H32" s="1457" t="s">
        <v>766</v>
      </c>
      <c r="I32" s="1457"/>
      <c r="J32" s="1457" t="s">
        <v>767</v>
      </c>
      <c r="K32" s="1457"/>
      <c r="L32" s="574" t="s">
        <v>2804</v>
      </c>
    </row>
    <row r="33" spans="1:17" s="329" customFormat="1" ht="13.15" customHeight="1">
      <c r="A33" s="543"/>
      <c r="B33" s="329" t="s">
        <v>2877</v>
      </c>
      <c r="D33" s="331"/>
      <c r="F33" s="2666">
        <v>1</v>
      </c>
      <c r="G33" s="2667"/>
      <c r="H33" s="2666">
        <v>3</v>
      </c>
      <c r="I33" s="2667"/>
      <c r="J33" s="2666">
        <v>180</v>
      </c>
      <c r="K33" s="2667"/>
      <c r="L33" s="570" t="s">
        <v>1330</v>
      </c>
      <c r="N33" s="1470" t="s">
        <v>1331</v>
      </c>
      <c r="O33" s="1470"/>
      <c r="P33" s="1470"/>
    </row>
    <row r="34" spans="1:17" s="329" customFormat="1" ht="12.75" customHeight="1">
      <c r="A34" s="543"/>
      <c r="B34" s="334" t="s">
        <v>768</v>
      </c>
      <c r="F34" s="2666"/>
      <c r="G34" s="2667"/>
      <c r="H34" s="2666"/>
      <c r="I34" s="2667"/>
      <c r="J34" s="2666"/>
      <c r="K34" s="2667"/>
      <c r="L34" s="570" t="s">
        <v>2876</v>
      </c>
      <c r="N34" s="1471" t="s">
        <v>2875</v>
      </c>
      <c r="O34" s="1471"/>
    </row>
    <row r="35" spans="1:17" s="329" customFormat="1" ht="3" customHeight="1">
      <c r="A35" s="543"/>
      <c r="I35" s="1407"/>
      <c r="J35" s="1407"/>
      <c r="K35" s="1407"/>
      <c r="L35" s="1399"/>
      <c r="M35" s="1399"/>
      <c r="N35" s="1399"/>
      <c r="O35" s="1399"/>
      <c r="P35" s="1399"/>
    </row>
    <row r="36" spans="1:17" s="329" customFormat="1" ht="13.15" customHeight="1">
      <c r="A36" s="543"/>
      <c r="B36" s="331" t="s">
        <v>661</v>
      </c>
      <c r="F36" s="2668" t="s">
        <v>4273</v>
      </c>
      <c r="G36" s="2669"/>
      <c r="H36" s="2669"/>
      <c r="I36" s="2669"/>
      <c r="J36" s="2670"/>
      <c r="K36" s="2671"/>
      <c r="L36" s="1172" t="s">
        <v>2808</v>
      </c>
      <c r="M36" s="2650" t="s">
        <v>4276</v>
      </c>
      <c r="N36" s="2651"/>
      <c r="O36" s="2651"/>
      <c r="P36" s="2652"/>
    </row>
    <row r="37" spans="1:17" s="329" customFormat="1" ht="13.15" customHeight="1">
      <c r="A37" s="543"/>
      <c r="B37" s="329" t="s">
        <v>662</v>
      </c>
      <c r="F37" s="2672" t="s">
        <v>4274</v>
      </c>
      <c r="G37" s="2673"/>
      <c r="H37" s="2674"/>
      <c r="I37" s="1394" t="s">
        <v>2055</v>
      </c>
      <c r="J37" s="2650" t="s">
        <v>4210</v>
      </c>
      <c r="K37" s="2652"/>
      <c r="L37" s="1172"/>
    </row>
    <row r="38" spans="1:17" s="329" customFormat="1" ht="13.15" customHeight="1">
      <c r="A38" s="543"/>
      <c r="B38" s="329" t="s">
        <v>2056</v>
      </c>
      <c r="F38" s="2672" t="s">
        <v>4275</v>
      </c>
      <c r="G38" s="2673"/>
      <c r="H38" s="2673"/>
      <c r="I38" s="2673"/>
      <c r="J38" s="2675"/>
      <c r="K38" s="2676"/>
      <c r="L38" s="365" t="s">
        <v>642</v>
      </c>
      <c r="M38" s="2672" t="s">
        <v>848</v>
      </c>
      <c r="N38" s="2673"/>
      <c r="O38" s="2673"/>
      <c r="P38" s="2674"/>
    </row>
    <row r="39" spans="1:17" s="329" customFormat="1" ht="13.15" customHeight="1">
      <c r="A39" s="543"/>
      <c r="B39" s="1389" t="s">
        <v>2308</v>
      </c>
      <c r="F39" s="2677">
        <v>315588402</v>
      </c>
      <c r="G39" s="2678"/>
      <c r="H39" s="1393" t="s">
        <v>2057</v>
      </c>
      <c r="I39" s="2679">
        <v>9125104041</v>
      </c>
      <c r="J39" s="2680"/>
      <c r="K39" s="2681"/>
      <c r="L39" s="334" t="s">
        <v>1866</v>
      </c>
      <c r="M39" s="2672" t="s">
        <v>4277</v>
      </c>
      <c r="N39" s="2673"/>
      <c r="O39" s="2673"/>
      <c r="P39" s="2674"/>
    </row>
    <row r="40" spans="1:17" s="329" customFormat="1" ht="4.5" customHeight="1">
      <c r="A40" s="543"/>
      <c r="B40" s="543"/>
      <c r="C40" s="345"/>
      <c r="D40" s="346"/>
      <c r="E40" s="346"/>
      <c r="F40" s="1403"/>
      <c r="G40" s="1403"/>
      <c r="H40" s="1403"/>
      <c r="I40" s="1403"/>
      <c r="J40" s="346"/>
      <c r="K40" s="1403"/>
      <c r="L40" s="1403"/>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403"/>
    </row>
    <row r="44" spans="1:17" ht="13.15" customHeight="1">
      <c r="B44" s="543"/>
      <c r="C44" s="329" t="s">
        <v>2375</v>
      </c>
      <c r="D44" s="329"/>
      <c r="E44" s="329"/>
      <c r="H44" s="349">
        <f>'Part VI-Revenues &amp; Expenses'!$O$74</f>
        <v>0</v>
      </c>
      <c r="K44" s="334" t="s">
        <v>4110</v>
      </c>
      <c r="L44" s="329"/>
      <c r="M44" s="1326" t="s">
        <v>4109</v>
      </c>
      <c r="N44" s="349">
        <f>'Part VI-Revenues &amp; Expenses'!$O$81</f>
        <v>0</v>
      </c>
      <c r="O44" s="1327" t="s">
        <v>3544</v>
      </c>
      <c r="P44" s="349">
        <f>'Part VI-Revenues &amp; Expenses'!$O$82</f>
        <v>0</v>
      </c>
      <c r="Q44" s="1403"/>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70</v>
      </c>
      <c r="I46" s="545" t="s">
        <v>3067</v>
      </c>
      <c r="K46" s="329" t="s">
        <v>361</v>
      </c>
      <c r="P46" s="2682" t="s">
        <v>4278</v>
      </c>
      <c r="Q46" s="1403"/>
    </row>
    <row r="47" spans="1:17" s="329" customFormat="1" ht="3.6" customHeight="1">
      <c r="A47" s="543"/>
      <c r="P47" s="1399"/>
    </row>
    <row r="48" spans="1:17" s="329" customFormat="1" ht="12.75">
      <c r="A48" s="543"/>
      <c r="B48" s="543" t="s">
        <v>2061</v>
      </c>
      <c r="C48" s="331" t="s">
        <v>2376</v>
      </c>
      <c r="H48" s="2646" t="s">
        <v>3156</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396" t="s">
        <v>3849</v>
      </c>
      <c r="J50" s="341" t="s">
        <v>2193</v>
      </c>
      <c r="K50" s="351" t="s">
        <v>2382</v>
      </c>
      <c r="M50" s="1399"/>
      <c r="N50" s="1399"/>
      <c r="O50" s="1399"/>
      <c r="P50" s="1403"/>
      <c r="Q50" s="1403"/>
      <c r="R50" s="1403"/>
      <c r="S50" s="1399"/>
    </row>
    <row r="51" spans="1:19" s="329" customFormat="1" ht="13.15" customHeight="1">
      <c r="A51" s="543"/>
      <c r="B51" s="1395"/>
      <c r="C51" s="338" t="s">
        <v>2357</v>
      </c>
      <c r="D51" s="1399"/>
      <c r="E51" s="1399"/>
      <c r="H51" s="873">
        <f>SUM(H52:H53)</f>
        <v>70</v>
      </c>
      <c r="I51" s="873">
        <f>SUM(I52:I53)</f>
        <v>70</v>
      </c>
      <c r="J51" s="543"/>
      <c r="K51" s="338" t="s">
        <v>2890</v>
      </c>
      <c r="M51" s="1399"/>
      <c r="N51" s="1399"/>
      <c r="O51" s="1399"/>
      <c r="P51" s="1132">
        <f>'Part VI-Revenues &amp; Expenses'!$O$115</f>
        <v>53960</v>
      </c>
    </row>
    <row r="52" spans="1:19" s="329" customFormat="1" ht="13.15" customHeight="1">
      <c r="A52" s="543"/>
      <c r="B52" s="348"/>
      <c r="D52" s="353" t="s">
        <v>399</v>
      </c>
      <c r="E52" s="1399"/>
      <c r="H52" s="1132">
        <f>'Part VI-Revenues &amp; Expenses'!$O$57</f>
        <v>15</v>
      </c>
      <c r="I52" s="1132">
        <f>'Part VI-Revenues &amp; Expenses'!$O$65</f>
        <v>15</v>
      </c>
      <c r="K52" s="338" t="s">
        <v>2891</v>
      </c>
      <c r="M52" s="1399"/>
      <c r="N52" s="1399"/>
      <c r="O52" s="1399"/>
      <c r="P52" s="1132">
        <f>'Part VI-Revenues &amp; Expenses'!$O$116</f>
        <v>0</v>
      </c>
    </row>
    <row r="53" spans="1:19" s="329" customFormat="1" ht="13.15" customHeight="1">
      <c r="A53" s="543"/>
      <c r="D53" s="353" t="s">
        <v>1890</v>
      </c>
      <c r="E53" s="353"/>
      <c r="H53" s="1133">
        <f>'Part VI-Revenues &amp; Expenses'!$O$56</f>
        <v>55</v>
      </c>
      <c r="I53" s="1133">
        <f>'Part VI-Revenues &amp; Expenses'!$O$64</f>
        <v>55</v>
      </c>
      <c r="K53" s="338" t="s">
        <v>2892</v>
      </c>
      <c r="M53" s="1399"/>
      <c r="N53" s="1399"/>
      <c r="O53" s="1399"/>
      <c r="P53" s="352">
        <f>P51+P52</f>
        <v>53960</v>
      </c>
    </row>
    <row r="54" spans="1:19" s="329" customFormat="1" ht="13.15" customHeight="1">
      <c r="A54" s="543"/>
      <c r="C54" s="338" t="s">
        <v>264</v>
      </c>
      <c r="D54" s="1399"/>
      <c r="E54" s="1399"/>
      <c r="H54" s="352">
        <f>'Part VI-Revenues &amp; Expenses'!$O$59</f>
        <v>0</v>
      </c>
      <c r="J54" s="543"/>
      <c r="K54" s="338" t="s">
        <v>2893</v>
      </c>
      <c r="M54" s="1399"/>
      <c r="N54" s="1399"/>
      <c r="O54" s="1399"/>
      <c r="P54" s="352">
        <f>'Part VI-Revenues &amp; Expenses'!$O$118</f>
        <v>0</v>
      </c>
    </row>
    <row r="55" spans="1:19" s="329" customFormat="1" ht="13.15" customHeight="1">
      <c r="A55" s="543"/>
      <c r="C55" s="338" t="s">
        <v>2492</v>
      </c>
      <c r="D55" s="1399"/>
      <c r="E55" s="1399"/>
      <c r="H55" s="352">
        <f>H51+H54</f>
        <v>70</v>
      </c>
      <c r="J55" s="543"/>
      <c r="K55" s="338" t="s">
        <v>1474</v>
      </c>
      <c r="M55" s="1399"/>
      <c r="N55" s="1399"/>
      <c r="O55" s="1399"/>
      <c r="P55" s="352">
        <f>+P53+P54</f>
        <v>53960</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1859</v>
      </c>
      <c r="D57" s="1399"/>
      <c r="E57" s="1399"/>
      <c r="H57" s="352">
        <f>+H55+H56</f>
        <v>70</v>
      </c>
      <c r="J57" s="1399"/>
    </row>
    <row r="58" spans="1:19" s="329" customFormat="1" ht="3" customHeight="1">
      <c r="A58" s="543"/>
      <c r="I58" s="1403"/>
      <c r="L58" s="1403"/>
      <c r="M58" s="1403"/>
      <c r="N58" s="1399"/>
      <c r="P58" s="339"/>
    </row>
    <row r="59" spans="1:19" s="329" customFormat="1" ht="13.15" customHeight="1">
      <c r="A59" s="543"/>
      <c r="B59" s="543" t="s">
        <v>1801</v>
      </c>
      <c r="C59" s="340" t="s">
        <v>2377</v>
      </c>
      <c r="D59" s="353" t="s">
        <v>2072</v>
      </c>
      <c r="G59" s="1399"/>
      <c r="H59" s="2683">
        <v>5</v>
      </c>
      <c r="K59" s="338" t="s">
        <v>1165</v>
      </c>
      <c r="O59" s="1399"/>
      <c r="P59" s="2683">
        <v>2800</v>
      </c>
    </row>
    <row r="60" spans="1:19" s="329" customFormat="1" ht="13.15" customHeight="1">
      <c r="A60" s="543"/>
      <c r="B60" s="543"/>
      <c r="D60" s="1395" t="s">
        <v>2073</v>
      </c>
      <c r="H60" s="2683">
        <v>1</v>
      </c>
      <c r="I60" s="1399"/>
      <c r="K60" s="338" t="s">
        <v>263</v>
      </c>
      <c r="O60" s="1399"/>
      <c r="P60" s="352">
        <f>+P55+P59</f>
        <v>56760</v>
      </c>
    </row>
    <row r="61" spans="1:19" s="329" customFormat="1" ht="13.15" customHeight="1">
      <c r="A61" s="543"/>
      <c r="B61" s="543"/>
      <c r="D61" s="1395" t="s">
        <v>2074</v>
      </c>
      <c r="H61" s="352">
        <f>+H59+H60</f>
        <v>6</v>
      </c>
      <c r="I61" s="1399"/>
    </row>
    <row r="62" spans="1:19" s="329" customFormat="1" ht="3" customHeight="1">
      <c r="A62" s="543"/>
      <c r="B62" s="543"/>
      <c r="C62" s="1399"/>
      <c r="D62" s="1399"/>
      <c r="E62" s="1399"/>
      <c r="F62" s="1399"/>
      <c r="G62" s="1403"/>
      <c r="I62" s="338"/>
      <c r="J62" s="1399"/>
      <c r="P62" s="339"/>
    </row>
    <row r="63" spans="1:19" s="329" customFormat="1" ht="13.15" customHeight="1">
      <c r="A63" s="543"/>
      <c r="B63" s="543" t="s">
        <v>1802</v>
      </c>
      <c r="C63" s="340" t="s">
        <v>2980</v>
      </c>
      <c r="D63" s="1399"/>
      <c r="E63" s="1399"/>
      <c r="F63" s="1399"/>
      <c r="G63" s="1399"/>
      <c r="H63" s="2683">
        <v>114</v>
      </c>
      <c r="K63" s="329" t="s">
        <v>2983</v>
      </c>
    </row>
    <row r="64" spans="1:19" s="329" customFormat="1" ht="6.75" customHeight="1">
      <c r="A64" s="543"/>
      <c r="B64" s="543"/>
      <c r="C64" s="338"/>
      <c r="D64" s="1399"/>
      <c r="E64" s="1399"/>
      <c r="F64" s="1399"/>
      <c r="G64" s="1403"/>
      <c r="H64" s="1399"/>
      <c r="I64" s="338"/>
      <c r="J64" s="338"/>
      <c r="K64" s="1399"/>
      <c r="P64" s="339"/>
    </row>
    <row r="65" spans="1:16" s="329" customFormat="1" ht="13.15" customHeight="1">
      <c r="A65" s="543" t="s">
        <v>549</v>
      </c>
      <c r="B65" s="354" t="s">
        <v>1234</v>
      </c>
      <c r="D65" s="354"/>
      <c r="E65" s="354"/>
      <c r="F65" s="1399"/>
      <c r="G65" s="1403"/>
      <c r="H65" s="586"/>
      <c r="K65" s="1399"/>
    </row>
    <row r="66" spans="1:16" s="329" customFormat="1" ht="3" customHeight="1">
      <c r="A66" s="543"/>
      <c r="C66" s="1390"/>
      <c r="D66" s="1390"/>
      <c r="E66" s="1390"/>
      <c r="F66" s="1399"/>
      <c r="G66" s="1403"/>
      <c r="K66" s="1399"/>
      <c r="P66" s="339"/>
    </row>
    <row r="67" spans="1:16" s="329" customFormat="1" ht="13.15" customHeight="1">
      <c r="A67" s="543"/>
      <c r="B67" s="543" t="s">
        <v>2058</v>
      </c>
      <c r="C67" s="296" t="s">
        <v>2795</v>
      </c>
      <c r="D67" s="1390"/>
      <c r="E67" s="1390"/>
      <c r="F67" s="1399"/>
      <c r="G67" s="1403"/>
      <c r="H67" s="2684" t="s">
        <v>3068</v>
      </c>
      <c r="I67" s="2685"/>
      <c r="K67" s="1447" t="s">
        <v>1838</v>
      </c>
      <c r="L67" s="1447"/>
      <c r="N67" s="2632"/>
      <c r="O67" s="2633"/>
      <c r="P67" s="2634"/>
    </row>
    <row r="68" spans="1:16" s="329" customFormat="1" ht="3" customHeight="1">
      <c r="A68" s="543"/>
      <c r="B68" s="543"/>
      <c r="D68" s="1395"/>
      <c r="E68" s="1395"/>
      <c r="F68" s="1395"/>
      <c r="G68" s="1395"/>
      <c r="I68" s="1403"/>
      <c r="K68" s="1389"/>
      <c r="L68" s="1389"/>
      <c r="M68" s="1403"/>
      <c r="N68" s="1399"/>
      <c r="P68" s="339"/>
    </row>
    <row r="69" spans="1:16" s="329" customFormat="1" ht="13.15" customHeight="1">
      <c r="A69" s="543"/>
      <c r="B69" s="543"/>
      <c r="E69" s="1390"/>
      <c r="K69" s="1472" t="s">
        <v>3503</v>
      </c>
      <c r="L69" s="1472"/>
      <c r="M69" s="355" t="s">
        <v>3068</v>
      </c>
      <c r="N69" s="2683"/>
      <c r="O69" s="355" t="s">
        <v>3069</v>
      </c>
      <c r="P69" s="2683"/>
    </row>
    <row r="70" spans="1:16" s="329" customFormat="1" ht="3" customHeight="1">
      <c r="A70" s="543"/>
      <c r="B70" s="543"/>
      <c r="D70" s="1395"/>
      <c r="E70" s="1395"/>
      <c r="F70" s="1395"/>
      <c r="G70" s="1395"/>
      <c r="K70" s="1472"/>
      <c r="L70" s="1472"/>
      <c r="M70" s="1403"/>
      <c r="N70" s="1399"/>
      <c r="P70" s="339"/>
    </row>
    <row r="71" spans="1:16" s="329" customFormat="1" ht="13.15" customHeight="1">
      <c r="A71" s="543"/>
      <c r="B71" s="543"/>
      <c r="D71" s="1389"/>
      <c r="E71" s="1390"/>
      <c r="K71" s="1472"/>
      <c r="L71" s="1472"/>
      <c r="M71" s="342" t="s">
        <v>3070</v>
      </c>
      <c r="N71" s="2683"/>
      <c r="O71" s="342" t="s">
        <v>1659</v>
      </c>
      <c r="P71" s="2683"/>
    </row>
    <row r="72" spans="1:16" s="329" customFormat="1" ht="3" customHeight="1">
      <c r="A72" s="543"/>
      <c r="B72" s="543"/>
      <c r="D72" s="1395"/>
      <c r="E72" s="1395"/>
      <c r="F72" s="1395"/>
      <c r="G72" s="1395"/>
      <c r="I72" s="1403"/>
      <c r="K72" s="1389"/>
      <c r="L72" s="1389"/>
      <c r="M72" s="1403"/>
      <c r="N72" s="1399"/>
      <c r="P72" s="339"/>
    </row>
    <row r="73" spans="1:16" s="329" customFormat="1" ht="13.15" customHeight="1">
      <c r="A73" s="543"/>
      <c r="B73" s="543" t="s">
        <v>2061</v>
      </c>
      <c r="C73" s="340" t="s">
        <v>1465</v>
      </c>
      <c r="D73" s="1399"/>
      <c r="E73" s="353"/>
      <c r="F73" s="1395" t="s">
        <v>828</v>
      </c>
      <c r="H73" s="2683">
        <v>4</v>
      </c>
      <c r="K73" s="1447" t="s">
        <v>539</v>
      </c>
      <c r="L73" s="1447"/>
      <c r="N73" s="356">
        <f>IF('Part VI-Revenues &amp; Expenses'!$O$62=0,0,H73/'Part VI-Revenues &amp; Expenses'!$O$62)</f>
        <v>5.7142857142857141E-2</v>
      </c>
      <c r="O73" s="342" t="s">
        <v>4146</v>
      </c>
      <c r="P73" s="1348">
        <f>'DCA Underwriting Assumptions'!$Q$124</f>
        <v>0.05</v>
      </c>
    </row>
    <row r="74" spans="1:16" s="329" customFormat="1" ht="12.75" customHeight="1">
      <c r="A74" s="543"/>
      <c r="B74" s="543"/>
      <c r="D74" s="1395" t="s">
        <v>2978</v>
      </c>
      <c r="E74" s="1395"/>
      <c r="F74" s="1395" t="s">
        <v>828</v>
      </c>
      <c r="H74" s="2683">
        <v>2</v>
      </c>
      <c r="K74" s="1399" t="s">
        <v>2979</v>
      </c>
      <c r="L74" s="1399"/>
      <c r="N74" s="356">
        <f>IF(H73=0,0,H74/H73)</f>
        <v>0.5</v>
      </c>
      <c r="O74" s="342" t="s">
        <v>4146</v>
      </c>
      <c r="P74" s="1348">
        <f>'DCA Underwriting Assumptions'!$Q$125</f>
        <v>0.4</v>
      </c>
    </row>
    <row r="75" spans="1:16" s="329" customFormat="1" ht="3" customHeight="1">
      <c r="A75" s="543"/>
      <c r="B75" s="543"/>
      <c r="D75" s="1395"/>
      <c r="E75" s="1395"/>
      <c r="F75" s="1395"/>
      <c r="I75" s="1403"/>
      <c r="K75" s="1389"/>
      <c r="L75" s="1389"/>
      <c r="M75" s="1403"/>
      <c r="N75" s="1403"/>
      <c r="P75" s="1393"/>
    </row>
    <row r="76" spans="1:16" s="329" customFormat="1" ht="13.15" customHeight="1">
      <c r="A76" s="543"/>
      <c r="B76" s="543" t="s">
        <v>779</v>
      </c>
      <c r="C76" s="340" t="s">
        <v>1913</v>
      </c>
      <c r="D76" s="353"/>
      <c r="E76" s="353"/>
      <c r="F76" s="1395" t="s">
        <v>828</v>
      </c>
      <c r="H76" s="2683">
        <v>4</v>
      </c>
      <c r="K76" s="1447" t="s">
        <v>539</v>
      </c>
      <c r="L76" s="1447"/>
      <c r="N76" s="356">
        <f>IF('Part VI-Revenues &amp; Expenses'!$O$62=0,0,H76/'Part VI-Revenues &amp; Expenses'!$O$62)</f>
        <v>5.7142857142857141E-2</v>
      </c>
      <c r="O76" s="342" t="s">
        <v>4146</v>
      </c>
      <c r="P76" s="1348">
        <f>'DCA Underwriting Assumptions'!$Q$126</f>
        <v>0.02</v>
      </c>
    </row>
    <row r="77" spans="1:16" s="329" customFormat="1" ht="6.75" customHeight="1">
      <c r="A77" s="543"/>
      <c r="B77" s="543"/>
      <c r="D77" s="1395"/>
      <c r="E77" s="1395"/>
      <c r="F77" s="1395"/>
      <c r="G77" s="1395"/>
      <c r="I77" s="1403"/>
      <c r="J77" s="1403"/>
      <c r="K77" s="1403"/>
      <c r="L77" s="1403"/>
      <c r="M77" s="1403"/>
      <c r="N77" s="1399"/>
      <c r="P77" s="339"/>
    </row>
    <row r="78" spans="1:16" s="329" customFormat="1" ht="13.15" customHeight="1">
      <c r="A78" s="357" t="s">
        <v>803</v>
      </c>
      <c r="B78" s="1390" t="s">
        <v>2462</v>
      </c>
      <c r="D78" s="1395"/>
      <c r="E78" s="1395"/>
      <c r="F78" s="1395"/>
      <c r="G78" s="1395"/>
      <c r="H78" s="1395"/>
      <c r="I78" s="1403"/>
      <c r="M78" s="1403"/>
      <c r="N78" s="1399"/>
      <c r="P78" s="339"/>
    </row>
    <row r="79" spans="1:16" s="329" customFormat="1" ht="3" customHeight="1">
      <c r="A79" s="543"/>
      <c r="B79" s="543"/>
      <c r="C79" s="1390"/>
      <c r="D79" s="1395"/>
      <c r="E79" s="1395"/>
      <c r="F79" s="1395"/>
      <c r="L79" s="1403"/>
      <c r="M79" s="1403"/>
      <c r="N79" s="1399"/>
      <c r="P79" s="339"/>
    </row>
    <row r="80" spans="1:16" s="329" customFormat="1" ht="13.15" customHeight="1">
      <c r="A80" s="543"/>
      <c r="B80" s="543" t="s">
        <v>2058</v>
      </c>
      <c r="C80" s="296" t="s">
        <v>2461</v>
      </c>
      <c r="D80" s="1395"/>
      <c r="E80" s="1395"/>
      <c r="F80" s="1395"/>
      <c r="H80" s="2686" t="s">
        <v>902</v>
      </c>
      <c r="I80" s="2687"/>
      <c r="J80" s="2688"/>
      <c r="M80" s="1403"/>
      <c r="N80" s="1403"/>
      <c r="P80" s="339"/>
    </row>
    <row r="81" spans="1:16" s="329" customFormat="1" ht="3" customHeight="1">
      <c r="A81" s="543"/>
      <c r="B81" s="543"/>
      <c r="D81" s="1395"/>
      <c r="E81" s="1395"/>
      <c r="F81" s="1395"/>
      <c r="G81" s="1395"/>
      <c r="I81" s="1403"/>
      <c r="J81" s="1403"/>
      <c r="K81" s="1403"/>
      <c r="L81" s="1403"/>
      <c r="M81" s="1403"/>
      <c r="N81" s="1399"/>
      <c r="P81" s="339"/>
    </row>
    <row r="82" spans="1:16" s="329" customFormat="1" ht="13.15" customHeight="1">
      <c r="B82" s="543" t="s">
        <v>2061</v>
      </c>
      <c r="C82" s="331" t="s">
        <v>1591</v>
      </c>
      <c r="K82" s="334" t="s">
        <v>901</v>
      </c>
      <c r="N82" s="358"/>
      <c r="P82" s="2646"/>
    </row>
    <row r="83" spans="1:16" s="329" customFormat="1" ht="6.75" customHeight="1">
      <c r="A83" s="543"/>
      <c r="B83" s="543"/>
      <c r="C83" s="331"/>
      <c r="D83" s="1395"/>
      <c r="E83" s="1395"/>
      <c r="F83" s="1395"/>
      <c r="G83" s="1395"/>
      <c r="I83" s="1403"/>
      <c r="J83" s="1403"/>
      <c r="K83" s="1403"/>
      <c r="L83" s="1403"/>
      <c r="M83" s="1403"/>
      <c r="N83" s="1399"/>
      <c r="P83" s="339"/>
    </row>
    <row r="84" spans="1:16" s="329" customFormat="1" ht="13.15" customHeight="1">
      <c r="A84" s="357" t="s">
        <v>305</v>
      </c>
      <c r="B84" s="1390" t="s">
        <v>2119</v>
      </c>
      <c r="D84" s="1395"/>
    </row>
    <row r="85" spans="1:16" s="329" customFormat="1" ht="3" customHeight="1">
      <c r="A85" s="543"/>
      <c r="B85" s="543"/>
      <c r="D85" s="1395"/>
      <c r="N85" s="1399"/>
      <c r="P85" s="339"/>
    </row>
    <row r="86" spans="1:16" s="329" customFormat="1" ht="13.15" customHeight="1">
      <c r="A86" s="357"/>
      <c r="B86" s="543" t="s">
        <v>2058</v>
      </c>
      <c r="C86" s="331" t="s">
        <v>2813</v>
      </c>
      <c r="F86" s="353" t="s">
        <v>2688</v>
      </c>
      <c r="H86" s="2646" t="s">
        <v>3156</v>
      </c>
      <c r="K86" s="353" t="s">
        <v>3654</v>
      </c>
      <c r="M86" s="2646" t="s">
        <v>3153</v>
      </c>
    </row>
    <row r="87" spans="1:16" s="329" customFormat="1" ht="3" customHeight="1">
      <c r="A87" s="543"/>
      <c r="B87" s="543"/>
      <c r="C87" s="1390"/>
      <c r="F87" s="1395"/>
      <c r="H87" s="1395"/>
      <c r="J87" s="1403"/>
      <c r="K87" s="1403"/>
      <c r="L87" s="1403"/>
      <c r="M87" s="1403"/>
      <c r="N87" s="1403"/>
      <c r="P87" s="339"/>
    </row>
    <row r="88" spans="1:16" s="329" customFormat="1" ht="13.15" customHeight="1">
      <c r="A88" s="357"/>
      <c r="B88" s="543" t="s">
        <v>2061</v>
      </c>
      <c r="C88" s="331" t="s">
        <v>2814</v>
      </c>
      <c r="F88" s="1389" t="s">
        <v>2773</v>
      </c>
      <c r="H88" s="2646" t="s">
        <v>3156</v>
      </c>
      <c r="J88" s="1403"/>
      <c r="K88" s="538" t="s">
        <v>2815</v>
      </c>
      <c r="L88" s="1403"/>
      <c r="M88" s="1403"/>
      <c r="N88" s="1403"/>
      <c r="O88" s="1403"/>
    </row>
    <row r="89" spans="1:16" s="329" customFormat="1" ht="6.75" customHeight="1">
      <c r="A89" s="543"/>
      <c r="B89" s="543"/>
      <c r="C89" s="331"/>
      <c r="D89" s="1395"/>
      <c r="E89" s="1395"/>
      <c r="F89" s="1395"/>
      <c r="G89" s="1395"/>
      <c r="I89" s="1403"/>
      <c r="J89" s="1403"/>
      <c r="K89" s="1403"/>
      <c r="L89" s="1403"/>
      <c r="M89" s="1403"/>
      <c r="N89" s="1399"/>
      <c r="P89" s="339"/>
    </row>
    <row r="90" spans="1:16" s="329" customFormat="1" ht="13.15" customHeight="1">
      <c r="A90" s="357" t="s">
        <v>440</v>
      </c>
      <c r="B90" s="1390" t="s">
        <v>2901</v>
      </c>
      <c r="D90" s="1395"/>
      <c r="H90" s="2650" t="s">
        <v>2687</v>
      </c>
      <c r="I90" s="2652"/>
      <c r="J90" s="1403"/>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32"/>
      <c r="F94" s="2633"/>
      <c r="G94" s="2633"/>
      <c r="H94" s="2633"/>
      <c r="I94" s="2633"/>
      <c r="J94" s="2633"/>
      <c r="K94" s="2633"/>
      <c r="L94" s="2634"/>
      <c r="M94" s="1446" t="s">
        <v>572</v>
      </c>
      <c r="N94" s="1446"/>
      <c r="O94" s="2689"/>
      <c r="P94" s="2690"/>
    </row>
    <row r="95" spans="1:16" s="329" customFormat="1" ht="13.15" customHeight="1">
      <c r="C95" s="334" t="s">
        <v>1058</v>
      </c>
      <c r="D95" s="342"/>
      <c r="E95" s="2632"/>
      <c r="F95" s="2633"/>
      <c r="G95" s="2633"/>
      <c r="H95" s="2633"/>
      <c r="I95" s="2633"/>
      <c r="J95" s="2633"/>
      <c r="K95" s="2633"/>
      <c r="L95" s="2634"/>
      <c r="M95" s="1446" t="s">
        <v>840</v>
      </c>
      <c r="N95" s="1446"/>
      <c r="O95" s="2691"/>
      <c r="P95" s="2692"/>
    </row>
    <row r="96" spans="1:16" s="329" customFormat="1" ht="13.15" customHeight="1">
      <c r="C96" s="334" t="s">
        <v>642</v>
      </c>
      <c r="E96" s="2632"/>
      <c r="F96" s="2693"/>
      <c r="G96" s="2694"/>
      <c r="H96" s="1393" t="s">
        <v>1865</v>
      </c>
      <c r="I96" s="2646"/>
      <c r="J96" s="359" t="s">
        <v>2308</v>
      </c>
      <c r="K96" s="2643"/>
      <c r="L96" s="2694"/>
      <c r="M96" s="299" t="s">
        <v>4097</v>
      </c>
      <c r="N96" s="299"/>
      <c r="O96" s="2695"/>
      <c r="P96" s="2696"/>
    </row>
    <row r="97" spans="1:16" s="329" customFormat="1" ht="13.15" customHeight="1">
      <c r="C97" s="329" t="s">
        <v>2273</v>
      </c>
      <c r="E97" s="2632"/>
      <c r="F97" s="2693"/>
      <c r="G97" s="2694"/>
      <c r="H97" s="1403" t="s">
        <v>2055</v>
      </c>
      <c r="I97" s="2632"/>
      <c r="J97" s="2693"/>
      <c r="K97" s="2694"/>
      <c r="L97" s="1410" t="s">
        <v>2059</v>
      </c>
      <c r="M97" s="2632"/>
      <c r="N97" s="2693"/>
      <c r="O97" s="2693"/>
      <c r="P97" s="2694"/>
    </row>
    <row r="98" spans="1:16" s="329" customFormat="1" ht="13.15" customHeight="1">
      <c r="C98" s="334" t="s">
        <v>2272</v>
      </c>
      <c r="E98" s="2640"/>
      <c r="F98" s="2645"/>
      <c r="G98" s="2641"/>
      <c r="H98" s="1403" t="s">
        <v>1868</v>
      </c>
      <c r="I98" s="2679"/>
      <c r="J98" s="2694"/>
      <c r="K98" s="359" t="s">
        <v>1869</v>
      </c>
      <c r="L98" s="2679"/>
      <c r="M98" s="2694"/>
      <c r="N98" s="359" t="s">
        <v>2054</v>
      </c>
      <c r="O98" s="2679"/>
      <c r="P98" s="2694"/>
    </row>
    <row r="99" spans="1:16" s="329" customFormat="1" ht="3" customHeight="1">
      <c r="A99" s="543"/>
      <c r="B99" s="543"/>
      <c r="G99" s="346"/>
      <c r="H99" s="1403"/>
      <c r="I99" s="1403"/>
      <c r="M99" s="339"/>
    </row>
    <row r="100" spans="1:16" s="329" customFormat="1" ht="13.15" customHeight="1">
      <c r="A100" s="357" t="s">
        <v>377</v>
      </c>
      <c r="B100" s="1390" t="s">
        <v>1728</v>
      </c>
      <c r="D100" s="346"/>
      <c r="E100" s="346"/>
      <c r="F100" s="1403"/>
      <c r="G100" s="1403"/>
      <c r="H100" s="1403"/>
      <c r="I100" s="1403"/>
      <c r="J100" s="346"/>
      <c r="K100" s="1403"/>
      <c r="L100" s="1403"/>
      <c r="N100" s="1399"/>
      <c r="O100" s="1399"/>
      <c r="P100" s="339"/>
    </row>
    <row r="101" spans="1:16" s="329" customFormat="1" ht="3.6" customHeight="1">
      <c r="A101" s="357"/>
      <c r="B101" s="1390"/>
      <c r="D101" s="346"/>
      <c r="E101" s="346"/>
      <c r="F101" s="1403"/>
      <c r="G101" s="1403"/>
      <c r="H101" s="1403"/>
      <c r="I101" s="1403"/>
      <c r="J101" s="346"/>
      <c r="K101" s="1403"/>
      <c r="L101" s="1403"/>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0" t="s">
        <v>1466</v>
      </c>
      <c r="D104" s="1395"/>
      <c r="E104" s="1395"/>
      <c r="F104" s="1403"/>
      <c r="G104" s="1403"/>
      <c r="H104" s="2697">
        <v>2</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0" t="s">
        <v>430</v>
      </c>
      <c r="D106" s="1395"/>
      <c r="E106" s="1395"/>
      <c r="F106" s="1403"/>
      <c r="G106" s="1403"/>
      <c r="H106" s="2698">
        <f>359019+J7</f>
        <v>911773</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0" t="s">
        <v>315</v>
      </c>
      <c r="D108" s="1395"/>
      <c r="E108" s="1395"/>
      <c r="F108" s="1403"/>
      <c r="G108" s="1403"/>
      <c r="H108" s="1403"/>
      <c r="I108" s="1403"/>
      <c r="J108" s="346"/>
      <c r="K108" s="1403"/>
      <c r="L108" s="1403"/>
      <c r="N108" s="1399"/>
      <c r="O108" s="1399"/>
    </row>
    <row r="109" spans="1:16" s="329" customFormat="1" ht="13.15" customHeight="1">
      <c r="B109" s="543"/>
      <c r="C109" s="1395" t="s">
        <v>2213</v>
      </c>
      <c r="D109" s="1395"/>
      <c r="F109" s="1395" t="s">
        <v>1175</v>
      </c>
      <c r="G109" s="1403"/>
      <c r="H109" s="1403"/>
      <c r="I109" s="1403" t="s">
        <v>1343</v>
      </c>
      <c r="J109" s="1395" t="s">
        <v>2213</v>
      </c>
      <c r="K109" s="1395"/>
      <c r="M109" s="1395" t="s">
        <v>1175</v>
      </c>
      <c r="N109" s="1403"/>
      <c r="O109" s="1403"/>
      <c r="P109" s="1403" t="s">
        <v>1343</v>
      </c>
    </row>
    <row r="110" spans="1:16" s="329" customFormat="1" ht="13.15" customHeight="1">
      <c r="A110" s="543"/>
      <c r="B110" s="543"/>
      <c r="C110" s="2699" t="s">
        <v>4211</v>
      </c>
      <c r="D110" s="2700"/>
      <c r="E110" s="2700"/>
      <c r="F110" s="2701" t="s">
        <v>4208</v>
      </c>
      <c r="G110" s="2702"/>
      <c r="H110" s="2703"/>
      <c r="I110" s="2704" t="s">
        <v>4214</v>
      </c>
      <c r="J110" s="2699">
        <v>7</v>
      </c>
      <c r="K110" s="2700"/>
      <c r="L110" s="2700"/>
      <c r="M110" s="2701"/>
      <c r="N110" s="2702"/>
      <c r="O110" s="2703"/>
      <c r="P110" s="2704"/>
    </row>
    <row r="111" spans="1:16" s="329" customFormat="1" ht="13.15" customHeight="1">
      <c r="A111" s="543"/>
      <c r="B111" s="543"/>
      <c r="C111" s="2705" t="s">
        <v>4212</v>
      </c>
      <c r="D111" s="2706"/>
      <c r="E111" s="2706"/>
      <c r="F111" s="2707" t="s">
        <v>4208</v>
      </c>
      <c r="G111" s="2708"/>
      <c r="H111" s="2709"/>
      <c r="I111" s="2710" t="s">
        <v>4214</v>
      </c>
      <c r="J111" s="2705">
        <v>8</v>
      </c>
      <c r="K111" s="2706"/>
      <c r="L111" s="2706"/>
      <c r="M111" s="2707"/>
      <c r="N111" s="2708"/>
      <c r="O111" s="2709"/>
      <c r="P111" s="2710"/>
    </row>
    <row r="112" spans="1:16" s="329" customFormat="1" ht="13.15" customHeight="1">
      <c r="A112" s="543"/>
      <c r="B112" s="543"/>
      <c r="C112" s="2705">
        <v>3</v>
      </c>
      <c r="D112" s="2706"/>
      <c r="E112" s="2706"/>
      <c r="F112" s="2707"/>
      <c r="G112" s="2708"/>
      <c r="H112" s="2709"/>
      <c r="I112" s="2710"/>
      <c r="J112" s="2705">
        <v>9</v>
      </c>
      <c r="K112" s="2706"/>
      <c r="L112" s="2706"/>
      <c r="M112" s="2707"/>
      <c r="N112" s="2708"/>
      <c r="O112" s="2709"/>
      <c r="P112" s="2710"/>
    </row>
    <row r="113" spans="1:16" s="329" customFormat="1" ht="13.15" customHeight="1">
      <c r="A113" s="543"/>
      <c r="B113" s="543"/>
      <c r="C113" s="2705">
        <v>4</v>
      </c>
      <c r="D113" s="2706"/>
      <c r="E113" s="2706"/>
      <c r="F113" s="2707"/>
      <c r="G113" s="2708"/>
      <c r="H113" s="2709"/>
      <c r="I113" s="2710"/>
      <c r="J113" s="2705">
        <v>10</v>
      </c>
      <c r="K113" s="2706"/>
      <c r="L113" s="2706"/>
      <c r="M113" s="2707"/>
      <c r="N113" s="2708"/>
      <c r="O113" s="2709"/>
      <c r="P113" s="2710"/>
    </row>
    <row r="114" spans="1:16" s="329" customFormat="1" ht="13.15" customHeight="1">
      <c r="A114" s="543"/>
      <c r="B114" s="543"/>
      <c r="C114" s="2705">
        <v>5</v>
      </c>
      <c r="D114" s="2706"/>
      <c r="E114" s="2706"/>
      <c r="F114" s="2707"/>
      <c r="G114" s="2708"/>
      <c r="H114" s="2709"/>
      <c r="I114" s="2710"/>
      <c r="J114" s="2705">
        <v>11</v>
      </c>
      <c r="K114" s="2706"/>
      <c r="L114" s="2706"/>
      <c r="M114" s="2707"/>
      <c r="N114" s="2708"/>
      <c r="O114" s="2709"/>
      <c r="P114" s="2710"/>
    </row>
    <row r="115" spans="1:16" s="329" customFormat="1" ht="13.15" customHeight="1">
      <c r="A115" s="543"/>
      <c r="B115" s="543"/>
      <c r="C115" s="2711">
        <v>6</v>
      </c>
      <c r="D115" s="2712"/>
      <c r="E115" s="2712"/>
      <c r="F115" s="2713"/>
      <c r="G115" s="2714"/>
      <c r="H115" s="2715"/>
      <c r="I115" s="2716"/>
      <c r="J115" s="2711">
        <v>12</v>
      </c>
      <c r="K115" s="2712"/>
      <c r="L115" s="2712"/>
      <c r="M115" s="2713"/>
      <c r="N115" s="2714"/>
      <c r="O115" s="2715"/>
      <c r="P115" s="2716"/>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5" t="s">
        <v>1917</v>
      </c>
      <c r="D117" s="1445"/>
      <c r="E117" s="1445"/>
      <c r="F117" s="1445"/>
      <c r="G117" s="1445"/>
      <c r="H117" s="1445"/>
      <c r="I117" s="1445"/>
      <c r="J117" s="1445"/>
      <c r="K117" s="1445"/>
      <c r="L117" s="1445"/>
      <c r="M117" s="1445"/>
      <c r="N117" s="1445"/>
      <c r="O117" s="1445"/>
      <c r="P117" s="1445"/>
    </row>
    <row r="118" spans="1:16" s="329" customFormat="1" ht="13.15" customHeight="1">
      <c r="A118" s="543"/>
      <c r="B118" s="543"/>
      <c r="C118" s="1445"/>
      <c r="D118" s="1445"/>
      <c r="E118" s="1445"/>
      <c r="F118" s="1445"/>
      <c r="G118" s="1445"/>
      <c r="H118" s="1445"/>
      <c r="I118" s="1445"/>
      <c r="J118" s="1445"/>
      <c r="K118" s="1445"/>
      <c r="L118" s="1445"/>
      <c r="M118" s="1445"/>
      <c r="N118" s="1445"/>
      <c r="O118" s="1445"/>
      <c r="P118" s="1445"/>
    </row>
    <row r="119" spans="1:16" s="329" customFormat="1" ht="13.15" customHeight="1">
      <c r="B119" s="543"/>
      <c r="C119" s="1395" t="s">
        <v>2213</v>
      </c>
      <c r="D119" s="1395"/>
      <c r="F119" s="1395" t="s">
        <v>1175</v>
      </c>
      <c r="G119" s="1403"/>
      <c r="H119" s="1403"/>
      <c r="I119" s="1403"/>
      <c r="J119" s="1395" t="s">
        <v>2213</v>
      </c>
      <c r="K119" s="1395"/>
      <c r="M119" s="1395" t="s">
        <v>1175</v>
      </c>
      <c r="N119" s="1403"/>
      <c r="O119" s="1403"/>
      <c r="P119" s="1403"/>
    </row>
    <row r="120" spans="1:16" s="329" customFormat="1" ht="13.15" customHeight="1">
      <c r="A120" s="543"/>
      <c r="B120" s="543"/>
      <c r="C120" s="2699">
        <v>1</v>
      </c>
      <c r="D120" s="2700"/>
      <c r="E120" s="2700"/>
      <c r="F120" s="2701"/>
      <c r="G120" s="2702"/>
      <c r="H120" s="2702"/>
      <c r="I120" s="2717"/>
      <c r="J120" s="2699">
        <v>7</v>
      </c>
      <c r="K120" s="2700"/>
      <c r="L120" s="2700"/>
      <c r="M120" s="2701"/>
      <c r="N120" s="2702"/>
      <c r="O120" s="2702"/>
      <c r="P120" s="2717"/>
    </row>
    <row r="121" spans="1:16" s="329" customFormat="1" ht="13.15" customHeight="1">
      <c r="A121" s="543"/>
      <c r="B121" s="543"/>
      <c r="C121" s="2705">
        <v>2</v>
      </c>
      <c r="D121" s="2706"/>
      <c r="E121" s="2706"/>
      <c r="F121" s="2707"/>
      <c r="G121" s="2708"/>
      <c r="H121" s="2708"/>
      <c r="I121" s="2718"/>
      <c r="J121" s="2705">
        <v>8</v>
      </c>
      <c r="K121" s="2706"/>
      <c r="L121" s="2706"/>
      <c r="M121" s="2707"/>
      <c r="N121" s="2708"/>
      <c r="O121" s="2708"/>
      <c r="P121" s="2718"/>
    </row>
    <row r="122" spans="1:16" s="329" customFormat="1" ht="13.15" customHeight="1">
      <c r="A122" s="543"/>
      <c r="B122" s="543"/>
      <c r="C122" s="2705">
        <v>3</v>
      </c>
      <c r="D122" s="2706"/>
      <c r="E122" s="2706"/>
      <c r="F122" s="2707"/>
      <c r="G122" s="2708"/>
      <c r="H122" s="2708"/>
      <c r="I122" s="2718"/>
      <c r="J122" s="2705">
        <v>9</v>
      </c>
      <c r="K122" s="2706"/>
      <c r="L122" s="2706"/>
      <c r="M122" s="2707"/>
      <c r="N122" s="2708"/>
      <c r="O122" s="2708"/>
      <c r="P122" s="2718"/>
    </row>
    <row r="123" spans="1:16" s="329" customFormat="1" ht="13.15" customHeight="1">
      <c r="A123" s="543"/>
      <c r="B123" s="543"/>
      <c r="C123" s="2705">
        <v>4</v>
      </c>
      <c r="D123" s="2706"/>
      <c r="E123" s="2706"/>
      <c r="F123" s="2707"/>
      <c r="G123" s="2708"/>
      <c r="H123" s="2708"/>
      <c r="I123" s="2718"/>
      <c r="J123" s="2705">
        <v>10</v>
      </c>
      <c r="K123" s="2706"/>
      <c r="L123" s="2706"/>
      <c r="M123" s="2707"/>
      <c r="N123" s="2708"/>
      <c r="O123" s="2708"/>
      <c r="P123" s="2718"/>
    </row>
    <row r="124" spans="1:16" s="329" customFormat="1" ht="13.15" customHeight="1">
      <c r="A124" s="543"/>
      <c r="B124" s="543"/>
      <c r="C124" s="2705">
        <v>5</v>
      </c>
      <c r="D124" s="2706"/>
      <c r="E124" s="2706"/>
      <c r="F124" s="2707"/>
      <c r="G124" s="2708"/>
      <c r="H124" s="2708"/>
      <c r="I124" s="2718"/>
      <c r="J124" s="2705">
        <v>11</v>
      </c>
      <c r="K124" s="2706"/>
      <c r="L124" s="2706"/>
      <c r="M124" s="2707"/>
      <c r="N124" s="2708"/>
      <c r="O124" s="2708"/>
      <c r="P124" s="2718"/>
    </row>
    <row r="125" spans="1:16" s="329" customFormat="1" ht="13.15" customHeight="1">
      <c r="A125" s="543"/>
      <c r="B125" s="543"/>
      <c r="C125" s="2711">
        <v>6</v>
      </c>
      <c r="D125" s="2712"/>
      <c r="E125" s="2712"/>
      <c r="F125" s="2713"/>
      <c r="G125" s="2714"/>
      <c r="H125" s="2714"/>
      <c r="I125" s="2719"/>
      <c r="J125" s="2711">
        <v>12</v>
      </c>
      <c r="K125" s="2712"/>
      <c r="L125" s="2712"/>
      <c r="M125" s="2713"/>
      <c r="N125" s="2714"/>
      <c r="O125" s="2714"/>
      <c r="P125" s="2719"/>
    </row>
    <row r="126" spans="1:16" s="329" customFormat="1" ht="6.6" customHeight="1">
      <c r="A126" s="543"/>
      <c r="B126" s="543"/>
      <c r="C126" s="1395"/>
      <c r="D126" s="1395"/>
      <c r="E126" s="1395"/>
      <c r="F126" s="1403"/>
      <c r="G126" s="1403"/>
      <c r="H126" s="1403"/>
      <c r="I126" s="1403"/>
      <c r="J126" s="346"/>
      <c r="K126" s="1403"/>
      <c r="L126" s="1403"/>
      <c r="N126" s="1399"/>
      <c r="O126" s="1399"/>
      <c r="P126" s="339"/>
    </row>
    <row r="127" spans="1:16" s="329" customFormat="1" ht="13.15" customHeight="1">
      <c r="A127" s="357" t="s">
        <v>378</v>
      </c>
      <c r="B127" s="354" t="s">
        <v>2503</v>
      </c>
      <c r="D127" s="354"/>
      <c r="E127" s="354"/>
      <c r="F127" s="354"/>
      <c r="H127" s="2646" t="s">
        <v>3153</v>
      </c>
      <c r="M127" s="1403"/>
      <c r="N127" s="1399"/>
      <c r="O127" s="1399"/>
      <c r="P127" s="339"/>
    </row>
    <row r="128" spans="1:16" s="329" customFormat="1" ht="3" customHeight="1">
      <c r="A128" s="357"/>
      <c r="B128" s="543"/>
      <c r="C128" s="1390"/>
      <c r="D128" s="1390"/>
      <c r="E128" s="1390"/>
      <c r="F128" s="1390"/>
      <c r="G128" s="1403"/>
      <c r="M128" s="1403"/>
      <c r="N128" s="1399"/>
      <c r="O128" s="1399"/>
    </row>
    <row r="129" spans="1:16" s="329" customFormat="1" ht="13.15" customHeight="1">
      <c r="A129" s="543"/>
      <c r="B129" s="543" t="s">
        <v>2058</v>
      </c>
      <c r="C129" s="335" t="s">
        <v>1777</v>
      </c>
      <c r="H129" s="2646" t="s">
        <v>3156</v>
      </c>
      <c r="M129" s="1403"/>
      <c r="N129" s="1399"/>
      <c r="O129" s="1399"/>
      <c r="P129" s="339"/>
    </row>
    <row r="130" spans="1:16" s="329" customFormat="1" ht="13.15" customHeight="1">
      <c r="A130" s="543"/>
      <c r="B130" s="543"/>
      <c r="C130" s="1395" t="s">
        <v>2505</v>
      </c>
      <c r="D130" s="1395"/>
      <c r="E130" s="1395"/>
      <c r="F130" s="1403"/>
      <c r="H130" s="2720"/>
      <c r="N130" s="1399"/>
      <c r="O130" s="1399"/>
      <c r="P130" s="339"/>
    </row>
    <row r="131" spans="1:16" s="329" customFormat="1" ht="13.15" customHeight="1">
      <c r="A131" s="543"/>
      <c r="B131" s="543"/>
      <c r="C131" s="362" t="s">
        <v>1776</v>
      </c>
      <c r="D131" s="334"/>
      <c r="H131" s="2632"/>
      <c r="I131" s="2634"/>
      <c r="P131" s="339"/>
    </row>
    <row r="132" spans="1:16" s="329" customFormat="1" ht="13.15" customHeight="1">
      <c r="A132" s="543"/>
      <c r="B132" s="543"/>
      <c r="C132" s="1395" t="s">
        <v>2506</v>
      </c>
      <c r="D132" s="1395"/>
      <c r="E132" s="1395"/>
      <c r="F132" s="1403"/>
      <c r="H132" s="2720"/>
      <c r="K132" s="299" t="s">
        <v>2325</v>
      </c>
      <c r="O132" s="2632" t="s">
        <v>502</v>
      </c>
      <c r="P132" s="2634"/>
    </row>
    <row r="133" spans="1:16" s="329" customFormat="1" ht="13.15" customHeight="1">
      <c r="A133" s="543"/>
      <c r="B133" s="543"/>
      <c r="C133" s="1395" t="s">
        <v>2504</v>
      </c>
      <c r="F133" s="1403"/>
      <c r="H133" s="2697"/>
      <c r="K133" s="299" t="s">
        <v>2326</v>
      </c>
      <c r="O133" s="2632" t="s">
        <v>502</v>
      </c>
      <c r="P133" s="2634"/>
    </row>
    <row r="134" spans="1:16" s="329" customFormat="1" ht="13.15" customHeight="1">
      <c r="A134" s="543"/>
      <c r="B134" s="543"/>
      <c r="C134" s="1395" t="s">
        <v>2244</v>
      </c>
      <c r="D134" s="1395"/>
      <c r="E134" s="1395"/>
      <c r="F134" s="1403"/>
      <c r="H134" s="2689"/>
      <c r="I134" s="2690"/>
      <c r="N134" s="1399"/>
      <c r="O134" s="1399"/>
      <c r="P134" s="339"/>
    </row>
    <row r="135" spans="1:16" s="329" customFormat="1" ht="3" customHeight="1">
      <c r="A135" s="543"/>
      <c r="B135" s="543"/>
      <c r="C135" s="1395"/>
      <c r="D135" s="1395"/>
      <c r="E135" s="1395"/>
      <c r="F135" s="1403"/>
      <c r="N135" s="1399"/>
      <c r="O135" s="1399"/>
      <c r="P135" s="339"/>
    </row>
    <row r="136" spans="1:16" s="329" customFormat="1" ht="13.15" customHeight="1">
      <c r="A136" s="543"/>
      <c r="B136" s="543" t="s">
        <v>2061</v>
      </c>
      <c r="C136" s="1390" t="s">
        <v>2576</v>
      </c>
      <c r="D136" s="1395"/>
      <c r="E136" s="1395"/>
      <c r="F136" s="1403"/>
      <c r="H136" s="2697" t="s">
        <v>3156</v>
      </c>
      <c r="N136" s="1399"/>
      <c r="O136" s="1399"/>
      <c r="P136" s="339"/>
    </row>
    <row r="137" spans="1:16" s="329" customFormat="1" ht="3" customHeight="1">
      <c r="A137" s="543"/>
      <c r="B137" s="543"/>
      <c r="C137" s="1395"/>
      <c r="D137" s="1395"/>
      <c r="E137" s="1395"/>
      <c r="F137" s="1403"/>
      <c r="G137" s="1403"/>
      <c r="M137" s="1403"/>
      <c r="N137" s="1399"/>
      <c r="O137" s="1399"/>
      <c r="P137" s="339"/>
    </row>
    <row r="138" spans="1:16" s="329" customFormat="1" ht="13.15" customHeight="1">
      <c r="A138" s="543"/>
      <c r="B138" s="543" t="s">
        <v>779</v>
      </c>
      <c r="C138" s="1390" t="s">
        <v>2805</v>
      </c>
      <c r="D138" s="1395"/>
      <c r="E138" s="1395"/>
      <c r="F138" s="1403"/>
      <c r="G138" s="1403"/>
      <c r="N138" s="1399"/>
      <c r="O138" s="1399"/>
      <c r="P138" s="339"/>
    </row>
    <row r="139" spans="1:16" s="329" customFormat="1" ht="13.15" customHeight="1">
      <c r="A139" s="543"/>
      <c r="B139" s="543"/>
      <c r="C139" s="1395" t="s">
        <v>748</v>
      </c>
      <c r="D139" s="1395"/>
      <c r="E139" s="1395"/>
      <c r="F139" s="1403"/>
      <c r="G139" s="1403"/>
      <c r="H139" s="2697" t="s">
        <v>3156</v>
      </c>
      <c r="K139" s="1395" t="s">
        <v>1592</v>
      </c>
      <c r="L139" s="1395"/>
      <c r="M139" s="1403"/>
      <c r="N139" s="1403"/>
      <c r="O139" s="2697" t="s">
        <v>3156</v>
      </c>
      <c r="P139" s="339"/>
    </row>
    <row r="140" spans="1:16" s="329" customFormat="1" ht="6" customHeight="1">
      <c r="A140" s="543"/>
      <c r="B140" s="543"/>
      <c r="C140" s="1395"/>
      <c r="D140" s="1395"/>
      <c r="E140" s="1395"/>
      <c r="F140" s="1403"/>
      <c r="G140" s="1403"/>
      <c r="H140" s="1403"/>
      <c r="I140" s="1403"/>
      <c r="J140" s="346"/>
      <c r="K140" s="1403"/>
      <c r="L140" s="1403"/>
      <c r="N140" s="1399"/>
      <c r="O140" s="1399"/>
      <c r="P140" s="339"/>
    </row>
    <row r="141" spans="1:16" s="329" customFormat="1" ht="13.15" customHeight="1">
      <c r="A141" s="357" t="s">
        <v>1792</v>
      </c>
      <c r="B141" s="354" t="s">
        <v>1233</v>
      </c>
      <c r="D141" s="354"/>
      <c r="E141" s="354"/>
      <c r="F141" s="354"/>
      <c r="G141" s="1403"/>
      <c r="H141" s="1403"/>
      <c r="I141" s="1403"/>
      <c r="J141" s="346"/>
      <c r="K141" s="1403"/>
      <c r="L141" s="1403"/>
      <c r="N141" s="1399"/>
      <c r="O141" s="1399"/>
      <c r="P141" s="339"/>
    </row>
    <row r="142" spans="1:16" s="329" customFormat="1" ht="1.9" customHeight="1">
      <c r="A142" s="357"/>
      <c r="B142" s="543"/>
      <c r="C142" s="1390"/>
      <c r="D142" s="1390"/>
      <c r="E142" s="1390"/>
      <c r="F142" s="1390"/>
      <c r="G142" s="1403"/>
      <c r="H142" s="1403"/>
      <c r="I142" s="1403"/>
      <c r="J142" s="346"/>
      <c r="K142" s="1403"/>
      <c r="L142" s="1403"/>
      <c r="N142" s="1399"/>
      <c r="O142" s="1399"/>
    </row>
    <row r="143" spans="1:16" s="329" customFormat="1" ht="13.15" customHeight="1">
      <c r="A143" s="543"/>
      <c r="B143" s="543" t="s">
        <v>2058</v>
      </c>
      <c r="C143" s="345" t="s">
        <v>1891</v>
      </c>
      <c r="F143" s="1403"/>
      <c r="G143" s="1403"/>
      <c r="H143" s="1403"/>
      <c r="I143" s="1403"/>
      <c r="J143" s="346"/>
      <c r="K143" s="1403"/>
      <c r="L143" s="1403"/>
      <c r="N143" s="1399"/>
      <c r="O143" s="1399"/>
      <c r="P143" s="339"/>
    </row>
    <row r="144" spans="1:16" s="329" customFormat="1" ht="12.6" customHeight="1">
      <c r="A144" s="543"/>
      <c r="B144" s="543"/>
      <c r="C144" s="353" t="s">
        <v>1584</v>
      </c>
      <c r="D144" s="346"/>
      <c r="E144" s="346"/>
      <c r="F144" s="1403"/>
      <c r="G144" s="1403"/>
      <c r="H144" s="1403"/>
      <c r="I144" s="1403"/>
      <c r="K144" s="2697" t="s">
        <v>3156</v>
      </c>
      <c r="N144" s="1399"/>
      <c r="O144" s="1399"/>
      <c r="P144" s="339"/>
    </row>
    <row r="145" spans="1:16" s="329" customFormat="1" ht="12.6" customHeight="1">
      <c r="A145" s="543"/>
      <c r="B145" s="543"/>
      <c r="C145" s="329" t="s">
        <v>639</v>
      </c>
      <c r="K145" s="2683"/>
      <c r="L145" s="334" t="s">
        <v>1861</v>
      </c>
      <c r="P145" s="363">
        <f>IF('Part VI-Revenues &amp; Expenses'!O$60=0,0,K145/'Part VI-Revenues &amp; Expenses'!$O$60)</f>
        <v>0</v>
      </c>
    </row>
    <row r="146" spans="1:16" s="329" customFormat="1" ht="12.6" customHeight="1">
      <c r="A146" s="543"/>
      <c r="B146" s="543"/>
      <c r="C146" s="329" t="s">
        <v>2245</v>
      </c>
      <c r="K146" s="2683"/>
      <c r="L146" s="334" t="s">
        <v>1861</v>
      </c>
      <c r="P146" s="363">
        <f>IF('Part VI-Revenues &amp; Expenses'!O$60=0,0,K146/'Part VI-Revenues &amp; Expenses'!$O$60)</f>
        <v>0</v>
      </c>
    </row>
    <row r="147" spans="1:16" s="329" customFormat="1" ht="12.6" customHeight="1">
      <c r="A147" s="543"/>
      <c r="B147" s="543"/>
      <c r="C147" s="329" t="s">
        <v>1862</v>
      </c>
      <c r="E147" s="2632"/>
      <c r="F147" s="2633"/>
      <c r="G147" s="2633"/>
      <c r="H147" s="2633"/>
      <c r="I147" s="2633"/>
      <c r="J147" s="2633"/>
      <c r="K147" s="2634"/>
      <c r="L147" s="364" t="s">
        <v>1863</v>
      </c>
      <c r="M147" s="2632"/>
      <c r="N147" s="2633"/>
      <c r="O147" s="2633"/>
      <c r="P147" s="2634"/>
    </row>
    <row r="148" spans="1:16" s="329" customFormat="1" ht="12.6" customHeight="1">
      <c r="A148" s="543"/>
      <c r="B148" s="543"/>
      <c r="C148" s="334" t="s">
        <v>1864</v>
      </c>
      <c r="D148" s="342"/>
      <c r="E148" s="2632"/>
      <c r="F148" s="2633"/>
      <c r="G148" s="2633"/>
      <c r="H148" s="2633"/>
      <c r="I148" s="2633"/>
      <c r="J148" s="2633"/>
      <c r="K148" s="2721"/>
      <c r="L148" s="364" t="s">
        <v>1869</v>
      </c>
      <c r="M148" s="2640"/>
      <c r="N148" s="2645"/>
      <c r="O148" s="2641"/>
    </row>
    <row r="149" spans="1:16" s="329" customFormat="1" ht="12.6" customHeight="1">
      <c r="A149" s="543"/>
      <c r="B149" s="543"/>
      <c r="C149" s="334" t="s">
        <v>642</v>
      </c>
      <c r="E149" s="2632"/>
      <c r="F149" s="2633"/>
      <c r="G149" s="2633"/>
      <c r="H149" s="2634"/>
      <c r="I149" s="359" t="s">
        <v>2308</v>
      </c>
      <c r="J149" s="2722"/>
      <c r="K149" s="2723"/>
      <c r="L149" s="365" t="s">
        <v>2054</v>
      </c>
      <c r="M149" s="2724"/>
      <c r="N149" s="2725"/>
      <c r="O149" s="2726"/>
    </row>
    <row r="150" spans="1:16" s="329" customFormat="1" ht="12.6" customHeight="1">
      <c r="A150" s="543"/>
      <c r="B150" s="543"/>
      <c r="C150" s="334" t="s">
        <v>1867</v>
      </c>
      <c r="E150" s="2640"/>
      <c r="F150" s="2645"/>
      <c r="G150" s="2641"/>
      <c r="H150" s="1392"/>
      <c r="I150" s="1394" t="s">
        <v>1866</v>
      </c>
      <c r="J150" s="2647"/>
      <c r="K150" s="2648"/>
      <c r="L150" s="2648"/>
      <c r="M150" s="2648"/>
      <c r="N150" s="2648"/>
      <c r="O150" s="2648"/>
      <c r="P150" s="2649"/>
    </row>
    <row r="151" spans="1:16" s="329" customFormat="1" ht="6" customHeight="1">
      <c r="A151" s="543"/>
      <c r="B151" s="543"/>
      <c r="C151" s="334"/>
      <c r="E151" s="366"/>
      <c r="F151" s="366"/>
      <c r="G151" s="366"/>
      <c r="H151" s="1403"/>
      <c r="I151" s="366"/>
      <c r="J151" s="366"/>
      <c r="K151" s="1403"/>
      <c r="L151" s="366"/>
      <c r="M151" s="366"/>
      <c r="N151" s="1403"/>
      <c r="O151" s="366"/>
      <c r="P151" s="366"/>
    </row>
    <row r="152" spans="1:16" s="329" customFormat="1" ht="12.6" customHeight="1">
      <c r="A152" s="543"/>
      <c r="B152" s="543" t="s">
        <v>2061</v>
      </c>
      <c r="C152" s="1390" t="s">
        <v>2806</v>
      </c>
      <c r="D152" s="1390"/>
      <c r="E152" s="1390"/>
      <c r="F152" s="1390"/>
      <c r="G152" s="1390"/>
      <c r="I152" s="2697" t="s">
        <v>3156</v>
      </c>
      <c r="J152" s="1452" t="s">
        <v>792</v>
      </c>
      <c r="K152" s="1453"/>
      <c r="L152" s="2697"/>
      <c r="M152" s="1449" t="s">
        <v>2406</v>
      </c>
      <c r="N152" s="1450"/>
      <c r="O152" s="1451"/>
      <c r="P152" s="2720"/>
    </row>
    <row r="153" spans="1:16" s="329" customFormat="1" ht="6" customHeight="1">
      <c r="A153" s="543"/>
      <c r="B153" s="543"/>
      <c r="C153" s="1390"/>
      <c r="D153" s="1390"/>
      <c r="E153" s="331"/>
      <c r="F153" s="1390"/>
      <c r="G153" s="1390"/>
      <c r="J153" s="338"/>
      <c r="K153" s="367"/>
      <c r="M153" s="1399"/>
      <c r="O153" s="1403"/>
      <c r="P153" s="339"/>
    </row>
    <row r="154" spans="1:16" s="329" customFormat="1" ht="12.6" customHeight="1">
      <c r="A154" s="543"/>
      <c r="B154" s="543"/>
      <c r="C154" s="1390" t="s">
        <v>2807</v>
      </c>
      <c r="D154" s="1390"/>
      <c r="E154" s="1390"/>
      <c r="F154" s="1390"/>
      <c r="G154" s="1390"/>
      <c r="I154" s="2697" t="s">
        <v>3156</v>
      </c>
      <c r="J154" s="1452" t="s">
        <v>792</v>
      </c>
      <c r="K154" s="1453"/>
      <c r="L154" s="2697"/>
      <c r="M154" s="1449" t="s">
        <v>2406</v>
      </c>
      <c r="N154" s="1450"/>
      <c r="O154" s="1451"/>
      <c r="P154" s="2720"/>
    </row>
    <row r="155" spans="1:16" s="329" customFormat="1" ht="6" customHeight="1">
      <c r="A155" s="543"/>
      <c r="B155" s="543"/>
      <c r="C155" s="1390"/>
      <c r="D155" s="1390"/>
      <c r="E155" s="331"/>
      <c r="F155" s="1390"/>
      <c r="G155" s="1390"/>
      <c r="J155" s="338"/>
      <c r="K155" s="367"/>
      <c r="M155" s="1399"/>
      <c r="O155" s="1403"/>
      <c r="P155" s="339"/>
    </row>
    <row r="156" spans="1:16" s="329" customFormat="1" ht="12.6" customHeight="1">
      <c r="A156" s="543"/>
      <c r="B156" s="543" t="s">
        <v>779</v>
      </c>
      <c r="C156" s="1390" t="s">
        <v>1823</v>
      </c>
      <c r="D156" s="1390"/>
      <c r="E156" s="1390"/>
      <c r="F156" s="1390"/>
      <c r="G156" s="1390"/>
      <c r="I156" s="2697" t="s">
        <v>3156</v>
      </c>
      <c r="L156" s="299"/>
      <c r="M156" s="299"/>
      <c r="P156" s="339"/>
    </row>
    <row r="157" spans="1:16" s="329" customFormat="1" ht="6" customHeight="1">
      <c r="A157" s="543"/>
      <c r="B157" s="543"/>
      <c r="C157" s="334"/>
      <c r="E157" s="366"/>
      <c r="F157" s="366"/>
      <c r="G157" s="366"/>
      <c r="I157" s="366"/>
      <c r="J157" s="366"/>
      <c r="K157" s="1403"/>
      <c r="L157" s="366"/>
      <c r="M157" s="366"/>
      <c r="N157" s="1403"/>
      <c r="O157" s="366"/>
      <c r="P157" s="366"/>
    </row>
    <row r="158" spans="1:16" s="329" customFormat="1" ht="12.6" customHeight="1">
      <c r="A158" s="543"/>
      <c r="B158" s="543" t="s">
        <v>2193</v>
      </c>
      <c r="C158" s="1469" t="s">
        <v>2053</v>
      </c>
      <c r="D158" s="1469"/>
      <c r="E158" s="1469"/>
      <c r="F158" s="1469"/>
      <c r="G158" s="1390"/>
      <c r="I158" s="2697" t="s">
        <v>3153</v>
      </c>
      <c r="J158" s="369" t="s">
        <v>2868</v>
      </c>
      <c r="L158" s="1468" t="s">
        <v>4155</v>
      </c>
      <c r="M158" s="1468"/>
      <c r="N158" s="1390"/>
      <c r="O158" s="1390"/>
      <c r="P158" s="2727">
        <v>70</v>
      </c>
    </row>
    <row r="159" spans="1:16" s="329" customFormat="1" ht="12.6" customHeight="1">
      <c r="B159" s="543"/>
      <c r="L159" s="1447" t="s">
        <v>829</v>
      </c>
      <c r="M159" s="1447"/>
      <c r="N159" s="1390"/>
      <c r="O159" s="1390"/>
      <c r="P159" s="2727">
        <v>67</v>
      </c>
    </row>
    <row r="160" spans="1:16" s="329" customFormat="1" ht="12.6" customHeight="1">
      <c r="A160" s="543"/>
      <c r="B160" s="543"/>
      <c r="L160" s="1447" t="s">
        <v>1857</v>
      </c>
      <c r="M160" s="1447"/>
      <c r="N160" s="1390"/>
      <c r="O160" s="1390"/>
      <c r="P160" s="368">
        <f>IF(P158="","",P159/P158)</f>
        <v>0.95714285714285718</v>
      </c>
    </row>
    <row r="161" spans="1:21" s="329" customFormat="1" ht="13.15" customHeight="1">
      <c r="A161" s="543"/>
      <c r="B161" s="543" t="s">
        <v>1801</v>
      </c>
      <c r="C161" s="296" t="s">
        <v>1667</v>
      </c>
      <c r="D161" s="1395"/>
      <c r="E161" s="1395"/>
      <c r="F161" s="1395"/>
      <c r="G161" s="1395"/>
      <c r="H161" s="1403"/>
      <c r="J161" s="338"/>
      <c r="K161" s="346"/>
      <c r="M161" s="1399"/>
      <c r="O161" s="1403"/>
      <c r="P161" s="339"/>
    </row>
    <row r="162" spans="1:21" s="329" customFormat="1" ht="12.6" customHeight="1">
      <c r="A162" s="543"/>
      <c r="B162" s="543"/>
      <c r="C162" s="1399" t="s">
        <v>2291</v>
      </c>
      <c r="D162" s="340"/>
      <c r="E162" s="1399"/>
      <c r="F162" s="1399"/>
      <c r="I162" s="2697" t="s">
        <v>3156</v>
      </c>
      <c r="L162" s="1399" t="s">
        <v>1668</v>
      </c>
      <c r="M162" s="1399"/>
      <c r="N162" s="1399"/>
      <c r="P162" s="2697" t="s">
        <v>3153</v>
      </c>
    </row>
    <row r="163" spans="1:21" s="329" customFormat="1" ht="12.6" customHeight="1">
      <c r="A163" s="543"/>
      <c r="B163" s="543"/>
      <c r="C163" s="1399" t="s">
        <v>2292</v>
      </c>
      <c r="I163" s="2697" t="s">
        <v>3153</v>
      </c>
      <c r="L163" s="1399" t="s">
        <v>2984</v>
      </c>
      <c r="M163" s="1399"/>
      <c r="N163" s="1399"/>
      <c r="P163" s="2697" t="s">
        <v>3156</v>
      </c>
    </row>
    <row r="164" spans="1:21" s="329" customFormat="1" ht="12.6" customHeight="1">
      <c r="A164" s="543"/>
      <c r="C164" s="1399" t="s">
        <v>2828</v>
      </c>
      <c r="I164" s="2697" t="s">
        <v>3156</v>
      </c>
      <c r="L164" s="1399" t="s">
        <v>2791</v>
      </c>
      <c r="N164" s="2728" t="s">
        <v>1006</v>
      </c>
      <c r="O164" s="2729"/>
      <c r="P164" s="2697" t="s">
        <v>3156</v>
      </c>
    </row>
    <row r="165" spans="1:21" s="329" customFormat="1" ht="12.6" customHeight="1">
      <c r="A165" s="543"/>
      <c r="B165" s="543"/>
      <c r="C165" s="1399" t="s">
        <v>1332</v>
      </c>
      <c r="D165" s="370"/>
      <c r="I165" s="2697" t="s">
        <v>3156</v>
      </c>
      <c r="K165" s="340"/>
      <c r="L165" s="1399" t="s">
        <v>3753</v>
      </c>
      <c r="M165" s="1399"/>
      <c r="N165" s="1399"/>
      <c r="P165" s="2697" t="s">
        <v>3156</v>
      </c>
    </row>
    <row r="166" spans="1:21" s="329" customFormat="1" ht="12.6" customHeight="1">
      <c r="A166" s="543"/>
      <c r="B166" s="331"/>
      <c r="C166" s="1399" t="s">
        <v>1875</v>
      </c>
      <c r="I166" s="2697" t="s">
        <v>3156</v>
      </c>
      <c r="J166" s="369" t="s">
        <v>2869</v>
      </c>
      <c r="O166" s="2730"/>
      <c r="P166" s="2731"/>
    </row>
    <row r="167" spans="1:21" s="329" customFormat="1" ht="12.6" customHeight="1">
      <c r="A167" s="543"/>
      <c r="B167" s="543"/>
      <c r="C167" s="1399" t="s">
        <v>3046</v>
      </c>
      <c r="I167" s="2697" t="s">
        <v>3156</v>
      </c>
      <c r="J167" s="369" t="s">
        <v>2869</v>
      </c>
      <c r="O167" s="2730"/>
      <c r="P167" s="2731"/>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5"/>
      <c r="E170" s="1395"/>
      <c r="F170" s="1403"/>
      <c r="G170" s="1403"/>
      <c r="H170" s="2689">
        <v>42887</v>
      </c>
      <c r="I170" s="2690"/>
      <c r="N170" s="1399"/>
      <c r="O170" s="1399"/>
      <c r="P170" s="339"/>
    </row>
    <row r="171" spans="1:21" s="329" customFormat="1" ht="12.6" customHeight="1">
      <c r="A171" s="543"/>
      <c r="B171" s="543"/>
      <c r="C171" s="334" t="s">
        <v>288</v>
      </c>
      <c r="D171" s="1395"/>
      <c r="E171" s="1395"/>
      <c r="F171" s="1403"/>
      <c r="G171" s="1403"/>
      <c r="H171" s="2689">
        <v>43252</v>
      </c>
      <c r="I171" s="2690"/>
      <c r="N171" s="1399"/>
      <c r="O171" s="1399"/>
      <c r="P171" s="339"/>
    </row>
    <row r="172" spans="1:21" s="329" customFormat="1" ht="12.6" customHeight="1">
      <c r="A172" s="543"/>
      <c r="B172" s="543"/>
      <c r="C172" s="334" t="s">
        <v>2375</v>
      </c>
      <c r="D172" s="1395"/>
      <c r="E172" s="1395"/>
      <c r="F172" s="1403"/>
      <c r="G172" s="1403"/>
      <c r="H172" s="2689" t="s">
        <v>1006</v>
      </c>
      <c r="I172" s="2690"/>
      <c r="N172" s="1399"/>
      <c r="O172" s="1399"/>
      <c r="P172" s="339"/>
    </row>
    <row r="173" spans="1:21" s="329" customFormat="1" ht="6" customHeight="1">
      <c r="B173" s="331"/>
      <c r="C173" s="1399"/>
      <c r="H173" s="1399"/>
      <c r="L173" s="348"/>
      <c r="M173" s="348"/>
      <c r="N173" s="348"/>
      <c r="O173" s="348"/>
      <c r="P173" s="336"/>
    </row>
    <row r="174" spans="1:21" ht="12" customHeight="1">
      <c r="A174" s="357" t="s">
        <v>2900</v>
      </c>
      <c r="C174" s="357" t="s">
        <v>593</v>
      </c>
      <c r="K174" s="357" t="s">
        <v>2331</v>
      </c>
      <c r="L174" s="357" t="s">
        <v>81</v>
      </c>
    </row>
    <row r="175" spans="1:21" ht="106.5" customHeight="1">
      <c r="A175" s="2732" t="s">
        <v>4350</v>
      </c>
      <c r="B175" s="2733"/>
      <c r="C175" s="2733"/>
      <c r="D175" s="2733"/>
      <c r="E175" s="2733"/>
      <c r="F175" s="2733"/>
      <c r="G175" s="2733"/>
      <c r="H175" s="2733"/>
      <c r="I175" s="2733"/>
      <c r="J175" s="2734"/>
      <c r="K175" s="2735"/>
      <c r="L175" s="2736"/>
      <c r="M175" s="2736"/>
      <c r="N175" s="2736"/>
      <c r="O175" s="2736"/>
      <c r="P175" s="2737"/>
      <c r="Q175" s="1444" t="s">
        <v>2796</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0"/>
      <c r="Q229" s="2738"/>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8"/>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8"/>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8"/>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0"/>
      <c r="Q237" s="273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0"/>
      <c r="Q245" s="273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0"/>
      <c r="Q287" s="273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0"/>
      <c r="Q316" s="273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9"/>
      <c r="Q322" s="273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0"/>
      <c r="Q340" s="273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8"/>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8"/>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8"/>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0"/>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1"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0"/>
      <c r="R604" s="1308" t="s">
        <v>2650</v>
      </c>
      <c r="S604" s="1308" t="s">
        <v>332</v>
      </c>
      <c r="T604" s="2741"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1"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1"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1"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1"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1"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1"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1"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1"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1"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1"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1"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1"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1"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9"/>
      <c r="R618" s="1308" t="s">
        <v>2663</v>
      </c>
      <c r="S618" s="1308" t="s">
        <v>2083</v>
      </c>
      <c r="T618" s="2741"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1"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0"/>
      <c r="R620" s="1308" t="s">
        <v>937</v>
      </c>
      <c r="S620" s="1308" t="s">
        <v>1141</v>
      </c>
      <c r="T620" s="2741"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1"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1"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0"/>
      <c r="R623" s="1308" t="s">
        <v>1086</v>
      </c>
      <c r="S623" s="1308" t="s">
        <v>2081</v>
      </c>
      <c r="T623" s="2741"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1"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2"/>
      <c r="R625" s="1308" t="s">
        <v>1088</v>
      </c>
      <c r="S625" s="1308" t="s">
        <v>1577</v>
      </c>
      <c r="T625" s="2741"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1"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0"/>
      <c r="R627" s="1308" t="s">
        <v>1090</v>
      </c>
      <c r="S627" s="1308" t="s">
        <v>164</v>
      </c>
      <c r="T627" s="2741"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0"/>
      <c r="R628" s="1308" t="s">
        <v>1091</v>
      </c>
      <c r="S628" s="1308" t="s">
        <v>1383</v>
      </c>
      <c r="T628" s="2741"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1"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1"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1"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1"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1"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1"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1"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1"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1"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1"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1"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1"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1"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1"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1"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1"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1"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0"/>
      <c r="R646" s="1308" t="s">
        <v>1105</v>
      </c>
      <c r="S646" s="1308" t="s">
        <v>652</v>
      </c>
      <c r="T646" s="2741"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1"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1"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1"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1"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1"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1"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1"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1"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9"/>
      <c r="R655" s="1308" t="s">
        <v>1113</v>
      </c>
      <c r="S655" s="1308" t="s">
        <v>1985</v>
      </c>
      <c r="T655" s="2741"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0"/>
      <c r="R656" s="1308" t="s">
        <v>1114</v>
      </c>
      <c r="S656" s="1308" t="s">
        <v>2081</v>
      </c>
      <c r="T656" s="2741"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1"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1"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0"/>
      <c r="R659" s="1308" t="s">
        <v>1117</v>
      </c>
      <c r="S659" s="1308" t="s">
        <v>2572</v>
      </c>
      <c r="T659" s="2741"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1"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1"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DHACBte9KMqVcC6OUsCdaARxbPllLokD30QYDIw5ozcreGZ19vOf+AmZQgi26yKNjUvDcFgytYL6wYkTcn5LwQ==" saltValue="wQAsZxsWocPKaVHxLmEzBQ=="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2" t="str">
        <f>IF(Overview!C8="","",Overview!C8)</f>
        <v>The Pines Apartments</v>
      </c>
      <c r="B1" s="1972"/>
      <c r="C1" s="1972"/>
      <c r="D1" s="1972"/>
      <c r="E1" s="1972"/>
      <c r="F1" s="1972"/>
      <c r="G1" s="1972"/>
      <c r="H1" s="1972"/>
    </row>
    <row r="2" spans="1:8" ht="21.95" customHeight="1">
      <c r="A2" s="885"/>
      <c r="B2" s="885"/>
      <c r="C2" s="885"/>
      <c r="D2" s="885"/>
      <c r="E2" s="885"/>
      <c r="F2" s="885"/>
      <c r="G2" s="885"/>
      <c r="H2" s="885"/>
    </row>
    <row r="3" spans="1:8" ht="20.25" customHeight="1">
      <c r="C3" s="1971" t="s">
        <v>3241</v>
      </c>
      <c r="D3" s="1971"/>
      <c r="E3" s="1971"/>
      <c r="F3" s="1971"/>
    </row>
    <row r="5" spans="1:8" ht="15.75">
      <c r="D5" s="655"/>
      <c r="E5" s="655" t="s">
        <v>3242</v>
      </c>
    </row>
    <row r="6" spans="1:8" ht="15.75">
      <c r="D6" s="655" t="s">
        <v>2566</v>
      </c>
      <c r="E6" s="655" t="s">
        <v>3243</v>
      </c>
    </row>
    <row r="7" spans="1:8" ht="15">
      <c r="D7" s="656"/>
      <c r="E7" s="656"/>
    </row>
    <row r="8" spans="1:8" ht="15">
      <c r="D8" s="657">
        <v>1</v>
      </c>
      <c r="E8" s="658">
        <f>-'Part VII-Pro Forma'!B23/12</f>
        <v>7981.9253964774171</v>
      </c>
    </row>
    <row r="9" spans="1:8" ht="15">
      <c r="D9" s="657">
        <v>2</v>
      </c>
      <c r="E9" s="658">
        <f>-'Part VII-Pro Forma'!C23/12</f>
        <v>7981.9253964774171</v>
      </c>
    </row>
    <row r="10" spans="1:8" ht="15">
      <c r="D10" s="657">
        <v>3</v>
      </c>
      <c r="E10" s="658">
        <f>-'Part VII-Pro Forma'!D23/12</f>
        <v>7981.9253964774171</v>
      </c>
    </row>
    <row r="11" spans="1:8" ht="15">
      <c r="D11" s="659">
        <v>4</v>
      </c>
      <c r="E11" s="658">
        <f>-'Part VII-Pro Forma'!E23/12</f>
        <v>7981.9253964774171</v>
      </c>
    </row>
    <row r="12" spans="1:8" ht="15">
      <c r="D12" s="659">
        <v>5</v>
      </c>
      <c r="E12" s="658">
        <f>-'Part VII-Pro Forma'!F23/12</f>
        <v>7981.9253964774171</v>
      </c>
    </row>
    <row r="13" spans="1:8" ht="15">
      <c r="D13" s="657">
        <v>6</v>
      </c>
      <c r="E13" s="658">
        <f>-'Part VII-Pro Forma'!G23/12</f>
        <v>7981.9253964774171</v>
      </c>
    </row>
    <row r="14" spans="1:8" ht="15">
      <c r="D14" s="657">
        <v>7</v>
      </c>
      <c r="E14" s="658">
        <f>-'Part VII-Pro Forma'!H23/12</f>
        <v>7981.9253964774171</v>
      </c>
    </row>
    <row r="15" spans="1:8" ht="15">
      <c r="D15" s="659">
        <v>8</v>
      </c>
      <c r="E15" s="658">
        <f>-'Part VII-Pro Forma'!I23/12</f>
        <v>7981.9253964774171</v>
      </c>
    </row>
    <row r="16" spans="1:8" ht="15">
      <c r="D16" s="657">
        <v>9</v>
      </c>
      <c r="E16" s="658">
        <f>-'Part VII-Pro Forma'!J23/12</f>
        <v>7981.9253964774171</v>
      </c>
    </row>
    <row r="17" spans="4:8" ht="15">
      <c r="D17" s="657">
        <v>10</v>
      </c>
      <c r="E17" s="658">
        <f>-'Part VII-Pro Forma'!K23/12</f>
        <v>7981.9253964774171</v>
      </c>
    </row>
    <row r="18" spans="4:8" ht="15">
      <c r="D18" s="659">
        <v>11</v>
      </c>
      <c r="E18" s="658">
        <f>-'Part VII-Pro Forma'!B53/12</f>
        <v>7981.9253964774171</v>
      </c>
    </row>
    <row r="19" spans="4:8" ht="15">
      <c r="D19" s="657">
        <v>12</v>
      </c>
      <c r="E19" s="658">
        <f>-'Part VII-Pro Forma'!C53/12</f>
        <v>7981.9253964774171</v>
      </c>
    </row>
    <row r="20" spans="4:8" ht="15">
      <c r="D20" s="657">
        <v>13</v>
      </c>
      <c r="E20" s="658">
        <f>-'Part VII-Pro Forma'!D53/12</f>
        <v>7981.9253964774171</v>
      </c>
    </row>
    <row r="21" spans="4:8" ht="15">
      <c r="D21" s="657">
        <v>14</v>
      </c>
      <c r="E21" s="658">
        <f>-'Part VII-Pro Forma'!E53/12</f>
        <v>7981.9253964774171</v>
      </c>
    </row>
    <row r="22" spans="4:8" ht="15">
      <c r="D22" s="657">
        <v>15</v>
      </c>
      <c r="E22" s="658">
        <f>-'Part VII-Pro Forma'!F53/12</f>
        <v>7981.9253964774171</v>
      </c>
    </row>
    <row r="23" spans="4:8" ht="15">
      <c r="D23" s="657">
        <v>16</v>
      </c>
      <c r="E23" s="658">
        <f>-'Part VII-Pro Forma'!G53/12</f>
        <v>7981.9253964774171</v>
      </c>
    </row>
    <row r="24" spans="4:8" ht="15">
      <c r="D24" s="657">
        <v>17</v>
      </c>
      <c r="E24" s="658">
        <f>-'Part VII-Pro Forma'!H53/12</f>
        <v>7981.9253964774171</v>
      </c>
      <c r="H24" s="654" t="s">
        <v>254</v>
      </c>
    </row>
    <row r="25" spans="4:8" ht="15">
      <c r="D25" s="657">
        <v>18</v>
      </c>
      <c r="E25" s="658">
        <f>-'Part VII-Pro Forma'!I53/12</f>
        <v>7981.9253964774171</v>
      </c>
    </row>
    <row r="26" spans="4:8" ht="15">
      <c r="D26" s="657">
        <v>19</v>
      </c>
      <c r="E26" s="658">
        <f>-'Part VII-Pro Forma'!J53/12</f>
        <v>7981.9253964774171</v>
      </c>
    </row>
    <row r="27" spans="4:8" ht="15">
      <c r="D27" s="657">
        <v>20</v>
      </c>
      <c r="E27" s="658">
        <f>-'Part VII-Pro Forma'!K53/12</f>
        <v>7981.9253964774171</v>
      </c>
    </row>
    <row r="28" spans="4:8" ht="15">
      <c r="D28" s="657">
        <v>21</v>
      </c>
      <c r="E28" s="658">
        <f>-'Part VII-Pro Forma'!B83/12</f>
        <v>7981.9253964774171</v>
      </c>
    </row>
    <row r="29" spans="4:8" ht="15">
      <c r="D29" s="657">
        <v>22</v>
      </c>
      <c r="E29" s="658">
        <f>-'Part VII-Pro Forma'!C83/12</f>
        <v>7981.9253964774171</v>
      </c>
    </row>
    <row r="30" spans="4:8" ht="15">
      <c r="D30" s="657">
        <v>23</v>
      </c>
      <c r="E30" s="658">
        <f>-'Part VII-Pro Forma'!D83/12</f>
        <v>7981.9253964774171</v>
      </c>
    </row>
    <row r="31" spans="4:8" ht="15">
      <c r="D31" s="657">
        <v>24</v>
      </c>
      <c r="E31" s="658">
        <f>-'Part VII-Pro Forma'!E83/12</f>
        <v>7981.9253964774171</v>
      </c>
    </row>
    <row r="32" spans="4:8" ht="15">
      <c r="D32" s="657">
        <v>25</v>
      </c>
      <c r="E32" s="658">
        <f>-'Part VII-Pro Forma'!F83/12</f>
        <v>7981.9253964774171</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3244</v>
      </c>
      <c r="B1" s="1973"/>
      <c r="C1" s="1973"/>
      <c r="D1" s="1973"/>
      <c r="E1" s="1973"/>
      <c r="F1" s="1973"/>
      <c r="G1" s="1973"/>
      <c r="H1" s="1973"/>
      <c r="I1" s="1973"/>
      <c r="J1" s="1973"/>
      <c r="K1" s="1973"/>
    </row>
    <row r="2" spans="1:11" ht="15">
      <c r="A2" s="1029" t="str">
        <f>Overview!E8</f>
        <v>2016-079</v>
      </c>
      <c r="B2" s="1029" t="str">
        <f>Overview!C8</f>
        <v>The Pines Apartments</v>
      </c>
      <c r="C2" s="1030"/>
    </row>
    <row r="3" spans="1:11" ht="12.6" customHeight="1">
      <c r="A3" s="1030"/>
      <c r="B3" s="1030"/>
      <c r="C3" s="1030"/>
    </row>
    <row r="4" spans="1:11" ht="18">
      <c r="A4" s="1031" t="s">
        <v>3835</v>
      </c>
      <c r="B4" s="1030"/>
      <c r="C4" s="1030"/>
    </row>
    <row r="5" spans="1:11" s="983" customFormat="1" ht="17.25" customHeight="1">
      <c r="C5" s="1976" t="s">
        <v>3819</v>
      </c>
      <c r="D5" s="1977"/>
      <c r="E5" s="1978"/>
      <c r="F5" s="705"/>
      <c r="G5" s="1976" t="s">
        <v>3820</v>
      </c>
      <c r="H5" s="1977"/>
      <c r="I5" s="1978"/>
      <c r="J5" s="1028"/>
      <c r="K5" s="1032" t="s">
        <v>3824</v>
      </c>
    </row>
    <row r="6" spans="1:11" s="1034" customFormat="1" ht="15" customHeight="1">
      <c r="A6" s="1033" t="s">
        <v>2820</v>
      </c>
      <c r="C6" s="1035" t="s">
        <v>3815</v>
      </c>
      <c r="D6" s="1035" t="s">
        <v>3245</v>
      </c>
      <c r="E6" s="1035" t="s">
        <v>2066</v>
      </c>
      <c r="G6" s="1035" t="s">
        <v>3816</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3817</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9614942</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3818</v>
      </c>
    </row>
    <row r="11" spans="1:11" s="705" customFormat="1" ht="13.5" customHeight="1">
      <c r="A11" s="1041" t="s">
        <v>3814</v>
      </c>
      <c r="C11" s="1042">
        <f>'DCA Underwriting Assumptions'!$N$54</f>
        <v>199229</v>
      </c>
      <c r="D11" s="1043" t="e">
        <f>#REF!</f>
        <v>#REF!</v>
      </c>
      <c r="E11" s="1044" t="e">
        <f>C11*D11</f>
        <v>#REF!</v>
      </c>
      <c r="G11" s="1042">
        <f>'DCA Underwriting Assumptions'!$N$54</f>
        <v>199229</v>
      </c>
      <c r="H11" s="1043" t="e">
        <f>#REF!</f>
        <v>#REF!</v>
      </c>
      <c r="I11" s="1044" t="e">
        <f>G11*H11</f>
        <v>#REF!</v>
      </c>
      <c r="K11" s="1979" t="s">
        <v>3825</v>
      </c>
    </row>
    <row r="12" spans="1:11" ht="13.5" customHeight="1" thickBot="1">
      <c r="A12" s="1045" t="s">
        <v>3781</v>
      </c>
      <c r="D12" s="1046" t="e">
        <f>SUM(D7:D11)</f>
        <v>#REF!</v>
      </c>
      <c r="E12" s="1047"/>
      <c r="G12" s="1045" t="s">
        <v>1859</v>
      </c>
      <c r="H12" s="1046" t="e">
        <f>SUM(H7:H11)</f>
        <v>#REF!</v>
      </c>
      <c r="I12" s="1047"/>
      <c r="K12" s="1980"/>
    </row>
    <row r="13" spans="1:11" s="705" customFormat="1" ht="13.5" customHeight="1" thickBot="1">
      <c r="A13" s="1045" t="s">
        <v>3247</v>
      </c>
      <c r="B13" s="1048"/>
      <c r="E13" s="1049" t="e">
        <f>SUM(E7:E11)</f>
        <v>#REF!</v>
      </c>
      <c r="G13" s="1045" t="s">
        <v>3501</v>
      </c>
      <c r="H13" s="1048"/>
      <c r="I13" s="1050" t="e">
        <f>SUM(I7:I11)</f>
        <v>#REF!</v>
      </c>
      <c r="K13" s="1040">
        <f>'Part VIII-Threshold Criteria'!$P$65</f>
        <v>12384982</v>
      </c>
    </row>
    <row r="14" spans="1:11" ht="11.25" customHeight="1">
      <c r="G14" s="1051" t="s">
        <v>3821</v>
      </c>
    </row>
    <row r="15" spans="1:11" s="705" customFormat="1" ht="13.5" customHeight="1"/>
    <row r="16" spans="1:11" ht="16.5" customHeight="1">
      <c r="A16" s="1031" t="s">
        <v>3836</v>
      </c>
    </row>
    <row r="17" spans="1:11" ht="6" customHeight="1"/>
    <row r="18" spans="1:11" s="705" customFormat="1" ht="13.5" customHeight="1">
      <c r="A18" s="705" t="s">
        <v>3823</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3822</v>
      </c>
      <c r="K21" s="1055" t="e">
        <f>K18/K19</f>
        <v>#REF!</v>
      </c>
    </row>
    <row r="22" spans="1:11" ht="9" customHeight="1"/>
    <row r="23" spans="1:11" s="705" customFormat="1" ht="13.5" customHeight="1">
      <c r="A23" s="705" t="s">
        <v>3780</v>
      </c>
      <c r="C23" s="1056"/>
      <c r="E23" s="1052" t="s">
        <v>3253</v>
      </c>
      <c r="K23" s="874">
        <f>K9</f>
        <v>9614942</v>
      </c>
    </row>
    <row r="24" spans="1:11" s="705" customFormat="1" ht="13.5" customHeight="1">
      <c r="A24" s="1057" t="s">
        <v>1826</v>
      </c>
      <c r="K24" s="1040">
        <f>'Part IV-Uses of Funds'!$G$121</f>
        <v>202478</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9412464</v>
      </c>
    </row>
    <row r="29" spans="1:11" ht="9" customHeight="1">
      <c r="A29" s="1054"/>
      <c r="K29" s="1062"/>
    </row>
    <row r="30" spans="1:11" s="705" customFormat="1" ht="15" customHeight="1">
      <c r="A30" s="1048" t="s">
        <v>3256</v>
      </c>
      <c r="E30" s="1052" t="s">
        <v>3830</v>
      </c>
      <c r="F30" s="1063"/>
      <c r="G30" s="1063"/>
      <c r="H30" s="1063"/>
      <c r="I30" s="1063"/>
      <c r="K30" s="1064" t="e">
        <f>K21*K28</f>
        <v>#REF!</v>
      </c>
    </row>
    <row r="31" spans="1:11" ht="27.75" customHeight="1">
      <c r="K31" s="1062"/>
    </row>
    <row r="32" spans="1:11" s="705" customFormat="1" ht="16.5" customHeight="1">
      <c r="A32" s="1065" t="s">
        <v>3837</v>
      </c>
      <c r="B32" s="1048"/>
      <c r="C32" s="1048"/>
      <c r="D32" s="1048"/>
      <c r="E32" s="1052"/>
    </row>
    <row r="33" spans="1:11" ht="6" customHeight="1" thickBot="1"/>
    <row r="34" spans="1:11" s="705" customFormat="1" ht="24" customHeight="1" thickBot="1">
      <c r="A34" s="1066" t="s">
        <v>3833</v>
      </c>
      <c r="B34" s="1048"/>
      <c r="C34" s="1048"/>
      <c r="D34" s="1048"/>
      <c r="E34" s="1052" t="s">
        <v>3831</v>
      </c>
      <c r="K34" s="1067" t="e">
        <f>MIN(E13,K30)</f>
        <v>#REF!</v>
      </c>
    </row>
    <row r="35" spans="1:11" ht="6" customHeight="1"/>
    <row r="36" spans="1:11" s="705" customFormat="1" ht="15" customHeight="1">
      <c r="A36" s="1048" t="s">
        <v>3834</v>
      </c>
      <c r="E36" s="1052" t="s">
        <v>3832</v>
      </c>
      <c r="K36" s="1068">
        <f>Overview!C25</f>
        <v>1600000</v>
      </c>
    </row>
    <row r="37" spans="1:11" s="705" customFormat="1" ht="9" customHeight="1" thickBot="1">
      <c r="E37" s="1069"/>
      <c r="F37" s="1069"/>
      <c r="G37" s="1069"/>
      <c r="H37" s="1069"/>
      <c r="K37" s="1070"/>
    </row>
    <row r="38" spans="1:11" s="705" customFormat="1" ht="15.75" customHeight="1">
      <c r="A38" s="1981" t="s">
        <v>3828</v>
      </c>
      <c r="B38" s="1981"/>
      <c r="C38" s="1981"/>
      <c r="D38" s="1984" t="s">
        <v>3251</v>
      </c>
      <c r="E38" s="1984"/>
      <c r="F38" s="1984" t="s">
        <v>3252</v>
      </c>
      <c r="G38" s="1984"/>
      <c r="H38" s="1984"/>
      <c r="I38" s="1071" t="s">
        <v>2959</v>
      </c>
      <c r="K38" s="1974" t="e">
        <f>ROUND((D39/F39)*I39,0)</f>
        <v>#REF!</v>
      </c>
    </row>
    <row r="39" spans="1:11" s="705" customFormat="1" ht="15.75" customHeight="1" thickBot="1">
      <c r="A39" s="1981"/>
      <c r="B39" s="1981"/>
      <c r="C39" s="1981"/>
      <c r="D39" s="1983">
        <f>K36</f>
        <v>1600000</v>
      </c>
      <c r="E39" s="1983"/>
      <c r="F39" s="1982">
        <f>K28</f>
        <v>9412464</v>
      </c>
      <c r="G39" s="1982"/>
      <c r="H39" s="1982"/>
      <c r="I39" s="1072" t="e">
        <f>K19</f>
        <v>#REF!</v>
      </c>
      <c r="K39" s="1975"/>
    </row>
    <row r="40" spans="1:11" ht="12.75" customHeight="1">
      <c r="D40" s="1073" t="s">
        <v>3829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2016-079  The Pines Apartments</v>
      </c>
      <c r="B1" s="1985"/>
      <c r="C1" s="1985"/>
      <c r="D1" s="1985"/>
      <c r="E1" s="1985"/>
      <c r="F1" s="1985"/>
      <c r="G1" s="1985"/>
      <c r="H1" s="1985"/>
    </row>
    <row r="3" spans="1:13" ht="12" customHeight="1">
      <c r="A3" s="1986" t="s">
        <v>3783</v>
      </c>
      <c r="B3" s="1986"/>
      <c r="C3" s="1986"/>
      <c r="D3" s="1986"/>
      <c r="E3" s="1986"/>
      <c r="F3" s="1986"/>
      <c r="G3" s="1986"/>
      <c r="H3" s="1986"/>
      <c r="I3" s="689"/>
      <c r="J3" s="662" t="s">
        <v>3257</v>
      </c>
      <c r="K3" s="662"/>
      <c r="L3" s="662"/>
      <c r="M3" s="662"/>
    </row>
    <row r="5" spans="1:13" ht="12" customHeight="1">
      <c r="A5" s="660">
        <v>1</v>
      </c>
      <c r="C5" s="660" t="s">
        <v>3258</v>
      </c>
      <c r="E5" s="690" t="str">
        <f>Overview!H9</f>
        <v>Hallmark Pines, LP</v>
      </c>
    </row>
    <row r="6" spans="1:13" ht="3" customHeight="1">
      <c r="H6" s="883"/>
    </row>
    <row r="7" spans="1:13" ht="12" customHeight="1">
      <c r="A7" s="660">
        <v>2</v>
      </c>
      <c r="C7" s="660" t="s">
        <v>3259</v>
      </c>
      <c r="E7" s="690" t="str">
        <f>'Part II-Development Team'!H6</f>
        <v>3111 Paces Mill Road, STE A-250</v>
      </c>
    </row>
    <row r="8" spans="1:13" ht="12" customHeight="1">
      <c r="E8" s="690" t="str">
        <f>+'Part II-Development Team'!H7&amp;","&amp;" "&amp;'Part II-Development Team'!H8&amp;" "&amp;LEFT('Part II-Development Team'!J8,5)</f>
        <v>Atlanta, GA 30339</v>
      </c>
    </row>
    <row r="9" spans="1:13" ht="12" customHeight="1">
      <c r="C9" s="660" t="s">
        <v>3260</v>
      </c>
      <c r="E9" s="1987"/>
      <c r="F9" s="1987"/>
    </row>
    <row r="10" spans="1:13" ht="12" customHeight="1">
      <c r="C10" s="660" t="s">
        <v>3261</v>
      </c>
      <c r="E10" s="690" t="str">
        <f>'Part II-Development Team'!Q5</f>
        <v>Martin H. Petersen</v>
      </c>
    </row>
    <row r="11" spans="1:13" ht="12" customHeight="1">
      <c r="C11" s="660" t="s">
        <v>3262</v>
      </c>
      <c r="E11" s="690">
        <f>'Part II-Development Team'!O9</f>
        <v>0</v>
      </c>
    </row>
    <row r="12" spans="1:13" ht="12" customHeight="1">
      <c r="C12" s="660" t="s">
        <v>3263</v>
      </c>
      <c r="E12" s="699">
        <f>'Part II-Development Team'!H9</f>
        <v>7709842100</v>
      </c>
    </row>
    <row r="13" spans="1:13" ht="12" customHeight="1">
      <c r="C13" s="660" t="s">
        <v>3264</v>
      </c>
      <c r="E13" s="699" t="str">
        <f>'Part II-Development Team'!L9</f>
        <v>ppetersen@hallmarkco.com</v>
      </c>
    </row>
    <row r="14" spans="1:13" ht="3" customHeight="1"/>
    <row r="15" spans="1:13" ht="12" customHeight="1">
      <c r="A15" s="660">
        <v>3</v>
      </c>
      <c r="C15" s="660" t="s">
        <v>3265</v>
      </c>
      <c r="E15" s="690" t="str">
        <f>Overview!C8</f>
        <v>The Pines Apartments</v>
      </c>
    </row>
    <row r="16" spans="1:13" ht="12" customHeight="1">
      <c r="C16" s="660" t="s">
        <v>3266</v>
      </c>
      <c r="E16" s="690" t="str">
        <f>'Part I-Project Information'!$F$25</f>
        <v>1119 Douglas Drive</v>
      </c>
    </row>
    <row r="17" spans="1:8" ht="12" customHeight="1">
      <c r="E17" s="690" t="str">
        <f>+'Part I-Project Information'!$F$28&amp;","&amp;" "&amp;'Part I-Project Information'!$J$29&amp;" "&amp;LEFT('Part I-Project Information'!$J$28,5)</f>
        <v>St. Marys, Camden 31558</v>
      </c>
    </row>
    <row r="18" spans="1:8" ht="3" customHeight="1"/>
    <row r="19" spans="1:8" ht="12" customHeight="1">
      <c r="A19" s="660">
        <v>4</v>
      </c>
      <c r="C19" s="660" t="s">
        <v>3267</v>
      </c>
      <c r="E19" s="690" t="str">
        <f>'Part II-Development Team'!H92</f>
        <v>Hallmark Management, Inc.</v>
      </c>
    </row>
    <row r="20" spans="1:8" ht="12" customHeight="1">
      <c r="C20" s="660" t="s">
        <v>3268</v>
      </c>
      <c r="E20" s="690" t="str">
        <f>'Part II-Development Team'!H93</f>
        <v>3111 Paces Mill Road, STE A-250</v>
      </c>
    </row>
    <row r="21" spans="1:8" ht="12" customHeight="1">
      <c r="E21" s="690" t="str">
        <f>+'Part II-Development Team'!H94&amp;","&amp;" "&amp;'Part II-Development Team'!H95&amp;" "&amp;LEFT('Part II-Development Team'!J95,5)</f>
        <v xml:space="preserve">Atlanta, GA </v>
      </c>
    </row>
    <row r="22" spans="1:8" ht="12" customHeight="1">
      <c r="C22" s="660" t="s">
        <v>3263</v>
      </c>
      <c r="E22" s="699">
        <f>'Part II-Development Team'!H96</f>
        <v>7709842100</v>
      </c>
    </row>
    <row r="23" spans="1:8" ht="12" customHeight="1">
      <c r="C23" s="660" t="s">
        <v>3264</v>
      </c>
      <c r="E23" s="699" t="str">
        <f>'Part II-Development Team'!L96</f>
        <v>ppetersen@hallmarkco.com</v>
      </c>
    </row>
    <row r="24" spans="1:8" ht="12" customHeight="1">
      <c r="C24" s="660" t="s">
        <v>1866</v>
      </c>
      <c r="E24" s="699">
        <f>'Part II-Development Team'!O96</f>
        <v>0</v>
      </c>
    </row>
    <row r="25" spans="1:8" ht="3" customHeight="1">
      <c r="E25" s="690"/>
    </row>
    <row r="26" spans="1:8" ht="12" customHeight="1">
      <c r="A26" s="660">
        <v>5</v>
      </c>
      <c r="C26" s="660" t="s">
        <v>3269</v>
      </c>
      <c r="E26" s="690" t="str">
        <f>Overview!$H$7</f>
        <v>Acquisition/Rehabilitation</v>
      </c>
    </row>
    <row r="27" spans="1:8" ht="12" customHeight="1">
      <c r="E27" s="690" t="s">
        <v>1837</v>
      </c>
    </row>
    <row r="28" spans="1:8" ht="12" customHeight="1">
      <c r="C28" s="660" t="s">
        <v>3782</v>
      </c>
      <c r="E28" s="660" t="str">
        <f>Overview!$C$9</f>
        <v>&lt;&lt;Select&gt;&gt;</v>
      </c>
    </row>
    <row r="29" spans="1:8" ht="3" customHeight="1">
      <c r="H29" s="661"/>
    </row>
    <row r="30" spans="1:8" ht="12" customHeight="1">
      <c r="A30" s="660">
        <v>6</v>
      </c>
      <c r="C30" s="660" t="s">
        <v>3270</v>
      </c>
      <c r="E30" s="660" t="s">
        <v>2494</v>
      </c>
      <c r="F30" s="691">
        <f>'Part III-Sources of Funds'!L19</f>
        <v>1600000</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480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Hallmark Pines Manager, LLC</v>
      </c>
    </row>
    <row r="48" spans="1:7" ht="3" customHeight="1">
      <c r="E48" s="690"/>
    </row>
    <row r="49" spans="1:7" ht="12" customHeight="1">
      <c r="A49" s="660">
        <v>15</v>
      </c>
      <c r="C49" s="660" t="s">
        <v>3285</v>
      </c>
      <c r="E49" s="690" t="str">
        <f>'Part II-Development Team'!Q98</f>
        <v>Greg Clark</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3784</v>
      </c>
    </row>
    <row r="59" spans="1:7" ht="3" customHeight="1">
      <c r="F59" s="667"/>
    </row>
    <row r="60" spans="1:7" ht="12" customHeight="1">
      <c r="A60" s="660">
        <v>20</v>
      </c>
      <c r="C60" s="660" t="s">
        <v>3291</v>
      </c>
      <c r="F60" s="696">
        <f>'Part VII-Pro Forma'!$K$67</f>
        <v>1184535.8014703258</v>
      </c>
      <c r="G60" s="695">
        <v>300</v>
      </c>
    </row>
    <row r="61" spans="1:7" ht="3" customHeight="1"/>
    <row r="62" spans="1:7" ht="12" customHeight="1">
      <c r="A62" s="660">
        <v>21</v>
      </c>
      <c r="C62" s="660" t="s">
        <v>3802</v>
      </c>
      <c r="E62" s="662" t="s">
        <v>3785</v>
      </c>
      <c r="F62" s="869" t="s">
        <v>3786</v>
      </c>
      <c r="G62" s="662" t="s">
        <v>3292</v>
      </c>
    </row>
    <row r="63" spans="1:7" ht="12" customHeight="1">
      <c r="E63" s="662" t="s">
        <v>3785</v>
      </c>
      <c r="F63" s="869" t="s">
        <v>3786</v>
      </c>
      <c r="G63" s="662"/>
    </row>
    <row r="64" spans="1:7" ht="3" customHeight="1"/>
    <row r="65" spans="1:6" ht="12" customHeight="1">
      <c r="A65" s="660">
        <v>22</v>
      </c>
      <c r="C65" s="660" t="s">
        <v>3293</v>
      </c>
      <c r="E65" s="690" t="str">
        <f>Overview!H9</f>
        <v>Hallmark Pines,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202478</v>
      </c>
    </row>
    <row r="72" spans="1:6" ht="3" customHeight="1">
      <c r="F72" s="697"/>
    </row>
    <row r="73" spans="1:6" ht="12" customHeight="1">
      <c r="A73" s="660">
        <v>26</v>
      </c>
      <c r="C73" s="660" t="s">
        <v>3298</v>
      </c>
      <c r="F73" s="697">
        <f>'Part IV-Uses of Funds'!$G$122</f>
        <v>24500</v>
      </c>
    </row>
    <row r="74" spans="1:6" ht="3" customHeight="1">
      <c r="F74" s="697"/>
    </row>
    <row r="75" spans="1:6" ht="12" customHeight="1">
      <c r="A75" s="660">
        <v>27</v>
      </c>
      <c r="C75" s="660" t="s">
        <v>3299</v>
      </c>
      <c r="F75" s="698">
        <f>'Part IV-Uses of Funds'!$G$120</f>
        <v>77293</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3504</v>
      </c>
      <c r="B1" s="1999"/>
      <c r="C1" s="1999"/>
      <c r="D1" s="1999"/>
      <c r="E1" s="1999"/>
      <c r="F1" s="1999"/>
      <c r="G1" s="1999"/>
      <c r="H1" s="1999"/>
      <c r="I1" s="1999"/>
      <c r="J1" s="1999"/>
    </row>
    <row r="2" spans="1:10" ht="15">
      <c r="A2" s="1999" t="str">
        <f>Overview!E8&amp;"  "&amp;Overview!C8</f>
        <v>2016-079  The Pines Apartments</v>
      </c>
      <c r="B2" s="1999"/>
      <c r="C2" s="1999"/>
      <c r="D2" s="1999"/>
      <c r="E2" s="1999"/>
      <c r="F2" s="1999"/>
      <c r="G2" s="1999"/>
      <c r="H2" s="1999"/>
      <c r="I2" s="1999"/>
      <c r="J2" s="1999"/>
    </row>
    <row r="3" spans="1:10" ht="6" customHeight="1"/>
    <row r="4" spans="1:10" ht="12" customHeight="1">
      <c r="A4" s="1074" t="s">
        <v>3301</v>
      </c>
    </row>
    <row r="5" spans="1:10" ht="12" customHeight="1">
      <c r="A5" s="1028" t="s">
        <v>3302</v>
      </c>
      <c r="C5" s="1075" t="str">
        <f>'Subsidy Layering Memo'!D6</f>
        <v>(Underwriter)</v>
      </c>
      <c r="F5" s="2002" t="s">
        <v>3257</v>
      </c>
      <c r="G5" s="2002"/>
      <c r="H5" s="2002"/>
      <c r="I5" s="1075"/>
    </row>
    <row r="6" spans="1:10" ht="6" customHeight="1">
      <c r="C6" s="961"/>
      <c r="D6" s="1075"/>
      <c r="I6" s="1075"/>
    </row>
    <row r="7" spans="1:10" ht="12" customHeight="1">
      <c r="A7" s="1074" t="s">
        <v>3303</v>
      </c>
      <c r="C7" s="961"/>
      <c r="D7" s="1075"/>
      <c r="I7" s="1075"/>
    </row>
    <row r="8" spans="1:10" ht="12" customHeight="1">
      <c r="A8" s="1028" t="s">
        <v>3304</v>
      </c>
      <c r="C8" s="1075" t="str">
        <f>Overview!$H$9</f>
        <v>Hallmark Pines,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Martin H. Petersen</v>
      </c>
      <c r="G15" s="961"/>
      <c r="I15" s="1075"/>
    </row>
    <row r="16" spans="1:10" ht="12" customHeight="1">
      <c r="A16" s="1079" t="s">
        <v>2055</v>
      </c>
      <c r="C16" s="1078" t="str">
        <f>'Part II-Development Team'!$Q$6</f>
        <v>Manager</v>
      </c>
      <c r="G16" s="961"/>
      <c r="I16" s="1075"/>
    </row>
    <row r="17" spans="1:9" ht="3" customHeight="1">
      <c r="G17" s="961"/>
      <c r="H17" s="1075"/>
      <c r="I17" s="1075"/>
    </row>
    <row r="18" spans="1:9" ht="12" customHeight="1">
      <c r="A18" s="1028" t="s">
        <v>3308</v>
      </c>
      <c r="C18" s="1078" t="str">
        <f>'Preview term'!$E$7</f>
        <v>3111 Paces Mill Road, STE A-250</v>
      </c>
      <c r="G18" s="961"/>
      <c r="I18" s="1075"/>
    </row>
    <row r="19" spans="1:9" ht="12" customHeight="1">
      <c r="C19" s="1078" t="str">
        <f>'Preview term'!$E$8</f>
        <v>Atlanta, GA 30339</v>
      </c>
      <c r="G19" s="961"/>
      <c r="I19" s="1075"/>
    </row>
    <row r="20" spans="1:9" ht="3" customHeight="1">
      <c r="G20" s="961"/>
      <c r="H20" s="1075"/>
      <c r="I20" s="1075"/>
    </row>
    <row r="21" spans="1:9" ht="12" customHeight="1">
      <c r="A21" s="1028" t="s">
        <v>3309</v>
      </c>
      <c r="C21" s="1078" t="str">
        <f>'Preview term'!$E$49</f>
        <v>Greg Clark</v>
      </c>
      <c r="G21" s="961"/>
      <c r="I21" s="1075"/>
    </row>
    <row r="22" spans="1:9" ht="3" customHeight="1">
      <c r="C22" s="1078"/>
      <c r="G22" s="961"/>
      <c r="I22" s="1075"/>
    </row>
    <row r="23" spans="1:9" ht="12" customHeight="1">
      <c r="A23" s="1028" t="s">
        <v>3310</v>
      </c>
      <c r="C23" s="1078">
        <f>'Part II-Development Team'!$H$102</f>
        <v>2296718260</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The Pines Apartments</v>
      </c>
      <c r="I28" s="1075"/>
    </row>
    <row r="29" spans="1:9" ht="3" customHeight="1">
      <c r="C29" s="1078"/>
      <c r="I29" s="1075"/>
    </row>
    <row r="30" spans="1:9" ht="12" customHeight="1">
      <c r="A30" s="1028" t="s">
        <v>3314</v>
      </c>
      <c r="C30" s="1078" t="str">
        <f>'Preview term'!E16</f>
        <v>1119 Douglas Drive</v>
      </c>
      <c r="I30" s="1075"/>
    </row>
    <row r="31" spans="1:9">
      <c r="C31" s="1075" t="str">
        <f>'Preview term'!E17</f>
        <v>St. Marys, Camden 31558</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Playground, Equipped Computer Center (With free resident Wi-Fi), , </v>
      </c>
      <c r="D41" s="1990"/>
      <c r="E41" s="1990"/>
      <c r="F41" s="1990"/>
      <c r="G41" s="1990"/>
      <c r="H41" s="1990"/>
      <c r="I41" s="1990"/>
      <c r="J41" s="1990"/>
    </row>
    <row r="42" spans="1:10" ht="3" customHeight="1">
      <c r="G42" s="961"/>
      <c r="H42" s="961"/>
      <c r="I42" s="961"/>
    </row>
    <row r="43" spans="1:10" ht="25.5" customHeight="1">
      <c r="A43" s="1087" t="s">
        <v>3322</v>
      </c>
      <c r="C43" s="1991" t="s">
        <v>3787</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3323</v>
      </c>
      <c r="C45" s="871" t="str">
        <f>'Part I-Project Information'!$J$29</f>
        <v>Camden</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3328</v>
      </c>
      <c r="B54" s="1087"/>
      <c r="C54" s="1092" t="s">
        <v>3329</v>
      </c>
      <c r="D54" s="1092" t="s">
        <v>3788</v>
      </c>
      <c r="E54" s="1993"/>
      <c r="F54" s="1993"/>
      <c r="G54" s="1993"/>
      <c r="H54" s="1993"/>
      <c r="I54" s="1993"/>
      <c r="J54" s="1993"/>
    </row>
    <row r="55" spans="1:10" ht="12" customHeight="1">
      <c r="A55" s="1087"/>
      <c r="B55" s="1087"/>
      <c r="C55" s="1087"/>
      <c r="D55" s="1092" t="s">
        <v>3789</v>
      </c>
      <c r="E55" s="1994"/>
      <c r="F55" s="1994"/>
      <c r="G55" s="1994"/>
      <c r="H55" s="1994"/>
      <c r="I55" s="1994"/>
      <c r="J55" s="1994"/>
    </row>
    <row r="56" spans="1:10" ht="12" customHeight="1">
      <c r="A56" s="1074" t="s">
        <v>3330</v>
      </c>
      <c r="G56" s="961"/>
      <c r="H56" s="961"/>
      <c r="I56" s="961"/>
    </row>
    <row r="57" spans="1:10" ht="18" customHeight="1">
      <c r="A57" s="1028" t="s">
        <v>3331</v>
      </c>
      <c r="C57" s="1076" t="str">
        <f>Overview!C10</f>
        <v>Hallmark Pines Manager,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1600000</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3845</v>
      </c>
      <c r="D79" s="1100">
        <v>24</v>
      </c>
      <c r="I79" s="961"/>
    </row>
    <row r="80" spans="1:10" ht="3" customHeight="1">
      <c r="D80" s="1094"/>
      <c r="E80" s="961"/>
      <c r="F80" s="961"/>
      <c r="I80" s="961"/>
    </row>
    <row r="81" spans="1:9" ht="12" customHeight="1">
      <c r="A81" s="1028" t="s">
        <v>3347</v>
      </c>
      <c r="C81" s="1028" t="s">
        <v>2494</v>
      </c>
      <c r="D81" s="1101">
        <f>'Preview term'!F39</f>
        <v>480</v>
      </c>
      <c r="E81" s="961" t="s">
        <v>3794</v>
      </c>
      <c r="I81" s="961"/>
    </row>
    <row r="82" spans="1:9" ht="3" customHeight="1">
      <c r="D82" s="1094"/>
      <c r="G82" s="961"/>
      <c r="H82" s="961"/>
      <c r="I82" s="961"/>
    </row>
    <row r="83" spans="1:9" ht="12" customHeight="1">
      <c r="A83" s="1028" t="s">
        <v>3348</v>
      </c>
      <c r="D83" s="1102">
        <v>0</v>
      </c>
      <c r="E83" s="1103">
        <f>D83*12</f>
        <v>0</v>
      </c>
      <c r="F83" s="961" t="s">
        <v>3846</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1184535.8014703258</v>
      </c>
      <c r="D87" s="1105" t="s">
        <v>3790</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FHA Sec. 221(d)(4)/Wells Fargo</v>
      </c>
      <c r="I94" s="961"/>
    </row>
    <row r="95" spans="1:9" ht="12" customHeight="1">
      <c r="C95" s="1094"/>
      <c r="D95" s="961"/>
      <c r="E95" s="1094" t="s">
        <v>1863</v>
      </c>
      <c r="F95" s="1998"/>
      <c r="G95" s="1998"/>
      <c r="H95" s="1998"/>
      <c r="I95" s="961"/>
    </row>
    <row r="96" spans="1:9" ht="12" customHeight="1">
      <c r="C96" s="1094"/>
      <c r="D96" s="961"/>
      <c r="E96" s="1094" t="s">
        <v>2057</v>
      </c>
      <c r="F96" s="1997"/>
      <c r="G96" s="1997"/>
      <c r="H96" s="1997"/>
      <c r="I96" s="961"/>
    </row>
    <row r="97" spans="1:10" ht="12" customHeight="1">
      <c r="C97" s="1094"/>
      <c r="D97" s="961"/>
      <c r="E97" s="1094" t="s">
        <v>1866</v>
      </c>
      <c r="F97" s="1996"/>
      <c r="G97" s="1996"/>
      <c r="H97" s="1996"/>
      <c r="I97" s="961"/>
    </row>
    <row r="98" spans="1:10" ht="12" customHeight="1">
      <c r="B98" s="1079" t="s">
        <v>3359</v>
      </c>
      <c r="C98" s="1098" t="s">
        <v>3516</v>
      </c>
      <c r="D98" s="961" t="s">
        <v>3358</v>
      </c>
      <c r="E98" s="1094" t="str">
        <f>'Part III-Sources of Funds'!E37</f>
        <v>FHA Sec. 221(d)(4)/Wells Fargo</v>
      </c>
      <c r="I98" s="961"/>
    </row>
    <row r="99" spans="1:10" ht="12" customHeight="1">
      <c r="C99" s="1094"/>
      <c r="D99" s="961"/>
      <c r="E99" s="1094" t="s">
        <v>1863</v>
      </c>
      <c r="F99" s="1998"/>
      <c r="G99" s="1998"/>
      <c r="H99" s="1998"/>
      <c r="I99" s="961"/>
    </row>
    <row r="100" spans="1:10" ht="12" customHeight="1">
      <c r="C100" s="1094"/>
      <c r="D100" s="961"/>
      <c r="E100" s="1094" t="s">
        <v>2057</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3791</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1"/>
      <c r="E108" s="1991"/>
      <c r="F108" s="1991"/>
      <c r="G108" s="1991"/>
      <c r="H108" s="1991"/>
      <c r="I108" s="1991"/>
      <c r="J108" s="1991"/>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3793</v>
      </c>
      <c r="I115" s="961"/>
    </row>
    <row r="116" spans="1:9" ht="12" customHeight="1">
      <c r="C116" s="1076" t="s">
        <v>3792</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Hallmark Development Services, LLC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625891.5</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Hallmark Management, Inc.</v>
      </c>
      <c r="G139" s="961"/>
      <c r="I139" s="961"/>
      <c r="J139" s="1114"/>
    </row>
    <row r="140" spans="1:10" ht="3" customHeight="1">
      <c r="C140" s="1076"/>
      <c r="G140" s="961"/>
      <c r="I140" s="961"/>
    </row>
    <row r="141" spans="1:10" ht="12" customHeight="1">
      <c r="A141" s="1028" t="s">
        <v>3382</v>
      </c>
      <c r="C141" s="1078" t="str">
        <f>C8</f>
        <v>Hallmark Pines, LP</v>
      </c>
      <c r="G141" s="961"/>
      <c r="I141" s="1075"/>
      <c r="J141" s="1115"/>
    </row>
    <row r="142" spans="1:10" ht="3" customHeight="1">
      <c r="C142" s="1078"/>
      <c r="G142" s="961"/>
      <c r="I142" s="1075"/>
      <c r="J142" s="1115"/>
    </row>
    <row r="143" spans="1:10" ht="12" customHeight="1">
      <c r="A143" s="1028" t="s">
        <v>3383</v>
      </c>
      <c r="C143" s="1078" t="str">
        <f>C132</f>
        <v>Hallmark Development Services, LLC</v>
      </c>
      <c r="G143" s="961"/>
      <c r="I143" s="1075"/>
      <c r="J143" s="1115"/>
    </row>
    <row r="144" spans="1:10">
      <c r="C144" s="1078" t="str">
        <f>'Part II-Development Team'!$H$55&amp;", "&amp;'Part II-Development Team'!$H$56&amp;", "&amp;'Part II-Development Team'!$H$57&amp;"  "&amp;'Part II-Development Team'!$J$57</f>
        <v xml:space="preserve">3111 Paces Mill Road, STE A-250, Atlanta, GA  </v>
      </c>
      <c r="G144" s="961"/>
      <c r="I144" s="1075"/>
      <c r="J144" s="1115"/>
    </row>
    <row r="145" spans="1:10" ht="3" customHeight="1">
      <c r="C145" s="1116"/>
      <c r="G145" s="961"/>
      <c r="I145" s="1075"/>
      <c r="J145" s="1115"/>
    </row>
    <row r="146" spans="1:10" ht="12" customHeight="1">
      <c r="A146" s="1028" t="s">
        <v>3384</v>
      </c>
      <c r="C146" s="1078" t="str">
        <f>Overview!H10</f>
        <v>Community Affordable Housing Equity Corporation</v>
      </c>
      <c r="G146" s="961"/>
      <c r="I146" s="1075"/>
      <c r="J146" s="1114"/>
    </row>
    <row r="147" spans="1:10" ht="3" customHeight="1">
      <c r="C147" s="1078"/>
      <c r="G147" s="961"/>
      <c r="I147" s="1075"/>
      <c r="J147" s="1115"/>
    </row>
    <row r="148" spans="1:10" ht="12" customHeight="1">
      <c r="A148" s="1028" t="s">
        <v>3385</v>
      </c>
      <c r="C148" s="1078" t="str">
        <f>Overview!K10</f>
        <v>Sugar Creek Capital</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3795</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3847</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3796</v>
      </c>
      <c r="I166" s="961"/>
    </row>
    <row r="167" spans="1:13" ht="3" customHeight="1">
      <c r="E167" s="961"/>
      <c r="G167" s="961"/>
      <c r="I167" s="961"/>
    </row>
    <row r="168" spans="1:13" ht="12" customHeight="1">
      <c r="A168" s="1028" t="s">
        <v>3394</v>
      </c>
      <c r="C168" s="1028" t="s">
        <v>3395</v>
      </c>
      <c r="E168" s="1118">
        <f>'Preview term'!F71</f>
        <v>202478</v>
      </c>
      <c r="G168" s="961"/>
      <c r="I168" s="961"/>
    </row>
    <row r="169" spans="1:13" ht="12" customHeight="1">
      <c r="C169" s="1028" t="s">
        <v>3796</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24500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3797</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2000"/>
      <c r="G181" s="2000"/>
      <c r="H181" s="2000"/>
      <c r="I181" s="2000"/>
      <c r="J181" s="2000"/>
    </row>
    <row r="182" spans="1:10" ht="12" customHeight="1">
      <c r="C182" s="1028" t="s">
        <v>3798</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77293</v>
      </c>
      <c r="G185" s="961"/>
      <c r="I185" s="961"/>
    </row>
    <row r="186" spans="1:10" ht="12" customHeight="1">
      <c r="C186" s="1028" t="s">
        <v>3796</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3796</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3800</v>
      </c>
      <c r="B199" s="1087"/>
      <c r="C199" s="1087"/>
      <c r="D199" s="1087"/>
      <c r="E199" s="1092" t="s">
        <v>3799</v>
      </c>
      <c r="F199" s="1995"/>
      <c r="G199" s="1995"/>
      <c r="H199" s="1995"/>
      <c r="I199" s="1995"/>
      <c r="J199" s="1995"/>
    </row>
    <row r="200" spans="1:10" ht="9" customHeight="1">
      <c r="G200" s="961"/>
      <c r="H200" s="961"/>
      <c r="I200" s="961"/>
    </row>
    <row r="201" spans="1:10" ht="12" customHeight="1">
      <c r="A201" s="1120" t="s">
        <v>3505</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88" t="s">
        <v>3100</v>
      </c>
      <c r="B206" s="1988"/>
      <c r="C206" s="1988"/>
      <c r="D206" s="1988"/>
      <c r="E206" s="1988"/>
      <c r="F206" s="1988"/>
      <c r="G206" s="1988"/>
      <c r="H206" s="1988"/>
      <c r="I206" s="1988"/>
      <c r="J206" s="1988"/>
    </row>
    <row r="207" spans="1:10">
      <c r="A207" s="961" t="s">
        <v>3101</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The Pines Apartments</v>
      </c>
    </row>
    <row r="2" spans="1:11">
      <c r="A2" s="961" t="s">
        <v>3411</v>
      </c>
    </row>
    <row r="3" spans="1:11" ht="3" customHeight="1"/>
    <row r="4" spans="1:11" ht="51.75" customHeight="1">
      <c r="A4" s="1989" t="s">
        <v>3522</v>
      </c>
      <c r="B4" s="1989"/>
      <c r="C4" s="1989"/>
      <c r="D4" s="1989"/>
      <c r="E4" s="1989"/>
      <c r="F4" s="1989"/>
      <c r="G4" s="1989"/>
      <c r="H4" s="1989"/>
      <c r="J4" s="1121">
        <f>SUM('Part VII-Pro Forma'!B14:B16)/12</f>
        <v>39435.199200000003</v>
      </c>
      <c r="K4" s="1028" t="s">
        <v>3848</v>
      </c>
    </row>
    <row r="5" spans="1:11" ht="1.5" customHeight="1">
      <c r="C5" s="1122"/>
      <c r="D5" s="1122"/>
      <c r="E5" s="1122"/>
      <c r="F5" s="1122"/>
      <c r="G5" s="1122"/>
      <c r="H5" s="1122"/>
    </row>
    <row r="6" spans="1:11" ht="12.75" customHeight="1">
      <c r="B6" s="1123" t="s">
        <v>2520</v>
      </c>
      <c r="C6" s="1989" t="s">
        <v>3412</v>
      </c>
      <c r="D6" s="1989"/>
      <c r="E6" s="1989"/>
      <c r="F6" s="1989"/>
      <c r="G6" s="1989"/>
      <c r="H6" s="1989"/>
    </row>
    <row r="7" spans="1:11" ht="12.75" customHeight="1">
      <c r="B7" s="1123" t="s">
        <v>2521</v>
      </c>
      <c r="C7" s="1989" t="s">
        <v>3413</v>
      </c>
      <c r="D7" s="1989"/>
      <c r="E7" s="1989"/>
      <c r="F7" s="1989"/>
      <c r="G7" s="1989"/>
      <c r="H7" s="1989"/>
    </row>
    <row r="8" spans="1:11" ht="3" customHeight="1"/>
    <row r="9" spans="1:11">
      <c r="A9" s="1028" t="s">
        <v>3414</v>
      </c>
    </row>
    <row r="10" spans="1:11" ht="1.5" customHeight="1"/>
    <row r="11" spans="1:11" ht="26.25" customHeight="1">
      <c r="A11" s="1124" t="s">
        <v>2058</v>
      </c>
      <c r="B11" s="2008" t="s">
        <v>3519</v>
      </c>
      <c r="C11" s="2008"/>
      <c r="D11" s="2008"/>
      <c r="E11" s="2008"/>
      <c r="F11" s="2008"/>
      <c r="G11" s="2005">
        <f>'Part III-Sources of Funds'!I45+'Part III-Sources of Funds'!I46</f>
        <v>8013329</v>
      </c>
      <c r="H11" s="2005"/>
    </row>
    <row r="12" spans="1:11" ht="1.5" customHeight="1">
      <c r="G12" s="1087"/>
      <c r="H12" s="1087"/>
    </row>
    <row r="13" spans="1:11" ht="26.25" customHeight="1">
      <c r="A13" s="1124" t="s">
        <v>2061</v>
      </c>
      <c r="B13" s="2008" t="s">
        <v>3520</v>
      </c>
      <c r="C13" s="2008"/>
      <c r="D13" s="2008"/>
      <c r="E13" s="2008"/>
      <c r="F13" s="2008"/>
      <c r="G13" s="2007" t="s">
        <v>3338</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3524</v>
      </c>
      <c r="F16" s="1115"/>
      <c r="G16" s="2006" t="s">
        <v>3156</v>
      </c>
      <c r="H16" s="2006"/>
    </row>
    <row r="17" spans="1:8" ht="1.5" customHeight="1">
      <c r="G17" s="1094"/>
    </row>
    <row r="18" spans="1:8" ht="12" customHeight="1">
      <c r="A18" s="1124" t="s">
        <v>2193</v>
      </c>
      <c r="B18" s="1087" t="s">
        <v>3521</v>
      </c>
      <c r="C18" s="1124"/>
      <c r="D18" s="1124"/>
      <c r="E18" s="1124"/>
      <c r="G18" s="1990" t="s">
        <v>2947</v>
      </c>
      <c r="H18" s="1990"/>
    </row>
    <row r="19" spans="1:8" ht="12" customHeight="1">
      <c r="B19" s="1990"/>
      <c r="C19" s="1990"/>
      <c r="D19" s="1990"/>
      <c r="E19" s="1990"/>
      <c r="F19" s="1990"/>
      <c r="G19" s="1990"/>
      <c r="H19" s="1990"/>
    </row>
    <row r="20" spans="1:8" ht="13.5" customHeight="1"/>
    <row r="21" spans="1:8" ht="12" customHeight="1">
      <c r="A21" s="961" t="s">
        <v>3415</v>
      </c>
    </row>
    <row r="22" spans="1:8" ht="3" customHeight="1"/>
    <row r="23" spans="1:8" ht="26.25" customHeight="1">
      <c r="A23" s="2003" t="s">
        <v>3523</v>
      </c>
      <c r="B23" s="2003"/>
      <c r="C23" s="2003"/>
      <c r="D23" s="2003"/>
      <c r="E23" s="2003"/>
      <c r="F23" s="2003"/>
      <c r="G23" s="2003"/>
      <c r="H23" s="2003"/>
    </row>
    <row r="24" spans="1:8" ht="26.25" customHeight="1">
      <c r="A24" s="2004" t="s">
        <v>3416</v>
      </c>
      <c r="B24" s="2004"/>
      <c r="C24" s="2004"/>
      <c r="D24" s="2004"/>
      <c r="E24" s="2004"/>
      <c r="F24" s="2004"/>
      <c r="G24" s="2004"/>
      <c r="H24" s="2004"/>
    </row>
    <row r="25" spans="1:8" ht="9" customHeight="1">
      <c r="A25" s="1054"/>
    </row>
    <row r="26" spans="1:8">
      <c r="A26" s="1094" t="s">
        <v>3525</v>
      </c>
      <c r="B26" s="1125"/>
      <c r="C26" s="1094" t="s">
        <v>3526</v>
      </c>
      <c r="D26" s="1126" t="s">
        <v>3807</v>
      </c>
    </row>
    <row r="27" spans="1:8" ht="6" customHeight="1"/>
    <row r="28" spans="1:8" ht="12.75" customHeight="1">
      <c r="C28" s="1087" t="s">
        <v>3417</v>
      </c>
      <c r="D28" s="1127" t="s">
        <v>2062</v>
      </c>
      <c r="E28" s="1128"/>
      <c r="F28" s="1989" t="s">
        <v>3418</v>
      </c>
      <c r="G28" s="1989"/>
      <c r="H28" s="1989"/>
    </row>
    <row r="29" spans="1:8" ht="12.75" customHeight="1">
      <c r="C29" s="1129" t="s">
        <v>1403</v>
      </c>
      <c r="D29" s="1127" t="s">
        <v>2064</v>
      </c>
      <c r="E29" s="1989" t="s">
        <v>3530</v>
      </c>
      <c r="F29" s="1989"/>
      <c r="G29" s="1989"/>
      <c r="H29" s="1989"/>
    </row>
    <row r="30" spans="1:8" ht="12.75" customHeight="1">
      <c r="E30" s="1989" t="s">
        <v>3803</v>
      </c>
      <c r="F30" s="1989"/>
      <c r="G30" s="1989"/>
      <c r="H30" s="1989"/>
    </row>
    <row r="31" spans="1:8" ht="12.75" customHeight="1">
      <c r="D31" s="1130" t="s">
        <v>3529</v>
      </c>
      <c r="E31" s="1989" t="s">
        <v>3804</v>
      </c>
      <c r="F31" s="1989"/>
      <c r="G31" s="1989"/>
      <c r="H31" s="1989"/>
    </row>
    <row r="32" spans="1:8" ht="3" customHeight="1">
      <c r="D32" s="1127"/>
      <c r="E32" s="1131"/>
      <c r="F32" s="1131"/>
      <c r="G32" s="1131"/>
      <c r="H32" s="1131"/>
    </row>
    <row r="33" spans="1:11">
      <c r="A33" s="1094" t="s">
        <v>3525</v>
      </c>
      <c r="B33" s="1125"/>
      <c r="C33" s="1094" t="s">
        <v>3527</v>
      </c>
      <c r="D33" s="1126" t="s">
        <v>3808</v>
      </c>
    </row>
    <row r="34" spans="1:11" ht="4.5" customHeight="1"/>
    <row r="35" spans="1:11" ht="12.75" customHeight="1">
      <c r="C35" s="1087" t="s">
        <v>3417</v>
      </c>
      <c r="D35" s="1127" t="s">
        <v>2062</v>
      </c>
      <c r="E35" s="1128"/>
      <c r="F35" s="1989" t="s">
        <v>3418</v>
      </c>
      <c r="G35" s="1989"/>
      <c r="H35" s="1989"/>
    </row>
    <row r="36" spans="1:11" ht="12.75" customHeight="1">
      <c r="C36" s="1129" t="s">
        <v>1403</v>
      </c>
      <c r="D36" s="1127" t="s">
        <v>2064</v>
      </c>
      <c r="E36" s="1989" t="s">
        <v>3531</v>
      </c>
      <c r="F36" s="1989"/>
      <c r="G36" s="1989"/>
      <c r="H36" s="1989"/>
    </row>
    <row r="37" spans="1:11" ht="12.75" customHeight="1">
      <c r="E37" s="1989" t="s">
        <v>3803</v>
      </c>
      <c r="F37" s="1989"/>
      <c r="G37" s="1989"/>
      <c r="H37" s="1989"/>
    </row>
    <row r="38" spans="1:11" ht="12.75" customHeight="1">
      <c r="D38" s="1130" t="s">
        <v>3529</v>
      </c>
      <c r="E38" s="1989" t="s">
        <v>3804</v>
      </c>
      <c r="F38" s="1989"/>
      <c r="G38" s="1989"/>
      <c r="H38" s="1989"/>
    </row>
    <row r="39" spans="1:11" ht="3" customHeight="1">
      <c r="D39" s="1127"/>
      <c r="E39" s="1131"/>
      <c r="F39" s="1131"/>
      <c r="G39" s="1131"/>
      <c r="H39" s="1131"/>
    </row>
    <row r="40" spans="1:11">
      <c r="A40" s="1094" t="s">
        <v>3525</v>
      </c>
      <c r="B40" s="1125"/>
      <c r="C40" s="1094" t="s">
        <v>3528</v>
      </c>
      <c r="D40" s="1126" t="s">
        <v>3809</v>
      </c>
    </row>
    <row r="41" spans="1:11" ht="4.5" customHeight="1"/>
    <row r="42" spans="1:11" ht="12.75" customHeight="1">
      <c r="C42" s="1087" t="s">
        <v>3417</v>
      </c>
      <c r="D42" s="1127" t="s">
        <v>2062</v>
      </c>
      <c r="E42" s="1128"/>
      <c r="F42" s="1989" t="s">
        <v>3418</v>
      </c>
      <c r="G42" s="1989"/>
      <c r="H42" s="1989"/>
      <c r="K42" s="1028" t="s">
        <v>254</v>
      </c>
    </row>
    <row r="43" spans="1:11" ht="12.75" customHeight="1">
      <c r="C43" s="1129" t="s">
        <v>1403</v>
      </c>
      <c r="D43" s="1127" t="s">
        <v>2064</v>
      </c>
      <c r="E43" s="1989" t="s">
        <v>3531</v>
      </c>
      <c r="F43" s="1989"/>
      <c r="G43" s="1989"/>
      <c r="H43" s="1989"/>
    </row>
    <row r="44" spans="1:11" ht="12.75" customHeight="1">
      <c r="E44" s="1989" t="s">
        <v>3803</v>
      </c>
      <c r="F44" s="1989"/>
      <c r="G44" s="1989"/>
      <c r="H44" s="1989"/>
    </row>
    <row r="45" spans="1:11" ht="12.75" customHeight="1">
      <c r="D45" s="1130" t="s">
        <v>3529</v>
      </c>
      <c r="E45" s="1989" t="s">
        <v>3804</v>
      </c>
      <c r="F45" s="1989"/>
      <c r="G45" s="1989"/>
      <c r="H45" s="1989"/>
    </row>
    <row r="46" spans="1:11" ht="9" customHeight="1"/>
    <row r="47" spans="1:11" ht="7.5" customHeight="1">
      <c r="E47" s="1989"/>
      <c r="F47" s="1989"/>
      <c r="G47" s="1989"/>
      <c r="H47" s="1989"/>
    </row>
    <row r="48" spans="1:11">
      <c r="A48" s="1054" t="s">
        <v>3419</v>
      </c>
      <c r="E48" s="1131"/>
      <c r="F48" s="1131"/>
      <c r="G48" s="1131"/>
      <c r="H48" s="1131"/>
    </row>
    <row r="49" spans="1:11" ht="9" customHeight="1"/>
    <row r="50" spans="1:11" ht="26.25" customHeight="1">
      <c r="A50" s="2003" t="s">
        <v>3805</v>
      </c>
      <c r="B50" s="2003"/>
      <c r="C50" s="2003"/>
      <c r="D50" s="2003"/>
      <c r="E50" s="2003"/>
      <c r="F50" s="2003"/>
      <c r="G50" s="2003"/>
      <c r="H50" s="2003"/>
    </row>
    <row r="51" spans="1:11" ht="9" customHeight="1">
      <c r="A51" s="1054"/>
    </row>
    <row r="52" spans="1:11">
      <c r="A52" s="1094" t="s">
        <v>3525</v>
      </c>
      <c r="B52" s="1125"/>
      <c r="C52" s="1094" t="s">
        <v>3526</v>
      </c>
      <c r="D52" s="1126" t="s">
        <v>3806</v>
      </c>
    </row>
    <row r="53" spans="1:11" ht="4.5" customHeight="1"/>
    <row r="54" spans="1:11" ht="12.75" customHeight="1">
      <c r="C54" s="1087" t="s">
        <v>3417</v>
      </c>
      <c r="D54" s="1127" t="s">
        <v>2062</v>
      </c>
      <c r="E54" s="1128"/>
      <c r="F54" s="1989" t="s">
        <v>3418</v>
      </c>
      <c r="G54" s="1989"/>
      <c r="H54" s="1989"/>
    </row>
    <row r="55" spans="1:11" ht="12.75" customHeight="1">
      <c r="C55" s="1129" t="s">
        <v>1403</v>
      </c>
      <c r="D55" s="1127" t="s">
        <v>2064</v>
      </c>
      <c r="E55" s="1989" t="s">
        <v>3812</v>
      </c>
      <c r="F55" s="1989"/>
      <c r="G55" s="1989"/>
      <c r="H55" s="1989"/>
    </row>
    <row r="56" spans="1:11" ht="3" customHeight="1">
      <c r="D56" s="1127"/>
      <c r="E56" s="1131"/>
      <c r="F56" s="1131"/>
      <c r="G56" s="1131"/>
      <c r="H56" s="1131"/>
    </row>
    <row r="57" spans="1:11">
      <c r="A57" s="1094" t="s">
        <v>3525</v>
      </c>
      <c r="B57" s="1125"/>
      <c r="C57" s="1094" t="s">
        <v>3527</v>
      </c>
      <c r="D57" s="1126" t="s">
        <v>3810</v>
      </c>
    </row>
    <row r="58" spans="1:11" ht="4.5" customHeight="1"/>
    <row r="59" spans="1:11">
      <c r="C59" s="1087" t="s">
        <v>3417</v>
      </c>
      <c r="D59" s="1127" t="s">
        <v>2062</v>
      </c>
      <c r="E59" s="1128"/>
      <c r="F59" s="1989" t="s">
        <v>3418</v>
      </c>
      <c r="G59" s="1989"/>
      <c r="H59" s="1989"/>
    </row>
    <row r="60" spans="1:11" ht="12.75" customHeight="1">
      <c r="C60" s="1129" t="s">
        <v>1403</v>
      </c>
      <c r="D60" s="1127" t="s">
        <v>2064</v>
      </c>
      <c r="E60" s="1989" t="s">
        <v>3812</v>
      </c>
      <c r="F60" s="1989"/>
      <c r="G60" s="1989"/>
      <c r="H60" s="1989"/>
    </row>
    <row r="61" spans="1:11" ht="3" customHeight="1">
      <c r="D61" s="1127"/>
      <c r="E61" s="1131"/>
      <c r="F61" s="1131"/>
      <c r="G61" s="1131"/>
      <c r="H61" s="1131"/>
    </row>
    <row r="62" spans="1:11">
      <c r="A62" s="1094" t="s">
        <v>3525</v>
      </c>
      <c r="B62" s="1125"/>
      <c r="C62" s="1094" t="s">
        <v>3528</v>
      </c>
      <c r="D62" s="1126" t="s">
        <v>3811</v>
      </c>
    </row>
    <row r="63" spans="1:11" ht="4.5" customHeight="1"/>
    <row r="64" spans="1:11">
      <c r="C64" s="1087" t="s">
        <v>3417</v>
      </c>
      <c r="D64" s="1127" t="s">
        <v>2062</v>
      </c>
      <c r="E64" s="1128"/>
      <c r="F64" s="1989" t="s">
        <v>3418</v>
      </c>
      <c r="G64" s="1989"/>
      <c r="H64" s="1989"/>
      <c r="K64" s="1028" t="s">
        <v>254</v>
      </c>
    </row>
    <row r="65" spans="3:8" ht="12.75" customHeight="1">
      <c r="C65" s="1129" t="s">
        <v>1403</v>
      </c>
      <c r="D65" s="1127" t="s">
        <v>2064</v>
      </c>
      <c r="E65" s="1989" t="s">
        <v>3812</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3420</v>
      </c>
      <c r="C1" s="2010"/>
      <c r="D1" s="2010"/>
      <c r="E1" s="2010"/>
      <c r="F1" s="2010"/>
      <c r="G1" s="2010"/>
      <c r="H1" s="2010"/>
      <c r="I1" s="2011"/>
    </row>
    <row r="2" spans="2:13">
      <c r="B2" s="2012" t="s">
        <v>3421</v>
      </c>
      <c r="C2" s="2013"/>
      <c r="D2" s="2013"/>
      <c r="E2" s="2013" t="s">
        <v>3422</v>
      </c>
      <c r="F2" s="2013"/>
      <c r="G2" s="2013"/>
      <c r="H2" s="2013" t="s">
        <v>641</v>
      </c>
      <c r="I2" s="2014"/>
      <c r="J2" s="662" t="s">
        <v>3257</v>
      </c>
      <c r="K2" s="662"/>
      <c r="L2" s="663"/>
      <c r="M2" s="663"/>
    </row>
    <row r="3" spans="2:13">
      <c r="B3" s="2015" t="str">
        <f>'Closing term sheet'!C8</f>
        <v>Hallmark Pines, LP</v>
      </c>
      <c r="C3" s="2016"/>
      <c r="D3" s="2017"/>
      <c r="E3" s="2018"/>
      <c r="F3" s="2019"/>
      <c r="G3" s="2020"/>
      <c r="H3" s="2021" t="str">
        <f>'Preview term'!E15</f>
        <v>The Pines Apartments</v>
      </c>
      <c r="I3" s="2022"/>
      <c r="K3" s="660"/>
    </row>
    <row r="4" spans="2:13" ht="15" customHeight="1">
      <c r="D4" s="872"/>
      <c r="E4" s="872"/>
      <c r="F4" s="872"/>
      <c r="G4" s="872"/>
      <c r="H4" s="872"/>
      <c r="I4" s="872"/>
      <c r="K4" s="660"/>
    </row>
    <row r="5" spans="2:13">
      <c r="B5" s="2026" t="s">
        <v>3423</v>
      </c>
      <c r="C5" s="2027"/>
      <c r="D5" s="664"/>
      <c r="H5" s="2037">
        <f>'Preview term'!E9</f>
        <v>0</v>
      </c>
      <c r="I5" s="2038"/>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8" t="str">
        <f>'Closing term sheet'!C30</f>
        <v>1119 Douglas Drive</v>
      </c>
      <c r="G28" s="2029"/>
      <c r="H28" s="2029"/>
      <c r="I28" s="2030"/>
    </row>
    <row r="29" spans="2:9">
      <c r="B29" s="733" t="s">
        <v>3441</v>
      </c>
      <c r="D29" s="670" t="s">
        <v>3442</v>
      </c>
      <c r="E29" s="664"/>
      <c r="F29" s="2028"/>
      <c r="G29" s="2029"/>
      <c r="H29" s="2029"/>
      <c r="I29" s="2030"/>
    </row>
    <row r="30" spans="2:9">
      <c r="B30" s="733" t="s">
        <v>3443</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St. Marys</v>
      </c>
      <c r="D32" s="2032"/>
      <c r="E32" s="669" t="s">
        <v>1865</v>
      </c>
      <c r="F32" s="707" t="s">
        <v>880</v>
      </c>
      <c r="G32" s="669" t="s">
        <v>3444</v>
      </c>
      <c r="H32" s="711">
        <f>'Part I-Project Information'!J28</f>
        <v>315584631</v>
      </c>
      <c r="I32" s="717"/>
    </row>
    <row r="33" spans="2:9">
      <c r="B33" s="731" t="s">
        <v>643</v>
      </c>
      <c r="C33" s="2031" t="str">
        <f>'Part I-Project Information'!J29</f>
        <v>Camden</v>
      </c>
      <c r="D33" s="2032"/>
      <c r="E33" s="664"/>
      <c r="F33" s="664"/>
      <c r="G33" s="664"/>
      <c r="H33" s="664"/>
      <c r="I33" s="717"/>
    </row>
    <row r="34" spans="2:9">
      <c r="B34" s="732" t="s">
        <v>3445</v>
      </c>
      <c r="C34" s="2033" t="e">
        <f>'Subsidy Layering WS'!D12</f>
        <v>#REF!</v>
      </c>
      <c r="D34" s="2034"/>
      <c r="E34" s="664"/>
      <c r="F34" s="666" t="s">
        <v>3446</v>
      </c>
      <c r="G34" s="664"/>
      <c r="H34" s="664"/>
      <c r="I34" s="717"/>
    </row>
    <row r="35" spans="2:9">
      <c r="B35" s="732" t="s">
        <v>3801</v>
      </c>
      <c r="C35" s="2035">
        <f>'Closing term sheet'!D64</f>
        <v>1600000</v>
      </c>
      <c r="D35" s="2036"/>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3450</v>
      </c>
      <c r="C40" s="2024"/>
      <c r="D40" s="2024"/>
      <c r="E40" s="2024"/>
      <c r="F40" s="2024"/>
      <c r="G40" s="2024"/>
      <c r="H40" s="2024"/>
      <c r="I40" s="2025"/>
    </row>
    <row r="41" spans="2:9" ht="7.5" customHeight="1">
      <c r="B41" s="2039"/>
      <c r="C41" s="2040"/>
      <c r="D41" s="2040"/>
      <c r="E41" s="664"/>
      <c r="F41" s="664"/>
      <c r="G41" s="726"/>
      <c r="H41" s="664"/>
      <c r="I41" s="717"/>
    </row>
    <row r="42" spans="2:9">
      <c r="B42" s="727" t="s">
        <v>3452</v>
      </c>
      <c r="C42" s="664"/>
      <c r="D42" s="712">
        <v>4</v>
      </c>
      <c r="F42" s="664"/>
      <c r="G42" s="2041" t="s">
        <v>3451</v>
      </c>
      <c r="H42" s="2041"/>
      <c r="I42" s="2042"/>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3463</v>
      </c>
      <c r="C60" s="2024"/>
      <c r="D60" s="2024"/>
      <c r="E60" s="2024"/>
      <c r="F60" s="2024"/>
      <c r="G60" s="2024"/>
      <c r="H60" s="2024"/>
      <c r="I60" s="2025"/>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3">
        <f>'Closing term sheet'!D64</f>
        <v>1600000</v>
      </c>
      <c r="G63" s="2043"/>
      <c r="H63" s="664"/>
      <c r="I63" s="717"/>
    </row>
    <row r="64" spans="2:9">
      <c r="B64" s="716"/>
      <c r="C64" s="661" t="s">
        <v>3466</v>
      </c>
      <c r="D64" s="664"/>
      <c r="E64" s="664"/>
      <c r="F64" s="2044">
        <f>'Part III-Sources of Funds'!I43+'Part III-Sources of Funds'!I44</f>
        <v>0</v>
      </c>
      <c r="G64" s="2044"/>
      <c r="H64" s="664"/>
      <c r="I64" s="717"/>
    </row>
    <row r="65" spans="2:9">
      <c r="B65" s="716"/>
      <c r="C65" s="661" t="s">
        <v>3467</v>
      </c>
      <c r="D65" s="664"/>
      <c r="E65" s="664"/>
      <c r="F65" s="2045"/>
      <c r="G65" s="2045"/>
      <c r="H65" s="664"/>
      <c r="I65" s="717"/>
    </row>
    <row r="66" spans="2:9">
      <c r="B66" s="716"/>
      <c r="C66" s="670" t="s">
        <v>3468</v>
      </c>
      <c r="D66" s="664"/>
      <c r="E66" s="664"/>
      <c r="F66" s="2044">
        <v>11000</v>
      </c>
      <c r="G66" s="2044"/>
      <c r="H66" s="664"/>
      <c r="I66" s="717"/>
    </row>
    <row r="67" spans="2:9">
      <c r="B67" s="716"/>
      <c r="C67" s="661" t="s">
        <v>3469</v>
      </c>
      <c r="D67" s="664"/>
      <c r="E67" s="664"/>
      <c r="F67" s="2046"/>
      <c r="G67" s="2046"/>
      <c r="H67" s="664"/>
      <c r="I67" s="717"/>
    </row>
    <row r="68" spans="2:9">
      <c r="B68" s="716"/>
      <c r="C68" s="666" t="s">
        <v>3470</v>
      </c>
      <c r="D68" s="664"/>
      <c r="E68" s="664"/>
      <c r="F68" s="2047">
        <f>SUM(F63:G67)</f>
        <v>1611000</v>
      </c>
      <c r="G68" s="2047"/>
      <c r="H68" s="664"/>
      <c r="I68" s="717"/>
    </row>
    <row r="69" spans="2:9">
      <c r="B69" s="716"/>
      <c r="C69" s="664"/>
      <c r="D69" s="664"/>
      <c r="E69" s="664"/>
      <c r="F69" s="2048"/>
      <c r="G69" s="2048"/>
      <c r="H69" s="664"/>
      <c r="I69" s="717"/>
    </row>
    <row r="70" spans="2:9">
      <c r="B70" s="718" t="s">
        <v>3471</v>
      </c>
      <c r="C70" s="664"/>
      <c r="D70" s="664"/>
      <c r="E70" s="664"/>
      <c r="F70" s="664"/>
      <c r="G70" s="664"/>
      <c r="H70" s="664"/>
      <c r="I70" s="717"/>
    </row>
    <row r="71" spans="2:9">
      <c r="B71" s="716"/>
      <c r="C71" s="661" t="s">
        <v>3472</v>
      </c>
      <c r="D71" s="664"/>
      <c r="E71" s="664"/>
      <c r="F71" s="2043"/>
      <c r="G71" s="2043"/>
      <c r="H71" s="664"/>
      <c r="I71" s="717"/>
    </row>
    <row r="72" spans="2:9">
      <c r="B72" s="716"/>
      <c r="C72" s="661" t="s">
        <v>3473</v>
      </c>
      <c r="D72" s="664"/>
      <c r="E72" s="664"/>
      <c r="F72" s="2050"/>
      <c r="G72" s="2050"/>
      <c r="H72" s="664"/>
      <c r="I72" s="717"/>
    </row>
    <row r="73" spans="2:9">
      <c r="B73" s="716"/>
      <c r="C73" s="661" t="s">
        <v>3474</v>
      </c>
      <c r="D73" s="664"/>
      <c r="E73" s="664"/>
      <c r="F73" s="2051" t="s">
        <v>3338</v>
      </c>
      <c r="G73" s="2049"/>
      <c r="H73" s="664"/>
      <c r="I73" s="717"/>
    </row>
    <row r="74" spans="2:9">
      <c r="B74" s="716"/>
      <c r="C74" s="666" t="s">
        <v>3475</v>
      </c>
      <c r="D74" s="664"/>
      <c r="E74" s="664"/>
      <c r="F74" s="2047">
        <f>+SUM(F71:G73)</f>
        <v>0</v>
      </c>
      <c r="G74" s="2047"/>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3"/>
      <c r="G77" s="2043"/>
      <c r="H77" s="664"/>
      <c r="I77" s="717"/>
    </row>
    <row r="78" spans="2:9">
      <c r="B78" s="716"/>
      <c r="C78" s="661" t="s">
        <v>3478</v>
      </c>
      <c r="D78" s="664"/>
      <c r="E78" s="664"/>
      <c r="F78" s="2050"/>
      <c r="G78" s="2050"/>
      <c r="H78" s="664"/>
      <c r="I78" s="717"/>
    </row>
    <row r="79" spans="2:9">
      <c r="B79" s="716"/>
      <c r="C79" s="661" t="s">
        <v>3479</v>
      </c>
      <c r="D79" s="664"/>
      <c r="E79" s="664"/>
      <c r="F79" s="2046"/>
      <c r="G79" s="2046"/>
      <c r="H79" s="664"/>
      <c r="I79" s="717"/>
    </row>
    <row r="80" spans="2:9">
      <c r="B80" s="716"/>
      <c r="C80" s="666" t="s">
        <v>3480</v>
      </c>
      <c r="D80" s="664"/>
      <c r="E80" s="664"/>
      <c r="F80" s="2047">
        <f>+SUM(F77:G79)</f>
        <v>0</v>
      </c>
      <c r="G80" s="2047"/>
      <c r="H80" s="664"/>
      <c r="I80" s="717"/>
    </row>
    <row r="81" spans="2:9">
      <c r="B81" s="716"/>
      <c r="C81" s="664"/>
      <c r="D81" s="664"/>
      <c r="E81" s="664"/>
      <c r="F81" s="664"/>
      <c r="G81" s="664"/>
      <c r="H81" s="664"/>
      <c r="I81" s="717"/>
    </row>
    <row r="82" spans="2:9">
      <c r="B82" s="727" t="s">
        <v>3481</v>
      </c>
      <c r="C82" s="661"/>
      <c r="D82" s="664"/>
      <c r="E82" s="664"/>
      <c r="F82" s="2049">
        <f>'Part III-Sources of Funds'!I45+'Part III-Sources of Funds'!I46</f>
        <v>8013329</v>
      </c>
      <c r="G82" s="2049"/>
      <c r="H82" s="664"/>
      <c r="I82" s="717"/>
    </row>
    <row r="83" spans="2:9">
      <c r="B83" s="716"/>
      <c r="C83" s="664"/>
      <c r="D83" s="664"/>
      <c r="E83" s="664"/>
      <c r="F83" s="664"/>
      <c r="G83" s="664"/>
      <c r="H83" s="664"/>
      <c r="I83" s="730" t="s">
        <v>3482</v>
      </c>
    </row>
    <row r="84" spans="2:9">
      <c r="B84" s="718" t="s">
        <v>3483</v>
      </c>
      <c r="C84" s="664"/>
      <c r="D84" s="664"/>
      <c r="E84" s="664"/>
      <c r="F84" s="2049">
        <f>+F82+F80+F74+F68</f>
        <v>9624329</v>
      </c>
      <c r="G84" s="2049"/>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154" zoomScaleNormal="154" workbookViewId="0">
      <selection sqref="A1:XFD1048576"/>
    </sheetView>
  </sheetViews>
  <sheetFormatPr defaultColWidth="8.85546875" defaultRowHeight="15.75"/>
  <cols>
    <col min="1" max="1" width="2.28515625" style="3332" customWidth="1"/>
    <col min="2" max="13" width="7.140625" style="3332" customWidth="1"/>
    <col min="14" max="15" width="5.85546875" style="3332" customWidth="1"/>
    <col min="16" max="16384" width="8.85546875" style="3332"/>
  </cols>
  <sheetData>
    <row r="1" spans="1:26" ht="19.5">
      <c r="N1" s="3333" t="s">
        <v>1555</v>
      </c>
      <c r="O1" s="3333"/>
      <c r="P1" s="3333"/>
      <c r="Q1" s="3333"/>
      <c r="R1" s="3333"/>
      <c r="S1" s="3333"/>
      <c r="T1" s="3333"/>
      <c r="U1" s="3333"/>
      <c r="V1" s="3333"/>
      <c r="W1" s="3333"/>
      <c r="X1" s="3333"/>
      <c r="Y1" s="3333"/>
      <c r="Z1" s="3333"/>
    </row>
    <row r="3" spans="1:26">
      <c r="N3" s="3334" t="s">
        <v>1556</v>
      </c>
      <c r="O3" s="3334"/>
      <c r="P3" s="3334"/>
      <c r="Q3" s="3334"/>
      <c r="R3" s="3334"/>
      <c r="S3" s="3334"/>
      <c r="T3" s="3334"/>
      <c r="U3" s="3334"/>
      <c r="V3" s="3334"/>
      <c r="W3" s="3334"/>
      <c r="X3" s="3334"/>
      <c r="Y3" s="3334"/>
      <c r="Z3" s="3334"/>
    </row>
    <row r="4" spans="1:26">
      <c r="N4" s="3335" t="s">
        <v>1557</v>
      </c>
      <c r="O4" s="3335"/>
      <c r="P4" s="3335"/>
      <c r="Q4" s="3335"/>
      <c r="R4" s="3335"/>
      <c r="S4" s="3335"/>
      <c r="T4" s="3335"/>
      <c r="U4" s="3335"/>
      <c r="V4" s="3335"/>
      <c r="W4" s="3335"/>
      <c r="X4" s="3335"/>
      <c r="Y4" s="3335"/>
      <c r="Z4" s="3335"/>
    </row>
    <row r="5" spans="1:26">
      <c r="B5" s="3336"/>
      <c r="C5" s="3336"/>
      <c r="D5" s="3336"/>
      <c r="E5" s="3336"/>
      <c r="F5" s="3336"/>
      <c r="G5" s="3336"/>
      <c r="H5" s="3336"/>
      <c r="I5" s="3336"/>
      <c r="J5" s="3336"/>
      <c r="K5" s="3336"/>
      <c r="L5" s="3336"/>
      <c r="M5" s="3336"/>
      <c r="N5" s="3337" t="s">
        <v>730</v>
      </c>
    </row>
    <row r="6" spans="1:26" ht="57" customHeight="1">
      <c r="A6" s="3338" t="s">
        <v>2865</v>
      </c>
      <c r="B6" s="3338"/>
      <c r="C6" s="3338"/>
      <c r="D6" s="3338"/>
      <c r="E6" s="3338"/>
      <c r="F6" s="3338"/>
      <c r="G6" s="3338"/>
      <c r="H6" s="3338"/>
      <c r="I6" s="3338"/>
      <c r="J6" s="3338"/>
      <c r="K6" s="3338"/>
      <c r="L6" s="3338"/>
      <c r="M6" s="3338"/>
    </row>
    <row r="7" spans="1:26" ht="11.45" customHeight="1">
      <c r="A7" s="3336"/>
      <c r="B7" s="3336"/>
      <c r="C7" s="3336"/>
      <c r="D7" s="3336"/>
      <c r="E7" s="3336"/>
      <c r="F7" s="3336"/>
      <c r="G7" s="3336"/>
      <c r="H7" s="3336"/>
      <c r="I7" s="3336"/>
      <c r="J7" s="3336"/>
      <c r="K7" s="3336"/>
      <c r="L7" s="3336"/>
      <c r="M7" s="3336"/>
    </row>
    <row r="8" spans="1:26">
      <c r="A8" s="3336" t="s">
        <v>735</v>
      </c>
      <c r="B8" s="3336"/>
      <c r="C8" s="3336"/>
      <c r="D8" s="3336"/>
      <c r="E8" s="3336"/>
      <c r="F8" s="3336"/>
      <c r="G8" s="3336"/>
      <c r="H8" s="3336"/>
      <c r="I8" s="3336"/>
      <c r="J8" s="3336"/>
      <c r="K8" s="3336"/>
      <c r="L8" s="3336"/>
      <c r="M8" s="3336"/>
    </row>
    <row r="9" spans="1:26" ht="11.45" customHeight="1">
      <c r="A9" s="3336"/>
      <c r="B9" s="3336"/>
      <c r="C9" s="3336"/>
      <c r="D9" s="3336"/>
      <c r="E9" s="3336"/>
      <c r="F9" s="3336"/>
      <c r="G9" s="3336"/>
      <c r="H9" s="3336"/>
      <c r="I9" s="3336"/>
      <c r="J9" s="3336"/>
      <c r="K9" s="3336"/>
      <c r="L9" s="3336"/>
      <c r="M9" s="3336"/>
    </row>
    <row r="10" spans="1:26">
      <c r="A10" s="3339" t="s">
        <v>1980</v>
      </c>
      <c r="B10" s="3339"/>
      <c r="C10" s="3339"/>
      <c r="D10" s="3339"/>
      <c r="E10" s="3339"/>
      <c r="F10" s="3339"/>
      <c r="G10" s="3339"/>
      <c r="H10" s="3339"/>
      <c r="I10" s="3339"/>
      <c r="J10" s="3339"/>
      <c r="K10" s="3339"/>
      <c r="L10" s="3339"/>
      <c r="M10" s="3339"/>
    </row>
    <row r="11" spans="1:26" ht="6.75" customHeight="1">
      <c r="A11" s="3339"/>
      <c r="B11" s="3339"/>
      <c r="C11" s="3339"/>
      <c r="D11" s="3339"/>
      <c r="E11" s="3339"/>
      <c r="F11" s="3339"/>
      <c r="G11" s="3339"/>
      <c r="H11" s="3339"/>
      <c r="I11" s="3339"/>
      <c r="J11" s="3339"/>
      <c r="K11" s="3339"/>
      <c r="L11" s="3339"/>
      <c r="M11" s="3339"/>
    </row>
    <row r="12" spans="1:26" ht="44.25" customHeight="1">
      <c r="A12" s="3340" t="s">
        <v>4120</v>
      </c>
      <c r="B12" s="3340"/>
      <c r="C12" s="3340"/>
      <c r="D12" s="3340"/>
      <c r="E12" s="3340"/>
      <c r="F12" s="3340"/>
      <c r="G12" s="3340"/>
      <c r="H12" s="3340"/>
      <c r="I12" s="3340"/>
      <c r="J12" s="3340"/>
      <c r="K12" s="3340"/>
      <c r="L12" s="3340"/>
      <c r="M12" s="3340"/>
    </row>
    <row r="13" spans="1:26" ht="3" customHeight="1">
      <c r="A13" s="3339"/>
      <c r="B13" s="3339"/>
      <c r="C13" s="3339"/>
      <c r="D13" s="3339"/>
      <c r="E13" s="3339"/>
      <c r="F13" s="3339"/>
      <c r="G13" s="3339"/>
      <c r="H13" s="3339"/>
      <c r="I13" s="3339"/>
      <c r="J13" s="3339"/>
      <c r="K13" s="3339"/>
      <c r="L13" s="3339"/>
      <c r="M13" s="3339"/>
    </row>
    <row r="14" spans="1:26" ht="104.25" customHeight="1">
      <c r="A14" s="3341" t="s">
        <v>1803</v>
      </c>
      <c r="B14" s="3342" t="s">
        <v>4121</v>
      </c>
      <c r="C14" s="3342"/>
      <c r="D14" s="3342"/>
      <c r="E14" s="3342"/>
      <c r="F14" s="3342"/>
      <c r="G14" s="3342"/>
      <c r="H14" s="3342"/>
      <c r="I14" s="3342"/>
      <c r="J14" s="3342"/>
      <c r="K14" s="3342"/>
      <c r="L14" s="3342"/>
      <c r="M14" s="3342"/>
    </row>
    <row r="15" spans="1:26" ht="57.75" customHeight="1">
      <c r="A15" s="3341" t="s">
        <v>1804</v>
      </c>
      <c r="B15" s="3342" t="s">
        <v>4122</v>
      </c>
      <c r="C15" s="3342"/>
      <c r="D15" s="3342"/>
      <c r="E15" s="3342"/>
      <c r="F15" s="3342"/>
      <c r="G15" s="3342"/>
      <c r="H15" s="3342"/>
      <c r="I15" s="3342"/>
      <c r="J15" s="3342"/>
      <c r="K15" s="3342"/>
      <c r="L15" s="3342"/>
      <c r="M15" s="3342"/>
    </row>
    <row r="16" spans="1:26" ht="119.25" customHeight="1">
      <c r="A16" s="3341" t="s">
        <v>1805</v>
      </c>
      <c r="B16" s="3342" t="s">
        <v>4123</v>
      </c>
      <c r="C16" s="3342"/>
      <c r="D16" s="3342"/>
      <c r="E16" s="3342"/>
      <c r="F16" s="3342"/>
      <c r="G16" s="3342"/>
      <c r="H16" s="3342"/>
      <c r="I16" s="3342"/>
      <c r="J16" s="3342"/>
      <c r="K16" s="3342"/>
      <c r="L16" s="3342"/>
      <c r="M16" s="3342"/>
    </row>
    <row r="17" spans="1:13" ht="159.75" customHeight="1">
      <c r="A17" s="3341" t="s">
        <v>2448</v>
      </c>
      <c r="B17" s="3342" t="s">
        <v>3707</v>
      </c>
      <c r="C17" s="3342"/>
      <c r="D17" s="3342"/>
      <c r="E17" s="3342"/>
      <c r="F17" s="3342"/>
      <c r="G17" s="3342"/>
      <c r="H17" s="3342"/>
      <c r="I17" s="3342"/>
      <c r="J17" s="3342"/>
      <c r="K17" s="3342"/>
      <c r="L17" s="3342"/>
      <c r="M17" s="3342"/>
    </row>
    <row r="18" spans="1:13" ht="45" customHeight="1">
      <c r="A18" s="3341" t="s">
        <v>1606</v>
      </c>
      <c r="B18" s="3342" t="s">
        <v>709</v>
      </c>
      <c r="C18" s="3342"/>
      <c r="D18" s="3342"/>
      <c r="E18" s="3342"/>
      <c r="F18" s="3342"/>
      <c r="G18" s="3342"/>
      <c r="H18" s="3342"/>
      <c r="I18" s="3342"/>
      <c r="J18" s="3342"/>
      <c r="K18" s="3342"/>
      <c r="L18" s="3342"/>
      <c r="M18" s="3342"/>
    </row>
    <row r="19" spans="1:13" ht="177.75" customHeight="1">
      <c r="A19" s="3341" t="s">
        <v>1607</v>
      </c>
      <c r="B19" s="3342" t="s">
        <v>3706</v>
      </c>
      <c r="C19" s="3342"/>
      <c r="D19" s="3342"/>
      <c r="E19" s="3342"/>
      <c r="F19" s="3342"/>
      <c r="G19" s="3342"/>
      <c r="H19" s="3342"/>
      <c r="I19" s="3342"/>
      <c r="J19" s="3342"/>
      <c r="K19" s="3342"/>
      <c r="L19" s="3342"/>
      <c r="M19" s="3342"/>
    </row>
    <row r="20" spans="1:13" ht="57" customHeight="1">
      <c r="A20" s="3341" t="s">
        <v>100</v>
      </c>
      <c r="B20" s="3343" t="s">
        <v>4124</v>
      </c>
      <c r="C20" s="3343"/>
      <c r="D20" s="3343"/>
      <c r="E20" s="3343"/>
      <c r="F20" s="3343"/>
      <c r="G20" s="3343"/>
      <c r="H20" s="3343"/>
      <c r="I20" s="3343"/>
      <c r="J20" s="3343"/>
      <c r="K20" s="3343"/>
      <c r="L20" s="3343"/>
      <c r="M20" s="3343"/>
    </row>
    <row r="21" spans="1:13" ht="57.75" customHeight="1">
      <c r="A21" s="3341" t="s">
        <v>530</v>
      </c>
      <c r="B21" s="3342" t="s">
        <v>3709</v>
      </c>
      <c r="C21" s="3342"/>
      <c r="D21" s="3342"/>
      <c r="E21" s="3342"/>
      <c r="F21" s="3342"/>
      <c r="G21" s="3342"/>
      <c r="H21" s="3342"/>
      <c r="I21" s="3342"/>
      <c r="J21" s="3342"/>
      <c r="K21" s="3342"/>
      <c r="L21" s="3342"/>
      <c r="M21" s="3342"/>
    </row>
    <row r="22" spans="1:13" ht="28.5" customHeight="1">
      <c r="A22" s="3341" t="s">
        <v>531</v>
      </c>
      <c r="B22" s="3342" t="s">
        <v>3762</v>
      </c>
      <c r="C22" s="3342"/>
      <c r="D22" s="3342"/>
      <c r="E22" s="3342"/>
      <c r="F22" s="3342"/>
      <c r="G22" s="3342"/>
      <c r="H22" s="3342"/>
      <c r="I22" s="3342"/>
      <c r="J22" s="3342"/>
      <c r="K22" s="3342"/>
      <c r="L22" s="3342"/>
      <c r="M22" s="3342"/>
    </row>
    <row r="23" spans="1:13" ht="1.5" customHeight="1">
      <c r="A23" s="3339"/>
      <c r="B23" s="3339"/>
      <c r="C23" s="3339"/>
      <c r="D23" s="3339"/>
      <c r="E23" s="3339"/>
      <c r="F23" s="3339"/>
      <c r="G23" s="3339"/>
      <c r="H23" s="3339"/>
      <c r="I23" s="3339"/>
      <c r="J23" s="3339"/>
      <c r="K23" s="3339"/>
      <c r="L23" s="3339"/>
      <c r="M23" s="3339"/>
    </row>
    <row r="24" spans="1:13" ht="3" customHeight="1">
      <c r="A24" s="3339"/>
      <c r="B24" s="3339"/>
      <c r="C24" s="3339"/>
      <c r="D24" s="3339"/>
      <c r="E24" s="3339"/>
      <c r="F24" s="3339"/>
      <c r="G24" s="3339"/>
      <c r="H24" s="3339"/>
      <c r="I24" s="3339"/>
      <c r="J24" s="3339"/>
      <c r="K24" s="3339"/>
      <c r="L24" s="3339"/>
      <c r="M24" s="3339"/>
    </row>
    <row r="25" spans="1:13" ht="13.5" customHeight="1">
      <c r="A25" s="3339" t="s">
        <v>1521</v>
      </c>
      <c r="B25" s="3339"/>
      <c r="C25" s="3339"/>
      <c r="D25" s="3339"/>
      <c r="E25" s="3339"/>
      <c r="F25" s="3339"/>
      <c r="G25" s="3339"/>
      <c r="H25" s="3339"/>
      <c r="I25" s="3339"/>
      <c r="J25" s="3339"/>
      <c r="K25" s="3339"/>
      <c r="L25" s="3339"/>
      <c r="M25" s="3339"/>
    </row>
    <row r="26" spans="1:13" ht="28.5" customHeight="1">
      <c r="A26" s="914" t="s">
        <v>1522</v>
      </c>
      <c r="B26" s="3342" t="s">
        <v>3763</v>
      </c>
      <c r="C26" s="3342"/>
      <c r="D26" s="3342"/>
      <c r="E26" s="3342"/>
      <c r="F26" s="3342"/>
      <c r="G26" s="3342"/>
      <c r="H26" s="3342"/>
      <c r="I26" s="3342"/>
      <c r="J26" s="3342"/>
      <c r="K26" s="3342"/>
      <c r="L26" s="3342"/>
      <c r="M26" s="3342"/>
    </row>
    <row r="27" spans="1:13" ht="28.5" customHeight="1">
      <c r="A27" s="914" t="s">
        <v>1522</v>
      </c>
      <c r="B27" s="3342" t="s">
        <v>3764</v>
      </c>
      <c r="C27" s="3342"/>
      <c r="D27" s="3342"/>
      <c r="E27" s="3342"/>
      <c r="F27" s="3342"/>
      <c r="G27" s="3342"/>
      <c r="H27" s="3342"/>
      <c r="I27" s="3342"/>
      <c r="J27" s="3342"/>
      <c r="K27" s="3342"/>
      <c r="L27" s="3342"/>
      <c r="M27" s="3342"/>
    </row>
    <row r="28" spans="1:13" ht="71.25" customHeight="1">
      <c r="A28" s="914" t="s">
        <v>1522</v>
      </c>
      <c r="B28" s="3342" t="s">
        <v>2866</v>
      </c>
      <c r="C28" s="3342"/>
      <c r="D28" s="3342"/>
      <c r="E28" s="3342"/>
      <c r="F28" s="3342"/>
      <c r="G28" s="3342"/>
      <c r="H28" s="3342"/>
      <c r="I28" s="3342"/>
      <c r="J28" s="3342"/>
      <c r="K28" s="3342"/>
      <c r="L28" s="3342"/>
      <c r="M28" s="3342"/>
    </row>
    <row r="29" spans="1:13" ht="3" customHeight="1">
      <c r="A29" s="3339"/>
      <c r="B29" s="3339"/>
      <c r="C29" s="3339"/>
      <c r="D29" s="3339"/>
      <c r="E29" s="3339"/>
      <c r="F29" s="3339"/>
      <c r="G29" s="3339"/>
      <c r="H29" s="3339"/>
      <c r="I29" s="3339"/>
      <c r="J29" s="3339"/>
      <c r="K29" s="3339"/>
      <c r="L29" s="3339"/>
      <c r="M29" s="3339"/>
    </row>
    <row r="30" spans="1:13" ht="43.5" customHeight="1">
      <c r="A30" s="3342" t="s">
        <v>979</v>
      </c>
      <c r="B30" s="3342"/>
      <c r="C30" s="3342"/>
      <c r="D30" s="3342"/>
      <c r="E30" s="3342"/>
      <c r="F30" s="3342"/>
      <c r="G30" s="3342"/>
      <c r="H30" s="3342"/>
      <c r="I30" s="3342"/>
      <c r="J30" s="3342"/>
      <c r="K30" s="3342"/>
      <c r="L30" s="3342"/>
      <c r="M30" s="3342"/>
    </row>
    <row r="31" spans="1:13" ht="3" customHeight="1">
      <c r="A31" s="3339"/>
      <c r="B31" s="3339"/>
      <c r="C31" s="3339"/>
      <c r="D31" s="3339"/>
      <c r="E31" s="3339"/>
      <c r="F31" s="3339"/>
      <c r="G31" s="3339"/>
      <c r="H31" s="3339"/>
      <c r="I31" s="3339"/>
      <c r="J31" s="3339"/>
      <c r="K31" s="3339"/>
      <c r="L31" s="3339"/>
      <c r="M31" s="3339"/>
    </row>
    <row r="32" spans="1:13" ht="28.5" customHeight="1">
      <c r="A32" s="3342" t="s">
        <v>2867</v>
      </c>
      <c r="B32" s="3342"/>
      <c r="C32" s="3342"/>
      <c r="D32" s="3342"/>
      <c r="E32" s="3342"/>
      <c r="F32" s="3342"/>
      <c r="G32" s="3342"/>
      <c r="H32" s="3342"/>
      <c r="I32" s="3342"/>
      <c r="J32" s="3342"/>
      <c r="K32" s="3342"/>
      <c r="L32" s="3342"/>
      <c r="M32" s="3342"/>
    </row>
    <row r="33" spans="1:13" ht="4.5" customHeight="1">
      <c r="A33" s="3339"/>
      <c r="B33" s="3339"/>
      <c r="C33" s="3339"/>
      <c r="D33" s="3339"/>
      <c r="E33" s="3339"/>
      <c r="F33" s="3339"/>
      <c r="G33" s="3339"/>
      <c r="H33" s="3339"/>
      <c r="I33" s="3339"/>
      <c r="J33" s="3339"/>
      <c r="K33" s="3339"/>
      <c r="L33" s="3339"/>
      <c r="M33" s="3339"/>
    </row>
    <row r="34" spans="1:13">
      <c r="A34" s="3339" t="s">
        <v>955</v>
      </c>
      <c r="B34" s="3339"/>
      <c r="C34" s="3339"/>
      <c r="D34" s="3339"/>
      <c r="E34" s="3339"/>
      <c r="F34" s="3339"/>
      <c r="G34" s="3339"/>
      <c r="H34" s="3339"/>
      <c r="I34" s="3339"/>
      <c r="J34" s="3339"/>
      <c r="K34" s="3339"/>
      <c r="L34" s="3339"/>
      <c r="M34" s="3339"/>
    </row>
    <row r="35" spans="1:13" ht="6" customHeight="1">
      <c r="A35" s="3344"/>
      <c r="B35" s="3344"/>
      <c r="C35" s="3344"/>
      <c r="D35" s="3344"/>
      <c r="E35" s="3344"/>
      <c r="F35" s="3344"/>
      <c r="G35" s="3344"/>
      <c r="H35" s="3344"/>
      <c r="I35" s="3344"/>
      <c r="J35" s="3344"/>
      <c r="K35" s="3344"/>
      <c r="L35" s="3344"/>
      <c r="M35" s="3344"/>
    </row>
    <row r="36" spans="1:13">
      <c r="A36" s="3345"/>
      <c r="B36" s="3345"/>
      <c r="C36" s="3345"/>
      <c r="D36" s="3345"/>
      <c r="E36" s="3345"/>
      <c r="F36" s="3345"/>
      <c r="G36" s="3346"/>
      <c r="H36" s="3345"/>
      <c r="I36" s="3345"/>
      <c r="J36" s="3345"/>
      <c r="K36" s="3345"/>
      <c r="L36" s="3345"/>
      <c r="M36" s="3345"/>
    </row>
    <row r="37" spans="1:13" ht="12" customHeight="1">
      <c r="A37" s="3347" t="s">
        <v>956</v>
      </c>
      <c r="B37" s="3347"/>
      <c r="C37" s="3347"/>
      <c r="D37" s="3347"/>
      <c r="E37" s="3347"/>
      <c r="F37" s="3347"/>
      <c r="G37" s="3346"/>
      <c r="H37" s="3347" t="s">
        <v>2055</v>
      </c>
      <c r="I37" s="3347"/>
      <c r="J37" s="3347"/>
      <c r="K37" s="3347"/>
      <c r="L37" s="3347"/>
      <c r="M37" s="3347"/>
    </row>
    <row r="38" spans="1:13" ht="6" customHeight="1">
      <c r="A38" s="3346"/>
      <c r="B38" s="3346"/>
      <c r="C38" s="3346"/>
      <c r="D38" s="3346"/>
      <c r="E38" s="3346"/>
      <c r="F38" s="3346"/>
      <c r="G38" s="3346"/>
      <c r="H38" s="3346"/>
      <c r="I38" s="3346"/>
      <c r="J38" s="3346"/>
      <c r="K38" s="3346"/>
      <c r="L38" s="3346"/>
      <c r="M38" s="3346"/>
    </row>
    <row r="39" spans="1:13">
      <c r="A39" s="3345"/>
      <c r="B39" s="3345"/>
      <c r="C39" s="3345"/>
      <c r="D39" s="3345"/>
      <c r="E39" s="3345"/>
      <c r="F39" s="3345"/>
      <c r="G39" s="3346"/>
      <c r="H39" s="3348"/>
      <c r="I39" s="3348"/>
      <c r="J39" s="3348"/>
      <c r="K39" s="3348"/>
      <c r="L39" s="3348"/>
      <c r="M39" s="3348"/>
    </row>
    <row r="40" spans="1:13" ht="12" customHeight="1">
      <c r="A40" s="3347" t="s">
        <v>957</v>
      </c>
      <c r="B40" s="3347"/>
      <c r="C40" s="3347"/>
      <c r="D40" s="3347"/>
      <c r="E40" s="3347"/>
      <c r="F40" s="3347"/>
      <c r="G40" s="3346"/>
      <c r="H40" s="3347" t="s">
        <v>958</v>
      </c>
      <c r="I40" s="3347"/>
      <c r="J40" s="3347"/>
      <c r="K40" s="3347"/>
      <c r="L40" s="3347"/>
      <c r="M40" s="3347"/>
    </row>
    <row r="41" spans="1:13" ht="3" customHeight="1">
      <c r="A41" s="3349"/>
      <c r="B41" s="3349"/>
      <c r="C41" s="3349"/>
      <c r="D41" s="3349"/>
      <c r="E41" s="3349"/>
      <c r="F41" s="3349"/>
      <c r="G41" s="3346"/>
      <c r="H41" s="3349"/>
      <c r="I41" s="3349"/>
      <c r="J41" s="3349"/>
      <c r="K41" s="3349"/>
      <c r="L41" s="3349"/>
      <c r="M41" s="3349"/>
    </row>
    <row r="42" spans="1:13" ht="11.45" customHeight="1">
      <c r="A42" s="3336"/>
      <c r="B42" s="3336"/>
      <c r="C42" s="3336"/>
      <c r="D42" s="3336"/>
      <c r="E42" s="3336"/>
      <c r="F42" s="3336"/>
      <c r="G42" s="3336"/>
      <c r="H42" s="3350" t="s">
        <v>959</v>
      </c>
      <c r="I42" s="3350"/>
      <c r="J42" s="3350"/>
      <c r="K42" s="3350"/>
      <c r="L42" s="3350"/>
      <c r="M42" s="3350"/>
    </row>
    <row r="43" spans="1:13" ht="11.45" customHeight="1">
      <c r="A43" s="3336"/>
      <c r="B43" s="3336"/>
      <c r="C43" s="3336"/>
      <c r="D43" s="3336"/>
      <c r="E43" s="3336"/>
      <c r="F43" s="3336"/>
      <c r="G43" s="3336"/>
    </row>
    <row r="44" spans="1:13" ht="11.45" customHeight="1">
      <c r="A44" s="3336"/>
      <c r="B44" s="3336"/>
      <c r="C44" s="3336"/>
      <c r="D44" s="3336"/>
      <c r="E44" s="3336"/>
      <c r="F44" s="3336"/>
      <c r="G44" s="3336"/>
      <c r="H44" s="3336"/>
      <c r="I44" s="3336"/>
      <c r="J44" s="3336"/>
      <c r="K44" s="3336"/>
      <c r="L44" s="3336"/>
      <c r="M44" s="3336"/>
    </row>
    <row r="45" spans="1:13" ht="11.45" customHeight="1">
      <c r="A45" s="3336"/>
      <c r="B45" s="3336"/>
      <c r="C45" s="3336"/>
      <c r="D45" s="3336"/>
      <c r="E45" s="3336"/>
      <c r="F45" s="3336"/>
      <c r="G45" s="3336"/>
      <c r="H45" s="3336"/>
      <c r="I45" s="3336"/>
      <c r="J45" s="3336"/>
      <c r="K45" s="3336"/>
      <c r="L45" s="3336"/>
      <c r="M45" s="3336"/>
    </row>
    <row r="46" spans="1:13" ht="11.45" customHeight="1"/>
    <row r="47" spans="1:13" ht="11.45" customHeight="1"/>
    <row r="48" spans="1:13" ht="11.45" customHeight="1"/>
    <row r="49" ht="11.45" customHeight="1"/>
    <row r="50" ht="11.45" customHeight="1"/>
  </sheetData>
  <sheetProtection algorithmName="SHA-512" hashValue="D8mwFziLLE6Wg4W1J0TLvyfnhAz9ZD8X2PoCzfZDKhU9HNbZ7zzx4ebLTfE0wevJt5GLllc+e78znCuj8puLWQ==" saltValue="208o0RJ1o3BN6THIkbs6N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Y36" sqref="Y3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4036</v>
      </c>
      <c r="G11" s="185"/>
      <c r="H11" s="183"/>
      <c r="I11" s="183"/>
      <c r="J11" s="745" t="s">
        <v>4037</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3546</v>
      </c>
      <c r="G13" s="2055"/>
      <c r="H13" s="2055"/>
      <c r="I13" s="2055"/>
      <c r="J13" s="2056"/>
      <c r="K13" s="312"/>
      <c r="L13" s="747" t="s">
        <v>3883</v>
      </c>
      <c r="M13" s="312"/>
      <c r="N13" s="2054" t="s">
        <v>3546</v>
      </c>
      <c r="O13" s="2055"/>
      <c r="P13" s="2055"/>
      <c r="Q13" s="2055"/>
      <c r="R13" s="2056"/>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3827</v>
      </c>
      <c r="G54" s="185"/>
      <c r="H54" s="183"/>
      <c r="I54" s="183"/>
      <c r="J54" s="875">
        <v>110481</v>
      </c>
      <c r="K54" s="875">
        <v>126647</v>
      </c>
      <c r="L54" s="875">
        <v>154003</v>
      </c>
      <c r="M54" s="875">
        <v>199229</v>
      </c>
      <c r="N54" s="875">
        <v>199229</v>
      </c>
      <c r="O54" s="185"/>
      <c r="Q54" s="876">
        <v>1000</v>
      </c>
      <c r="R54" s="876">
        <v>0</v>
      </c>
      <c r="S54" s="325" t="s">
        <v>3826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4095</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4094</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4042</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3" t="s">
        <v>2458</v>
      </c>
      <c r="R100" s="206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4041</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3" t="s">
        <v>2943</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4140</v>
      </c>
      <c r="B124" s="185"/>
      <c r="C124" s="185"/>
      <c r="D124" s="183"/>
      <c r="E124" s="183"/>
      <c r="F124" s="185" t="s">
        <v>4143</v>
      </c>
      <c r="G124" s="185"/>
      <c r="H124" s="183"/>
      <c r="I124" s="183"/>
      <c r="J124" s="185" t="s">
        <v>4144</v>
      </c>
      <c r="K124" s="185"/>
      <c r="L124" s="185"/>
      <c r="M124" s="185"/>
      <c r="N124" s="185"/>
      <c r="O124" s="185"/>
      <c r="P124" s="183"/>
      <c r="Q124" s="2063">
        <v>0.05</v>
      </c>
      <c r="R124" s="2063"/>
      <c r="S124" s="183"/>
      <c r="T124" s="183"/>
      <c r="U124" s="183"/>
      <c r="V124" s="1340"/>
      <c r="W124" s="1340"/>
      <c r="X124" s="186"/>
      <c r="AA124" s="591"/>
      <c r="AB124" s="591"/>
    </row>
    <row r="125" spans="1:28" s="299" customFormat="1" ht="12.75" customHeight="1">
      <c r="A125" s="304"/>
      <c r="B125" s="185"/>
      <c r="C125" s="185"/>
      <c r="D125" s="183"/>
      <c r="E125" s="183"/>
      <c r="F125" s="185"/>
      <c r="G125" s="185" t="s">
        <v>4141</v>
      </c>
      <c r="H125" s="183"/>
      <c r="I125" s="183"/>
      <c r="J125" s="185" t="s">
        <v>4145</v>
      </c>
      <c r="K125" s="185"/>
      <c r="L125" s="185"/>
      <c r="M125" s="185"/>
      <c r="N125" s="185"/>
      <c r="O125" s="185"/>
      <c r="P125" s="183"/>
      <c r="Q125" s="2063">
        <v>0.4</v>
      </c>
      <c r="R125" s="2063"/>
      <c r="S125" s="183"/>
      <c r="T125" s="183"/>
      <c r="U125" s="183"/>
      <c r="V125" s="1340"/>
      <c r="W125" s="1340"/>
      <c r="X125" s="186"/>
      <c r="AA125" s="591"/>
      <c r="AB125" s="591"/>
    </row>
    <row r="126" spans="1:28" s="299" customFormat="1" ht="12.75" customHeight="1">
      <c r="A126" s="304"/>
      <c r="B126" s="185"/>
      <c r="C126" s="185"/>
      <c r="D126" s="183"/>
      <c r="E126" s="183"/>
      <c r="F126" s="185" t="s">
        <v>4142</v>
      </c>
      <c r="G126" s="185"/>
      <c r="H126" s="183"/>
      <c r="I126" s="183"/>
      <c r="J126" s="185" t="s">
        <v>4144</v>
      </c>
      <c r="K126" s="185"/>
      <c r="L126" s="185"/>
      <c r="M126" s="185"/>
      <c r="N126" s="185"/>
      <c r="O126" s="185"/>
      <c r="P126" s="183"/>
      <c r="Q126" s="2063">
        <v>0.02</v>
      </c>
      <c r="R126" s="2063"/>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5"/>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6"/>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5"/>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5"/>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6"/>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5"/>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2999</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3000</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3001</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3002</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3003</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3004</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3005</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3006</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3007</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3008</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3009</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3010</v>
      </c>
      <c r="S643" s="579" t="s">
        <v>339</v>
      </c>
      <c r="AA643" s="1335"/>
    </row>
    <row r="644" spans="6:27" ht="10.5" customHeight="1">
      <c r="F644" s="371"/>
      <c r="G644" s="348"/>
      <c r="H644" s="348"/>
      <c r="I644" s="348"/>
      <c r="J644" s="348"/>
      <c r="K644" s="348"/>
      <c r="L644" s="348"/>
      <c r="M644" s="348"/>
      <c r="N644" s="678" t="s">
        <v>1196</v>
      </c>
      <c r="O644" s="325"/>
      <c r="P644" s="185"/>
      <c r="Q644" s="433"/>
      <c r="R644" s="680" t="s">
        <v>3011</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3012</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3013</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60"/>
      <c r="O680" s="2061"/>
      <c r="P680" s="2061"/>
      <c r="Q680" s="2062"/>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3014</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3015</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CO+boEgd1j7DPNc/aVxBDOn+tw0gtfOFTrkQbfjk+0PJM9yEqVtulrL6E8u8/1QGi9q+9Jhojs4V1xCV7MNk4w==" saltValue="2ZdDdbb6U4d26FhPOR3G+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A1012" workbookViewId="0">
      <selection activeCell="A1012" sqref="A1:XFD1048576"/>
    </sheetView>
  </sheetViews>
  <sheetFormatPr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4.42578125" style="877" bestFit="1" customWidth="1"/>
    <col min="10" max="11" width="10.285156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The Pines Apartments</v>
      </c>
    </row>
    <row r="3" spans="1:1" ht="16.5">
      <c r="A3" s="2066" t="str">
        <f>CONCATENATE('Part I-Project Information'!F28,", ", 'Part I-Project Information'!J29," County")</f>
        <v>St. Marys, Camden County</v>
      </c>
    </row>
    <row r="5" spans="1:1" ht="12.75" customHeight="1">
      <c r="A5" s="2067" t="str">
        <f>'Project Narrative'!A5</f>
        <v xml:space="preserve">The Pines Apartments is an existing HUD Sec-8 seventy (70) unit apartment complex located in St. Marys, Georgia.  St. Marys is located in the south east region of Georgia in Camden County, approximately 40 miles due south of Brunswick, GA and 60 miles south east of Waycross, GA.  Historic St. Marys, Georgia offers picturesque streets lined with centuries old live-oaks and the restorative beauty of numerous waterways and marshes.  The City of St. Marys and Camden County pride themselves on a diverse blend of residents and strong economies which continue to be a driving force in the south eastern part of Georgia.  The property is conveniently located at 1119 Douglas Drive, St Marys, GA 31558 near many amenities and shopping options for residents of the property to enjoy.
The Pines Apartments was originally constructed in 1981 as a HUD Section 8 property serving the qualifying family demographic.  The property is currently 98.5% occupied and maintains a resident waitlist.  Existing on the property there are a total of seventy (70) apartment units housed in five one and two story residential buildings, one non-residential reasonable sized leasing office/laundry/maintenance building, small playground and concrete basketball court located on the property.  The current unit matrix is made up of ten (10) one bedroom, forty-eight (48) two bedroom and twelve (12) three bedroom apartment units.  Never having received a full scale rehabilitation and being approximately thirty-five years old the property is in need of substantial repair work to its exteriors and interiors as well as energy upgrades throughout the property to cure items that have been come inefficient and in some cases obsolete.
Proposed interior unit renovations will include but are not limited to targeting electrical, plumbing and mechanical improvements that will include all new energy star/energy efficient items such as; HVAC systems, hot water heaters, plumbing/piping and other low flow water saving toilets/fixtures.  We will also install new energy star/energy efficient dishwashers, garbage disposals, range hoods, microwaves, ceiling fans in living and master bedrooms, cable TV availability to living room and bedrooms, and energy efficient windows, window trim, and blinds.  Proposed kitchen renovations we will include new flooring, cabinets, counter tops, and energy star appliances throughout the area.  Proposed bathroom renovations will include new flooring, mirrors, vanities, bathtub surrounds, faucets, and other accessory upgrades.  All unit interiors will have energy star rated lighting with new wall switch controls in each room.  We will install new carpet in the bedrooms and VCT and/or plank flooring in the main traffic areas of each apartment unit.  We will install all new exterior and interior unit bedroom/closet doors including all hardware/trim will be installed throughout the entire unit too.   All handicapped accessible units will be retrofitted to meet current accessibility requirements.
Proposed exterior and common area renovations and amenities include but are not limited to targeting various items that will allow achievement of Southface Energy Institute’s and Greater Atlanta Home Builder Associations EarthCraft Housing multifamily certification.  Exterior building improvements include new hardi-plank siding that will provide long-term durability as well as an attractive architectural appeal.  There will be new signage installed throughout the property and the property’s entrance sign will be replaced with a well-lit aesthetically pleasing community sign. Energy Star rated exterior lighting will be installed throughout the property’s common exterior areas/stairways, outside the community building, and at each unit’s exterior entry door to provide a pleasant and safe atmosphere for the residents.  The current community building will be re-built and reconfigured to include a new leasing office, resident community area/business center with free resident Wi-Fi, maintenance and common laundry area.  The proposed community building will be equipped with new art work, tables, chairs and other furniture for social gathering with residents and their families.  This new community and business center area will be used for resident birthday parties, holiday festivals, potential resident employment hunting, homework/studying or normal email communication.  A new commercial grade age relevant playground, gazebo with landscaping, covered picnic area, outdoor smoking pavilion and anchored weather resistant benches will be installed on the property.  A complete asphalt overlay and restriping to all parking areas is proposed to repair all existing parking lot issues and deferred maintenance.  Concrete sidewalk renovations and the associated accessibility items will all be addressed where applicable through the property and the common resident and amenity areas.  Lastly, upgraded landscaping is proposed throughout the property to enhance the atmosphere and promote the drive-by appearance and marketability of the community.
The owner will work with the property management company to provide various resident activities such as; potluck dinner night, movie night, holiday parties, game night computer training and other potential community activities that maybe beneficial to the residents wellbeing  There will not be any costs associated with community area resident activities and gatherings will be optional in nature to the residents.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4402</v>
      </c>
      <c r="H28" s="2070"/>
      <c r="I28" s="2070"/>
      <c r="J28" s="2070"/>
      <c r="K28" s="2070"/>
      <c r="L28" s="2069"/>
      <c r="M28" s="2070"/>
      <c r="N28" s="2070"/>
      <c r="O28" s="2068" t="s">
        <v>2779</v>
      </c>
      <c r="P28" s="2068"/>
    </row>
    <row r="29" spans="1:16" ht="13.5">
      <c r="A29" s="2069"/>
      <c r="B29" s="2068"/>
      <c r="C29" s="2070"/>
      <c r="D29" s="2070"/>
      <c r="E29" s="2070"/>
      <c r="F29" s="2069"/>
      <c r="G29" s="2072" t="s">
        <v>4403</v>
      </c>
      <c r="H29" s="2073"/>
      <c r="I29" s="2073"/>
      <c r="J29" s="2073"/>
      <c r="K29" s="2070"/>
      <c r="L29" s="2070"/>
      <c r="M29" s="2070"/>
      <c r="N29" s="2070"/>
      <c r="O29" s="2068" t="str">
        <f>'Part I-Project Information'!O4</f>
        <v>2016-079</v>
      </c>
      <c r="P29" s="2068"/>
    </row>
    <row r="30" spans="1:16">
      <c r="A30" s="2069"/>
      <c r="B30" s="2068" t="str">
        <f>'Part I-Project Information'!B5</f>
        <v>May 2016 Revision v6</v>
      </c>
      <c r="C30" s="2068"/>
      <c r="D30" s="2074"/>
      <c r="E30" s="2070"/>
      <c r="F30" s="2068"/>
      <c r="G30" s="2074" t="s">
        <v>3502</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4404</v>
      </c>
      <c r="K35" s="2068"/>
      <c r="L35" s="2073"/>
      <c r="M35" s="2070"/>
      <c r="N35" s="2070"/>
      <c r="O35" s="2070" t="str">
        <f>'Part I-Project Information'!O10</f>
        <v>PA16-023</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William Allen Glisson ("Billy")</v>
      </c>
      <c r="G40" s="2070"/>
      <c r="H40" s="2070"/>
      <c r="I40" s="2070"/>
      <c r="J40" s="2070"/>
      <c r="K40" s="2070"/>
      <c r="L40" s="2070"/>
      <c r="M40" s="2076" t="s">
        <v>2055</v>
      </c>
      <c r="N40" s="2070" t="str">
        <f>'Part I-Project Information'!N15</f>
        <v>Member</v>
      </c>
      <c r="O40" s="2070"/>
      <c r="P40" s="2070"/>
    </row>
    <row r="41" spans="1:16">
      <c r="A41" s="2070"/>
      <c r="B41" s="2076" t="s">
        <v>2056</v>
      </c>
      <c r="C41" s="2070"/>
      <c r="D41" s="2070"/>
      <c r="E41" s="2070"/>
      <c r="F41" s="2070" t="str">
        <f>'Part I-Project Information'!F16</f>
        <v>3111 Paces Mill Road, STE A-250</v>
      </c>
      <c r="G41" s="2070"/>
      <c r="H41" s="2070"/>
      <c r="I41" s="2070"/>
      <c r="J41" s="2070"/>
      <c r="K41" s="2070"/>
      <c r="L41" s="2070"/>
      <c r="M41" s="2076" t="s">
        <v>1787</v>
      </c>
      <c r="N41" s="2070"/>
      <c r="O41" s="2085">
        <f>'Part I-Project Information'!O16</f>
        <v>7706350130</v>
      </c>
      <c r="P41" s="2085"/>
    </row>
    <row r="42" spans="1:16">
      <c r="A42" s="2070"/>
      <c r="B42" s="2076" t="s">
        <v>642</v>
      </c>
      <c r="C42" s="2070"/>
      <c r="D42" s="2070"/>
      <c r="E42" s="2070"/>
      <c r="F42" s="2070" t="str">
        <f>'Part I-Project Information'!F17</f>
        <v>Atlanta</v>
      </c>
      <c r="G42" s="2070"/>
      <c r="H42" s="2070"/>
      <c r="I42" s="2070"/>
      <c r="J42" s="2070"/>
      <c r="K42" s="2070"/>
      <c r="L42" s="2070"/>
      <c r="M42" s="2076" t="s">
        <v>1868</v>
      </c>
      <c r="N42" s="2070"/>
      <c r="O42" s="2085">
        <f>'Part I-Project Information'!O17</f>
        <v>7709801380</v>
      </c>
      <c r="P42" s="2085"/>
    </row>
    <row r="43" spans="1:16">
      <c r="A43" s="2070"/>
      <c r="B43" s="2076" t="s">
        <v>1865</v>
      </c>
      <c r="C43" s="2070"/>
      <c r="D43" s="2070"/>
      <c r="E43" s="2070"/>
      <c r="F43" s="2086" t="str">
        <f>'Part I-Project Information'!F18</f>
        <v>GA</v>
      </c>
      <c r="G43" s="2070"/>
      <c r="H43" s="2070"/>
      <c r="I43" s="2073" t="s">
        <v>2308</v>
      </c>
      <c r="J43" s="2087">
        <f>'Part I-Project Information'!J18</f>
        <v>303395704</v>
      </c>
      <c r="K43" s="2087"/>
      <c r="L43" s="2070"/>
      <c r="M43" s="2076" t="s">
        <v>2054</v>
      </c>
      <c r="N43" s="2070"/>
      <c r="O43" s="2085">
        <f>'Part I-Project Information'!O18</f>
        <v>4046251902</v>
      </c>
      <c r="P43" s="2085"/>
    </row>
    <row r="44" spans="1:16">
      <c r="A44" s="2070"/>
      <c r="B44" s="2076" t="s">
        <v>1786</v>
      </c>
      <c r="C44" s="2070"/>
      <c r="D44" s="2070"/>
      <c r="E44" s="2070"/>
      <c r="F44" s="2085">
        <f>'Part I-Project Information'!F19</f>
        <v>7709842100</v>
      </c>
      <c r="G44" s="2085"/>
      <c r="H44" s="2085"/>
      <c r="I44" s="2073" t="s">
        <v>1785</v>
      </c>
      <c r="J44" s="2073">
        <f>'Part I-Project Information'!J19</f>
        <v>130</v>
      </c>
      <c r="K44" s="2073" t="s">
        <v>2059</v>
      </c>
      <c r="L44" s="2070" t="str">
        <f>'Part I-Project Information'!L19</f>
        <v>bglisson@hallmarkco.com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The Pines Apartments</v>
      </c>
      <c r="G49" s="2089"/>
      <c r="H49" s="2089"/>
      <c r="I49" s="2089"/>
      <c r="J49" s="2089"/>
      <c r="K49" s="2089"/>
      <c r="L49" s="2076" t="s">
        <v>2271</v>
      </c>
      <c r="M49" s="2070"/>
      <c r="N49" s="2070"/>
      <c r="O49" s="2070" t="str">
        <f>'Part I-Project Information'!O24</f>
        <v>No</v>
      </c>
      <c r="P49" s="2070"/>
    </row>
    <row r="50" spans="1:16">
      <c r="A50" s="2090"/>
      <c r="B50" s="2070" t="s">
        <v>2802</v>
      </c>
      <c r="C50" s="2070"/>
      <c r="D50" s="2082"/>
      <c r="E50" s="2070"/>
      <c r="F50" s="2089" t="str">
        <f>'Part I-Project Information'!F25</f>
        <v>1119 Douglas Drive</v>
      </c>
      <c r="G50" s="2089"/>
      <c r="H50" s="2089"/>
      <c r="I50" s="2089"/>
      <c r="J50" s="2089"/>
      <c r="K50" s="2089"/>
      <c r="L50" s="2070" t="s">
        <v>4128</v>
      </c>
      <c r="M50" s="2070"/>
      <c r="N50" s="2070"/>
      <c r="O50" s="2070" t="str">
        <f>'Part I-Project Information'!O25</f>
        <v>N/A</v>
      </c>
      <c r="P50" s="2070"/>
    </row>
    <row r="51" spans="1:16">
      <c r="A51" s="2090"/>
      <c r="B51" s="2070" t="s">
        <v>4405</v>
      </c>
      <c r="C51" s="2070"/>
      <c r="D51" s="2082"/>
      <c r="E51" s="2070"/>
      <c r="F51" s="2089">
        <f>'Part I-Project Information'!F26</f>
        <v>0</v>
      </c>
      <c r="G51" s="2089"/>
      <c r="H51" s="2089"/>
      <c r="I51" s="2089"/>
      <c r="J51" s="2089"/>
      <c r="K51" s="2089"/>
      <c r="L51" s="2076" t="s">
        <v>2128</v>
      </c>
      <c r="M51" s="2070"/>
      <c r="N51" s="2070" t="str">
        <f>'Part I-Project Information'!N26</f>
        <v>No</v>
      </c>
      <c r="O51" s="2073" t="s">
        <v>4127</v>
      </c>
      <c r="P51" s="2070">
        <f>'Part I-Project Information'!P26</f>
        <v>1</v>
      </c>
    </row>
    <row r="52" spans="1:16" ht="13.5">
      <c r="A52" s="2090"/>
      <c r="B52" s="2070" t="s">
        <v>2898</v>
      </c>
      <c r="C52" s="2070"/>
      <c r="D52" s="2082"/>
      <c r="E52" s="2070"/>
      <c r="F52" s="2091" t="s">
        <v>4307</v>
      </c>
      <c r="G52" s="2092" t="str">
        <f>'Part I-Project Information'!$G$27</f>
        <v>30.757319927215576</v>
      </c>
      <c r="H52" s="2092"/>
      <c r="I52" s="2091" t="s">
        <v>4308</v>
      </c>
      <c r="J52" s="2092" t="str">
        <f>'Part I-Project Information'!$J$27</f>
        <v>-81.56742185354233</v>
      </c>
      <c r="K52" s="2089"/>
      <c r="L52" s="2076" t="s">
        <v>2363</v>
      </c>
      <c r="M52" s="2070"/>
      <c r="N52" s="2070"/>
      <c r="O52" s="2093">
        <f>'Part I-Project Information'!O27</f>
        <v>7.02</v>
      </c>
      <c r="P52" s="2093"/>
    </row>
    <row r="53" spans="1:16" ht="16.5">
      <c r="A53" s="2069"/>
      <c r="B53" s="2070" t="s">
        <v>642</v>
      </c>
      <c r="C53" s="2070"/>
      <c r="D53" s="2070"/>
      <c r="E53" s="2070"/>
      <c r="F53" s="2070" t="str">
        <f>'Part I-Project Information'!F28</f>
        <v>St. Marys</v>
      </c>
      <c r="G53" s="2070"/>
      <c r="H53" s="2070"/>
      <c r="I53" s="2084" t="s">
        <v>4406</v>
      </c>
      <c r="J53" s="2087">
        <f>'Part I-Project Information'!J28</f>
        <v>315584631</v>
      </c>
      <c r="K53" s="2087"/>
      <c r="L53" s="2068" t="str">
        <f>IF(AND(NOT(F49=""),NOT(F53="Select from list"),J53=""),"Enter Zip!","")</f>
        <v/>
      </c>
      <c r="M53" s="2094" t="s">
        <v>3061</v>
      </c>
      <c r="N53" s="2070"/>
      <c r="O53" s="2095" t="str">
        <f>'Part I-Project Information'!O28</f>
        <v>106.01</v>
      </c>
      <c r="P53" s="2096"/>
    </row>
    <row r="54" spans="1:16">
      <c r="A54" s="2069"/>
      <c r="B54" s="2070" t="s">
        <v>3854</v>
      </c>
      <c r="C54" s="2070"/>
      <c r="D54" s="2070"/>
      <c r="E54" s="2070"/>
      <c r="F54" s="2070" t="str">
        <f>'Part I-Project Information'!F29</f>
        <v>Within City Limits</v>
      </c>
      <c r="G54" s="2070"/>
      <c r="H54" s="2070"/>
      <c r="I54" s="2097" t="s">
        <v>643</v>
      </c>
      <c r="J54" s="2089" t="str">
        <f>'Part I-Project Information'!J29</f>
        <v>Camden</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Yes</v>
      </c>
      <c r="G55" s="2070" t="s">
        <v>2899</v>
      </c>
      <c r="H55" s="2070"/>
      <c r="I55" s="2073" t="str">
        <f>'Part I-Project Information'!I30</f>
        <v>Yes</v>
      </c>
      <c r="J55" s="2073" t="s">
        <v>2920</v>
      </c>
      <c r="K55" s="2073" t="str">
        <f>'Part I-Project Information'!K30</f>
        <v>Rural</v>
      </c>
      <c r="L55" s="2070"/>
      <c r="M55" s="2076" t="s">
        <v>2699</v>
      </c>
      <c r="N55" s="2069" t="e">
        <f>VLOOKUP($J$29,'DCA Underwriting Assumptions'!$G$141:$J$300,4)</f>
        <v>#N/A</v>
      </c>
      <c r="O55" s="2070" t="str">
        <f>'Part I-Project Information'!O30</f>
        <v>Camden Co.</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4407</v>
      </c>
      <c r="D57" s="2070"/>
      <c r="E57" s="2070"/>
      <c r="F57" s="2100" t="s">
        <v>2878</v>
      </c>
      <c r="G57" s="2100"/>
      <c r="H57" s="2070" t="s">
        <v>766</v>
      </c>
      <c r="I57" s="2070"/>
      <c r="J57" s="2070" t="s">
        <v>767</v>
      </c>
      <c r="K57" s="2070"/>
      <c r="L57" s="2101" t="s">
        <v>4159</v>
      </c>
      <c r="M57" s="2070"/>
      <c r="N57" s="2070"/>
      <c r="O57" s="2070"/>
      <c r="P57" s="2070"/>
    </row>
    <row r="58" spans="1:16">
      <c r="A58" s="2069"/>
      <c r="B58" s="2070" t="s">
        <v>4408</v>
      </c>
      <c r="C58" s="2070"/>
      <c r="D58" s="2068"/>
      <c r="E58" s="2070"/>
      <c r="F58" s="2102">
        <f>'Part I-Project Information'!F33</f>
        <v>1</v>
      </c>
      <c r="G58" s="2102"/>
      <c r="H58" s="2102">
        <f>'Part I-Project Information'!H33</f>
        <v>3</v>
      </c>
      <c r="I58" s="2102"/>
      <c r="J58" s="2102">
        <f>'Part I-Project Information'!J33</f>
        <v>180</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St. Marys, Georgia</v>
      </c>
      <c r="G61" s="2105"/>
      <c r="H61" s="2105"/>
      <c r="I61" s="2105"/>
      <c r="J61" s="2105"/>
      <c r="K61" s="2105"/>
      <c r="L61" s="2106" t="s">
        <v>2808</v>
      </c>
      <c r="M61" s="2070" t="str">
        <f>'Part I-Project Information'!M36</f>
        <v>http://www.stmarysga.gov/government/mayor_and_city_council/index.php</v>
      </c>
      <c r="N61" s="2070"/>
      <c r="O61" s="2070"/>
      <c r="P61" s="2070"/>
    </row>
    <row r="62" spans="1:16">
      <c r="A62" s="2069"/>
      <c r="B62" s="2070" t="s">
        <v>662</v>
      </c>
      <c r="C62" s="2070"/>
      <c r="D62" s="2070"/>
      <c r="E62" s="2070"/>
      <c r="F62" s="2105" t="str">
        <f>'Part I-Project Information'!F37</f>
        <v>John F. Morrisey</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St. Marys City Hall, 418 Osborne Street</v>
      </c>
      <c r="G63" s="2105"/>
      <c r="H63" s="2105"/>
      <c r="I63" s="2105"/>
      <c r="J63" s="2105"/>
      <c r="K63" s="2105"/>
      <c r="L63" s="2076" t="s">
        <v>642</v>
      </c>
      <c r="M63" s="2105" t="str">
        <f>'Part I-Project Information'!M38</f>
        <v>St. Marys</v>
      </c>
      <c r="N63" s="2105"/>
      <c r="O63" s="2105"/>
      <c r="P63" s="2105"/>
    </row>
    <row r="64" spans="1:16">
      <c r="A64" s="2069"/>
      <c r="B64" s="2076" t="s">
        <v>2308</v>
      </c>
      <c r="C64" s="2070"/>
      <c r="D64" s="2070"/>
      <c r="E64" s="2070"/>
      <c r="F64" s="2087">
        <f>'Part I-Project Information'!F39</f>
        <v>315588402</v>
      </c>
      <c r="G64" s="2087"/>
      <c r="H64" s="2073" t="s">
        <v>2057</v>
      </c>
      <c r="I64" s="2085">
        <f>'Part I-Project Information'!I39</f>
        <v>9125104041</v>
      </c>
      <c r="J64" s="2085"/>
      <c r="K64" s="2085"/>
      <c r="L64" s="2076" t="s">
        <v>1866</v>
      </c>
      <c r="M64" s="2105" t="str">
        <f>'Part I-Project Information'!M39</f>
        <v>John.Morrissey@stmarysga.gov</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4409</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0</v>
      </c>
      <c r="I69" s="2075"/>
      <c r="J69" s="2075"/>
      <c r="K69" s="2076" t="s">
        <v>4110</v>
      </c>
      <c r="L69" s="2070"/>
      <c r="M69" s="2110" t="s">
        <v>4109</v>
      </c>
      <c r="N69" s="2109">
        <f>'Part VI-Revenues &amp; Expenses'!$O$81</f>
        <v>0</v>
      </c>
      <c r="O69" s="2111" t="s">
        <v>3544</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70</v>
      </c>
      <c r="I71" s="2113" t="s">
        <v>3067</v>
      </c>
      <c r="J71" s="2070"/>
      <c r="K71" s="2070" t="s">
        <v>361</v>
      </c>
      <c r="L71" s="2070"/>
      <c r="M71" s="2070"/>
      <c r="N71" s="2070"/>
      <c r="O71" s="2070"/>
      <c r="P71" s="2114" t="str">
        <f>'Part I-Project Information'!P46</f>
        <v>1981</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3849</v>
      </c>
      <c r="J75" s="2090" t="s">
        <v>2193</v>
      </c>
      <c r="K75" s="2117" t="s">
        <v>2382</v>
      </c>
      <c r="L75" s="2070"/>
      <c r="M75" s="2070"/>
      <c r="N75" s="2070"/>
      <c r="O75" s="2070"/>
      <c r="P75" s="2073"/>
    </row>
    <row r="76" spans="1:16">
      <c r="A76" s="2069"/>
      <c r="B76" s="2086"/>
      <c r="C76" s="2075" t="s">
        <v>2357</v>
      </c>
      <c r="D76" s="2070"/>
      <c r="E76" s="2070"/>
      <c r="F76" s="2070"/>
      <c r="G76" s="2070"/>
      <c r="H76" s="2118">
        <f>SUM(H77:H78)</f>
        <v>70</v>
      </c>
      <c r="I76" s="2118">
        <f>SUM(I77:I78)</f>
        <v>70</v>
      </c>
      <c r="J76" s="2069"/>
      <c r="K76" s="2075" t="s">
        <v>2890</v>
      </c>
      <c r="L76" s="2070"/>
      <c r="M76" s="2070"/>
      <c r="N76" s="2070"/>
      <c r="O76" s="2070"/>
      <c r="P76" s="2118">
        <f>'Part VI-Revenues &amp; Expenses'!$O$115</f>
        <v>53960</v>
      </c>
    </row>
    <row r="77" spans="1:16">
      <c r="A77" s="2069"/>
      <c r="B77" s="2075"/>
      <c r="C77" s="2070"/>
      <c r="D77" s="2100" t="s">
        <v>399</v>
      </c>
      <c r="E77" s="2070"/>
      <c r="F77" s="2070"/>
      <c r="G77" s="2070"/>
      <c r="H77" s="2118">
        <f>'Part VI-Revenues &amp; Expenses'!$O$57</f>
        <v>15</v>
      </c>
      <c r="I77" s="2118">
        <f>'Part VI-Revenues &amp; Expenses'!$O$65</f>
        <v>15</v>
      </c>
      <c r="J77" s="2070"/>
      <c r="K77" s="2075" t="s">
        <v>2891</v>
      </c>
      <c r="L77" s="2070"/>
      <c r="M77" s="2070"/>
      <c r="N77" s="2070"/>
      <c r="O77" s="2070"/>
      <c r="P77" s="2118">
        <f>'Part VI-Revenues &amp; Expenses'!$O$116</f>
        <v>0</v>
      </c>
    </row>
    <row r="78" spans="1:16">
      <c r="A78" s="2069"/>
      <c r="B78" s="2070"/>
      <c r="C78" s="2070"/>
      <c r="D78" s="2100" t="s">
        <v>1890</v>
      </c>
      <c r="E78" s="2100"/>
      <c r="F78" s="2070"/>
      <c r="G78" s="2070"/>
      <c r="H78" s="2118">
        <f>'Part VI-Revenues &amp; Expenses'!$O$56</f>
        <v>55</v>
      </c>
      <c r="I78" s="2118">
        <f>'Part VI-Revenues &amp; Expenses'!$O$64</f>
        <v>55</v>
      </c>
      <c r="J78" s="2070"/>
      <c r="K78" s="2075" t="s">
        <v>2892</v>
      </c>
      <c r="L78" s="2070"/>
      <c r="M78" s="2070"/>
      <c r="N78" s="2070"/>
      <c r="O78" s="2070"/>
      <c r="P78" s="2118">
        <f>P76+P77</f>
        <v>53960</v>
      </c>
    </row>
    <row r="79" spans="1:16">
      <c r="A79" s="2069"/>
      <c r="B79" s="2070"/>
      <c r="C79" s="2075" t="s">
        <v>264</v>
      </c>
      <c r="D79" s="2070"/>
      <c r="E79" s="2070"/>
      <c r="F79" s="2070"/>
      <c r="G79" s="2070"/>
      <c r="H79" s="2118">
        <f>'Part VI-Revenues &amp; Expenses'!$O$59</f>
        <v>0</v>
      </c>
      <c r="I79" s="2070"/>
      <c r="J79" s="2069"/>
      <c r="K79" s="2075" t="s">
        <v>2893</v>
      </c>
      <c r="L79" s="2070"/>
      <c r="M79" s="2070"/>
      <c r="N79" s="2070"/>
      <c r="O79" s="2070"/>
      <c r="P79" s="2118">
        <f>'Part VI-Revenues &amp; Expenses'!$O$118</f>
        <v>0</v>
      </c>
    </row>
    <row r="80" spans="1:16">
      <c r="A80" s="2069"/>
      <c r="B80" s="2070"/>
      <c r="C80" s="2075" t="s">
        <v>2492</v>
      </c>
      <c r="D80" s="2070"/>
      <c r="E80" s="2070"/>
      <c r="F80" s="2070"/>
      <c r="G80" s="2070"/>
      <c r="H80" s="2118">
        <f>H76+H79</f>
        <v>70</v>
      </c>
      <c r="I80" s="2070"/>
      <c r="J80" s="2069"/>
      <c r="K80" s="2075" t="s">
        <v>1474</v>
      </c>
      <c r="L80" s="2070"/>
      <c r="M80" s="2070"/>
      <c r="N80" s="2070"/>
      <c r="O80" s="2070"/>
      <c r="P80" s="2118">
        <f>+P78+P79</f>
        <v>53960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70</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5</v>
      </c>
      <c r="I84" s="2070"/>
      <c r="J84" s="2070"/>
      <c r="K84" s="2075" t="s">
        <v>1165</v>
      </c>
      <c r="L84" s="2070"/>
      <c r="M84" s="2070"/>
      <c r="N84" s="2070"/>
      <c r="O84" s="2070"/>
      <c r="P84" s="2118">
        <f>'Part I-Project Information'!P59</f>
        <v>2800</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56760</v>
      </c>
    </row>
    <row r="86" spans="1:16">
      <c r="A86" s="2069"/>
      <c r="B86" s="2069"/>
      <c r="C86" s="2070"/>
      <c r="D86" s="2086" t="s">
        <v>2074</v>
      </c>
      <c r="E86" s="2070"/>
      <c r="F86" s="2070"/>
      <c r="G86" s="2070"/>
      <c r="H86" s="2118">
        <f>+H84+H85</f>
        <v>6</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2980</v>
      </c>
      <c r="D88" s="2070"/>
      <c r="E88" s="2070"/>
      <c r="F88" s="2070"/>
      <c r="G88" s="2070"/>
      <c r="H88" s="2118">
        <f>'Part I-Project Information'!H63</f>
        <v>114</v>
      </c>
      <c r="I88" s="2070"/>
      <c r="J88" s="2070"/>
      <c r="K88" s="2070" t="s">
        <v>2983</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4410</v>
      </c>
      <c r="D92" s="2120"/>
      <c r="E92" s="2120"/>
      <c r="F92" s="2070"/>
      <c r="G92" s="2073"/>
      <c r="H92" s="2100" t="str">
        <f>'Part I-Project Information'!H67</f>
        <v>Family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3503</v>
      </c>
      <c r="L94" s="2121"/>
      <c r="M94" s="2122" t="s">
        <v>3068</v>
      </c>
      <c r="N94" s="2118">
        <f>'Part I-Project Information'!N69</f>
        <v>0</v>
      </c>
      <c r="O94" s="2122" t="s">
        <v>3069</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3070</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5.7142857142857141E-2</v>
      </c>
      <c r="O98" s="2082" t="s">
        <v>4146</v>
      </c>
      <c r="P98" s="2124">
        <f>'DCA Underwriting Assumptions'!$Q$124</f>
        <v>0.05</v>
      </c>
    </row>
    <row r="99" spans="1:16">
      <c r="A99" s="2069"/>
      <c r="B99" s="2069"/>
      <c r="C99" s="2070"/>
      <c r="D99" s="2086" t="s">
        <v>2978</v>
      </c>
      <c r="E99" s="2086"/>
      <c r="F99" s="2086" t="s">
        <v>828</v>
      </c>
      <c r="G99" s="2070"/>
      <c r="H99" s="2118">
        <f>'Part I-Project Information'!H74</f>
        <v>2</v>
      </c>
      <c r="I99" s="2070"/>
      <c r="J99" s="2070"/>
      <c r="K99" s="2070" t="s">
        <v>2979</v>
      </c>
      <c r="L99" s="2070"/>
      <c r="M99" s="2070"/>
      <c r="N99" s="2123">
        <f>IF(H98=0,0,H99/H98)</f>
        <v>0.5</v>
      </c>
      <c r="O99" s="2082" t="s">
        <v>4146</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4</v>
      </c>
      <c r="I101" s="2070"/>
      <c r="J101" s="2070"/>
      <c r="K101" s="2070" t="s">
        <v>539</v>
      </c>
      <c r="L101" s="2070"/>
      <c r="M101" s="2070"/>
      <c r="N101" s="2123">
        <f>IF('Part VI-Revenues &amp; Expenses'!$O$62=0,0,H101/'Part VI-Revenues &amp; Expenses'!$O$62)</f>
        <v>5.7142857142857141E-2</v>
      </c>
      <c r="O101" s="2082" t="s">
        <v>4146</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No</v>
      </c>
      <c r="I111" s="2070"/>
      <c r="J111" s="2070"/>
      <c r="K111" s="2100" t="s">
        <v>3654</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t="str">
        <f>'Part I-Project Information'!H88</f>
        <v>No</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4097</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911773</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Martin H. Petersen ("Pete")</v>
      </c>
      <c r="D135" s="2083"/>
      <c r="E135" s="2083"/>
      <c r="F135" s="2083" t="str">
        <f>'Part I-Project Information'!F110</f>
        <v>Sawgrass Cove Apartments</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William A. Glisson ("Billy")</v>
      </c>
      <c r="D136" s="2083"/>
      <c r="E136" s="2083"/>
      <c r="F136" s="2083" t="str">
        <f>'Part I-Project Information'!F111</f>
        <v>Sawgrass Cove Apartments</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Yes</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4411</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No</v>
      </c>
      <c r="J179" s="2100" t="s">
        <v>792</v>
      </c>
      <c r="K179" s="2100"/>
      <c r="L179" s="2084">
        <f>'Part I-Project Information'!L154</f>
        <v>0</v>
      </c>
      <c r="M179" s="2070" t="s">
        <v>2406</v>
      </c>
      <c r="N179" s="2070"/>
      <c r="O179" s="2070"/>
      <c r="P179" s="2133">
        <f>'Part I-Project Information'!P154</f>
        <v>0</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Yes</v>
      </c>
      <c r="J183" s="2137" t="s">
        <v>2868</v>
      </c>
      <c r="K183" s="2070"/>
      <c r="L183" s="2100" t="s">
        <v>1532</v>
      </c>
      <c r="M183" s="2100"/>
      <c r="N183" s="2120"/>
      <c r="O183" s="2120"/>
      <c r="P183" s="2138">
        <f>'Part I-Project Information'!P158</f>
        <v>70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67</v>
      </c>
    </row>
    <row r="185" spans="1:16">
      <c r="A185" s="2069"/>
      <c r="B185" s="2069"/>
      <c r="C185" s="2070"/>
      <c r="D185" s="2070"/>
      <c r="E185" s="2070"/>
      <c r="F185" s="2070"/>
      <c r="G185" s="2070"/>
      <c r="H185" s="2070"/>
      <c r="I185" s="2070"/>
      <c r="J185" s="2070"/>
      <c r="K185" s="2070"/>
      <c r="L185" s="2070" t="s">
        <v>1857</v>
      </c>
      <c r="M185" s="2070"/>
      <c r="N185" s="2120"/>
      <c r="O185" s="2120"/>
      <c r="P185" s="2139">
        <f>IF(P183="","",P184/P183)</f>
        <v>0.95714285714285718</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Yes</v>
      </c>
      <c r="J188" s="2070"/>
      <c r="K188" s="2070"/>
      <c r="L188" s="2070" t="s">
        <v>2984</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t="str">
        <f>'Part I-Project Information'!N164</f>
        <v>N/A</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3753</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3046</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42887</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43252</v>
      </c>
      <c r="I196" s="2127"/>
      <c r="J196" s="2070"/>
      <c r="K196" s="2070"/>
      <c r="L196" s="2070"/>
      <c r="M196" s="2070"/>
      <c r="N196" s="2070"/>
      <c r="O196" s="2070"/>
      <c r="P196" s="2088"/>
    </row>
    <row r="197" spans="1:19">
      <c r="A197" s="2069"/>
      <c r="B197" s="2069"/>
      <c r="C197" s="2076" t="s">
        <v>2375</v>
      </c>
      <c r="D197" s="2086"/>
      <c r="E197" s="2086"/>
      <c r="F197" s="2073"/>
      <c r="G197" s="2073"/>
      <c r="H197" s="2127" t="str">
        <f>'Part I-Project Information'!H172</f>
        <v>N/A</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2331</v>
      </c>
      <c r="L199" s="2117" t="s">
        <v>81</v>
      </c>
      <c r="M199" s="2075"/>
      <c r="N199" s="2075"/>
      <c r="O199" s="2075"/>
      <c r="P199" s="2075"/>
    </row>
    <row r="200" spans="1:19" ht="391.5">
      <c r="A200" s="2143" t="str">
        <f>'Part I-Project Information'!A175</f>
        <v>The applicant is proposing an acquisition and rehabilitation an existing 70-unit HUD Section-8 Family property that has not been rehabbed since its initial construction in 1981.  The property is currently 95.71% occupied.  Please see the Project Narrative tab for fulll detail on the proposed acquisition and rehabilitation project.</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2016-079 The Pines Apartments,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3683</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Hallmark Pines, LP</v>
      </c>
      <c r="I209" s="2100"/>
      <c r="J209" s="2100"/>
      <c r="K209" s="2100"/>
      <c r="L209" s="2100"/>
      <c r="M209" s="2100"/>
      <c r="N209" s="2100"/>
      <c r="O209" s="2076" t="s">
        <v>2065</v>
      </c>
      <c r="P209" s="2076"/>
      <c r="Q209" s="2070" t="str">
        <f>'Part II-Development Team'!Q5</f>
        <v>Martin H. Petersen</v>
      </c>
      <c r="R209" s="2100"/>
      <c r="S209" s="2100"/>
    </row>
    <row r="210" spans="1:19">
      <c r="A210" s="2070"/>
      <c r="B210" s="2070"/>
      <c r="C210" s="2070"/>
      <c r="D210" s="2144"/>
      <c r="E210" s="2076" t="s">
        <v>1058</v>
      </c>
      <c r="F210" s="2082"/>
      <c r="G210" s="2070"/>
      <c r="H210" s="2070" t="str">
        <f>'Part II-Development Team'!H6</f>
        <v>3111 Paces Mill Road, STE A-250</v>
      </c>
      <c r="I210" s="2100"/>
      <c r="J210" s="2100"/>
      <c r="K210" s="2100"/>
      <c r="L210" s="2100"/>
      <c r="M210" s="2100"/>
      <c r="N210" s="2100"/>
      <c r="O210" s="2076" t="s">
        <v>1813</v>
      </c>
      <c r="P210" s="2070"/>
      <c r="Q210" s="2070" t="str">
        <f>'Part II-Development Team'!Q6</f>
        <v>Manager</v>
      </c>
      <c r="R210" s="2100"/>
      <c r="S210" s="2100"/>
    </row>
    <row r="211" spans="1:19">
      <c r="A211" s="2070"/>
      <c r="B211" s="2070"/>
      <c r="C211" s="2070"/>
      <c r="D211" s="2144"/>
      <c r="E211" s="2076" t="s">
        <v>642</v>
      </c>
      <c r="F211" s="2070"/>
      <c r="G211" s="2070"/>
      <c r="H211" s="2070" t="str">
        <f>'Part II-Development Team'!H7</f>
        <v>Atlanta</v>
      </c>
      <c r="I211" s="2100"/>
      <c r="J211" s="2100"/>
      <c r="K211" s="2073" t="s">
        <v>793</v>
      </c>
      <c r="L211" s="2070">
        <f>'Part II-Development Team'!L7</f>
        <v>0</v>
      </c>
      <c r="M211" s="2100"/>
      <c r="N211" s="2100"/>
      <c r="O211" s="2076" t="s">
        <v>1869</v>
      </c>
      <c r="P211" s="2070"/>
      <c r="Q211" s="2085">
        <f>'Part II-Development Team'!Q7</f>
        <v>7706350157</v>
      </c>
      <c r="R211" s="2085"/>
      <c r="S211" s="2085"/>
    </row>
    <row r="212" spans="1:19">
      <c r="A212" s="2070"/>
      <c r="B212" s="2070"/>
      <c r="C212" s="2070"/>
      <c r="D212" s="2144"/>
      <c r="E212" s="2076" t="s">
        <v>1865</v>
      </c>
      <c r="F212" s="2070"/>
      <c r="G212" s="2070"/>
      <c r="H212" s="2073" t="str">
        <f>'Part II-Development Team'!H8</f>
        <v>GA</v>
      </c>
      <c r="I212" s="2073" t="s">
        <v>2308</v>
      </c>
      <c r="J212" s="2087">
        <f>'Part II-Development Team'!J8</f>
        <v>303395704</v>
      </c>
      <c r="K212" s="2100"/>
      <c r="L212" s="2070" t="s">
        <v>4138</v>
      </c>
      <c r="M212" s="2070" t="str">
        <f>'Part II-Development Team'!M8</f>
        <v>For Profit</v>
      </c>
      <c r="N212" s="2070"/>
      <c r="O212" s="2076" t="s">
        <v>2054</v>
      </c>
      <c r="P212" s="2070"/>
      <c r="Q212" s="2085">
        <f>'Part II-Development Team'!Q8</f>
        <v>4042340004</v>
      </c>
      <c r="R212" s="2085"/>
      <c r="S212" s="2085"/>
    </row>
    <row r="213" spans="1:19">
      <c r="A213" s="2070"/>
      <c r="B213" s="2070"/>
      <c r="C213" s="2070"/>
      <c r="D213" s="2144"/>
      <c r="E213" s="2076" t="s">
        <v>2060</v>
      </c>
      <c r="F213" s="2070"/>
      <c r="G213" s="2070"/>
      <c r="H213" s="2085">
        <f>'Part II-Development Team'!H9</f>
        <v>7709842100</v>
      </c>
      <c r="I213" s="2085"/>
      <c r="J213" s="2084">
        <f>'Part II-Development Team'!J9</f>
        <v>107</v>
      </c>
      <c r="K213" s="2073" t="s">
        <v>2059</v>
      </c>
      <c r="L213" s="2089" t="str">
        <f>'Part II-Development Team'!L9</f>
        <v>ppetersen@hallmarkco.com</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4160</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Hallmark Pines Manager, LLC</v>
      </c>
      <c r="I218" s="2100"/>
      <c r="J218" s="2100"/>
      <c r="K218" s="2100"/>
      <c r="L218" s="2100"/>
      <c r="M218" s="2100"/>
      <c r="N218" s="2100"/>
      <c r="O218" s="2076" t="s">
        <v>2065</v>
      </c>
      <c r="P218" s="2076"/>
      <c r="Q218" s="2070" t="str">
        <f>'Part II-Development Team'!Q14</f>
        <v>Martin H. Petersen</v>
      </c>
      <c r="R218" s="2100"/>
      <c r="S218" s="2100"/>
    </row>
    <row r="219" spans="1:19">
      <c r="A219" s="2070"/>
      <c r="B219" s="2070"/>
      <c r="C219" s="2070"/>
      <c r="D219" s="2144"/>
      <c r="E219" s="2076" t="s">
        <v>1058</v>
      </c>
      <c r="F219" s="2082"/>
      <c r="G219" s="2070"/>
      <c r="H219" s="2070" t="str">
        <f>'Part II-Development Team'!H15</f>
        <v>3111 Paces Mill Road, STE A-250</v>
      </c>
      <c r="I219" s="2100"/>
      <c r="J219" s="2100"/>
      <c r="K219" s="2100"/>
      <c r="L219" s="2100"/>
      <c r="M219" s="2100"/>
      <c r="N219" s="2100"/>
      <c r="O219" s="2076" t="s">
        <v>1813</v>
      </c>
      <c r="P219" s="2070"/>
      <c r="Q219" s="2070" t="str">
        <f>'Part II-Development Team'!Q15</f>
        <v>Manager</v>
      </c>
      <c r="R219" s="2100"/>
      <c r="S219" s="2100"/>
    </row>
    <row r="220" spans="1:19">
      <c r="A220" s="2070"/>
      <c r="B220" s="2070"/>
      <c r="C220" s="2070"/>
      <c r="D220" s="2144"/>
      <c r="E220" s="2076" t="s">
        <v>642</v>
      </c>
      <c r="F220" s="2070"/>
      <c r="G220" s="2070"/>
      <c r="H220" s="2070" t="str">
        <f>'Part II-Development Team'!H16</f>
        <v>Atlanta</v>
      </c>
      <c r="I220" s="2100"/>
      <c r="J220" s="2100"/>
      <c r="K220" s="2073" t="s">
        <v>2808</v>
      </c>
      <c r="L220" s="2070" t="str">
        <f>'Part II-Development Team'!L16</f>
        <v>http://www.hallmarkco.com/</v>
      </c>
      <c r="M220" s="2100"/>
      <c r="N220" s="2100"/>
      <c r="O220" s="2076" t="s">
        <v>1869</v>
      </c>
      <c r="P220" s="2070"/>
      <c r="Q220" s="2085">
        <f>'Part II-Development Team'!Q16</f>
        <v>7706350157</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303395704</v>
      </c>
      <c r="M221" s="2100"/>
      <c r="N221" s="2070"/>
      <c r="O221" s="2076" t="s">
        <v>2054</v>
      </c>
      <c r="P221" s="2070"/>
      <c r="Q221" s="2085">
        <f>'Part II-Development Team'!Q17</f>
        <v>4042340004</v>
      </c>
      <c r="R221" s="2085"/>
      <c r="S221" s="2085"/>
    </row>
    <row r="222" spans="1:19">
      <c r="A222" s="2070"/>
      <c r="B222" s="2070"/>
      <c r="C222" s="2070"/>
      <c r="D222" s="2144"/>
      <c r="E222" s="2076" t="s">
        <v>2060</v>
      </c>
      <c r="F222" s="2070"/>
      <c r="G222" s="2070"/>
      <c r="H222" s="2085">
        <f>'Part II-Development Team'!H18</f>
        <v>7709842100</v>
      </c>
      <c r="I222" s="2085"/>
      <c r="J222" s="2084">
        <f>'Part II-Development Team'!J18</f>
        <v>107</v>
      </c>
      <c r="K222" s="2073" t="s">
        <v>2059</v>
      </c>
      <c r="L222" s="2089" t="str">
        <f>'Part II-Development Team'!L18</f>
        <v>ppetersen@hallmarkco.com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2808</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Community Affordable Housing Equity Corporation</v>
      </c>
      <c r="I237" s="2100"/>
      <c r="J237" s="2100"/>
      <c r="K237" s="2100"/>
      <c r="L237" s="2100"/>
      <c r="M237" s="2100"/>
      <c r="N237" s="2100"/>
      <c r="O237" s="2076" t="s">
        <v>2065</v>
      </c>
      <c r="P237" s="2076"/>
      <c r="Q237" s="2070" t="str">
        <f>'Part II-Development Team'!Q33</f>
        <v>Yolanda Winstead</v>
      </c>
      <c r="R237" s="2100"/>
      <c r="S237" s="2100"/>
    </row>
    <row r="238" spans="1:19">
      <c r="A238" s="2070"/>
      <c r="B238" s="2070"/>
      <c r="C238" s="2070"/>
      <c r="D238" s="2144"/>
      <c r="E238" s="2076" t="s">
        <v>1058</v>
      </c>
      <c r="F238" s="2082"/>
      <c r="G238" s="2070"/>
      <c r="H238" s="2070" t="str">
        <f>'Part II-Development Team'!H34</f>
        <v>7700 Falls of Neuse Road, Suite 200</v>
      </c>
      <c r="I238" s="2100"/>
      <c r="J238" s="2100"/>
      <c r="K238" s="2100"/>
      <c r="L238" s="2100"/>
      <c r="M238" s="2100"/>
      <c r="N238" s="2100"/>
      <c r="O238" s="2076" t="s">
        <v>1813</v>
      </c>
      <c r="P238" s="2070"/>
      <c r="Q238" s="2070" t="str">
        <f>'Part II-Development Team'!Q34</f>
        <v>Senior Acquisitions Manager</v>
      </c>
      <c r="R238" s="2100"/>
      <c r="S238" s="2100"/>
    </row>
    <row r="239" spans="1:19">
      <c r="A239" s="2070"/>
      <c r="B239" s="2070"/>
      <c r="C239" s="2070"/>
      <c r="D239" s="2144"/>
      <c r="E239" s="2076" t="s">
        <v>642</v>
      </c>
      <c r="F239" s="2070"/>
      <c r="G239" s="2070"/>
      <c r="H239" s="2070" t="str">
        <f>'Part II-Development Team'!H35</f>
        <v>Raleigh</v>
      </c>
      <c r="I239" s="2100"/>
      <c r="J239" s="2100"/>
      <c r="K239" s="2073" t="s">
        <v>2808</v>
      </c>
      <c r="L239" s="2070" t="str">
        <f>'Part II-Development Team'!L35</f>
        <v>http://www.cahec.com/</v>
      </c>
      <c r="M239" s="2100"/>
      <c r="N239" s="2100"/>
      <c r="O239" s="2076" t="s">
        <v>1869</v>
      </c>
      <c r="P239" s="2070"/>
      <c r="Q239" s="2085">
        <f>'Part II-Development Team'!Q35</f>
        <v>9197881815</v>
      </c>
      <c r="R239" s="2085"/>
      <c r="S239" s="2085"/>
    </row>
    <row r="240" spans="1:19">
      <c r="A240" s="2070"/>
      <c r="B240" s="2070"/>
      <c r="C240" s="2070"/>
      <c r="D240" s="2070"/>
      <c r="E240" s="2076" t="s">
        <v>1865</v>
      </c>
      <c r="F240" s="2070"/>
      <c r="G240" s="2070"/>
      <c r="H240" s="2073" t="str">
        <f>'Part II-Development Team'!H36</f>
        <v>NC</v>
      </c>
      <c r="I240" s="2070"/>
      <c r="J240" s="2070"/>
      <c r="K240" s="2073" t="s">
        <v>2308</v>
      </c>
      <c r="L240" s="2087">
        <f>'Part II-Development Team'!L36</f>
        <v>276153354</v>
      </c>
      <c r="M240" s="2100"/>
      <c r="N240" s="2070"/>
      <c r="O240" s="2076" t="s">
        <v>2054</v>
      </c>
      <c r="P240" s="2070"/>
      <c r="Q240" s="2085">
        <f>'Part II-Development Team'!Q36</f>
        <v>0</v>
      </c>
      <c r="R240" s="2085"/>
      <c r="S240" s="2085"/>
    </row>
    <row r="241" spans="1:19">
      <c r="A241" s="2070"/>
      <c r="B241" s="2070"/>
      <c r="C241" s="2070"/>
      <c r="D241" s="2144"/>
      <c r="E241" s="2076" t="s">
        <v>2060</v>
      </c>
      <c r="F241" s="2070"/>
      <c r="G241" s="2070"/>
      <c r="H241" s="2085">
        <f>'Part II-Development Team'!H37</f>
        <v>9194200063</v>
      </c>
      <c r="I241" s="2085"/>
      <c r="J241" s="2084">
        <f>'Part II-Development Team'!J37</f>
        <v>211</v>
      </c>
      <c r="K241" s="2073" t="s">
        <v>2059</v>
      </c>
      <c r="L241" s="2089" t="str">
        <f>'Part II-Development Team'!L37</f>
        <v>ywinstead@cahec.com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Sugar Creek Capital</v>
      </c>
      <c r="I243" s="2100"/>
      <c r="J243" s="2100"/>
      <c r="K243" s="2100"/>
      <c r="L243" s="2100"/>
      <c r="M243" s="2100"/>
      <c r="N243" s="2100"/>
      <c r="O243" s="2076" t="s">
        <v>2065</v>
      </c>
      <c r="P243" s="2076"/>
      <c r="Q243" s="2070" t="str">
        <f>'Part II-Development Team'!Q39</f>
        <v>Chris Hite</v>
      </c>
      <c r="R243" s="2100"/>
      <c r="S243" s="2100"/>
    </row>
    <row r="244" spans="1:19">
      <c r="A244" s="2070"/>
      <c r="B244" s="2070"/>
      <c r="C244" s="2070"/>
      <c r="D244" s="2144"/>
      <c r="E244" s="2076" t="s">
        <v>1058</v>
      </c>
      <c r="F244" s="2082"/>
      <c r="G244" s="2070"/>
      <c r="H244" s="2070" t="str">
        <f>'Part II-Development Team'!H40</f>
        <v>17 W. Lockwood Avenue</v>
      </c>
      <c r="I244" s="2100"/>
      <c r="J244" s="2100"/>
      <c r="K244" s="2100"/>
      <c r="L244" s="2100"/>
      <c r="M244" s="2100"/>
      <c r="N244" s="2100"/>
      <c r="O244" s="2076" t="s">
        <v>1813</v>
      </c>
      <c r="P244" s="2070"/>
      <c r="Q244" s="2070" t="str">
        <f>'Part II-Development Team'!Q40</f>
        <v>President</v>
      </c>
      <c r="R244" s="2100"/>
      <c r="S244" s="2100"/>
    </row>
    <row r="245" spans="1:19">
      <c r="A245" s="2070"/>
      <c r="B245" s="2070"/>
      <c r="C245" s="2070"/>
      <c r="D245" s="2144"/>
      <c r="E245" s="2076" t="s">
        <v>642</v>
      </c>
      <c r="F245" s="2070"/>
      <c r="G245" s="2070"/>
      <c r="H245" s="2070" t="str">
        <f>'Part II-Development Team'!H41</f>
        <v>St. Louis</v>
      </c>
      <c r="I245" s="2100"/>
      <c r="J245" s="2100"/>
      <c r="K245" s="2073" t="s">
        <v>2808</v>
      </c>
      <c r="L245" s="2070" t="str">
        <f>'Part II-Development Team'!L41</f>
        <v>http://www.sugarcreekcapital.com/</v>
      </c>
      <c r="M245" s="2100"/>
      <c r="N245" s="2100"/>
      <c r="O245" s="2076" t="s">
        <v>1869</v>
      </c>
      <c r="P245" s="2070"/>
      <c r="Q245" s="2085">
        <f>'Part II-Development Team'!Q41</f>
        <v>3143616804</v>
      </c>
      <c r="R245" s="2085"/>
      <c r="S245" s="2085"/>
    </row>
    <row r="246" spans="1:19">
      <c r="A246" s="2070"/>
      <c r="B246" s="2070"/>
      <c r="C246" s="2070"/>
      <c r="D246" s="2068"/>
      <c r="E246" s="2076" t="s">
        <v>1865</v>
      </c>
      <c r="F246" s="2070"/>
      <c r="G246" s="2070"/>
      <c r="H246" s="2073" t="str">
        <f>'Part II-Development Team'!H42</f>
        <v>MO</v>
      </c>
      <c r="I246" s="2070"/>
      <c r="J246" s="2070"/>
      <c r="K246" s="2073" t="s">
        <v>2308</v>
      </c>
      <c r="L246" s="2087">
        <f>'Part II-Development Team'!L42</f>
        <v>631192931</v>
      </c>
      <c r="M246" s="2100"/>
      <c r="N246" s="2070"/>
      <c r="O246" s="2076" t="s">
        <v>2054</v>
      </c>
      <c r="P246" s="2070"/>
      <c r="Q246" s="2085">
        <f>'Part II-Development Team'!Q42</f>
        <v>3144821700</v>
      </c>
      <c r="R246" s="2085"/>
      <c r="S246" s="2085"/>
    </row>
    <row r="247" spans="1:19">
      <c r="A247" s="2070"/>
      <c r="B247" s="2070"/>
      <c r="C247" s="2070"/>
      <c r="D247" s="2144"/>
      <c r="E247" s="2076" t="s">
        <v>2060</v>
      </c>
      <c r="F247" s="2070"/>
      <c r="G247" s="2070"/>
      <c r="H247" s="2085">
        <f>'Part II-Development Team'!H43</f>
        <v>3149682205</v>
      </c>
      <c r="I247" s="2085"/>
      <c r="J247" s="2084">
        <f>'Part II-Development Team'!J43</f>
        <v>0</v>
      </c>
      <c r="K247" s="2073" t="s">
        <v>2059</v>
      </c>
      <c r="L247" s="2089" t="str">
        <f>'Part II-Development Team'!L43</f>
        <v>chite@sugarcreekcapital.com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2065</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2808</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2308</v>
      </c>
      <c r="L253" s="2087">
        <f>'Part II-Development Team'!L49</f>
        <v>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Hallmark Development Services, LLC</v>
      </c>
      <c r="I258" s="2100"/>
      <c r="J258" s="2100"/>
      <c r="K258" s="2100"/>
      <c r="L258" s="2100"/>
      <c r="M258" s="2100"/>
      <c r="N258" s="2100"/>
      <c r="O258" s="2076" t="s">
        <v>2065</v>
      </c>
      <c r="P258" s="2076"/>
      <c r="Q258" s="2070" t="str">
        <f>'Part II-Development Team'!Q54</f>
        <v>Martin H. Petersen</v>
      </c>
      <c r="R258" s="2100"/>
      <c r="S258" s="2100"/>
    </row>
    <row r="259" spans="1:19">
      <c r="A259" s="2070"/>
      <c r="B259" s="2070"/>
      <c r="C259" s="2070"/>
      <c r="D259" s="2144"/>
      <c r="E259" s="2076" t="s">
        <v>1058</v>
      </c>
      <c r="F259" s="2082"/>
      <c r="G259" s="2070"/>
      <c r="H259" s="2070" t="str">
        <f>'Part II-Development Team'!H55</f>
        <v>3111 Paces Mill Road, STE A-250</v>
      </c>
      <c r="I259" s="2100"/>
      <c r="J259" s="2100"/>
      <c r="K259" s="2100"/>
      <c r="L259" s="2100"/>
      <c r="M259" s="2100"/>
      <c r="N259" s="2100"/>
      <c r="O259" s="2076" t="s">
        <v>1813</v>
      </c>
      <c r="P259" s="2070"/>
      <c r="Q259" s="2070" t="str">
        <f>'Part II-Development Team'!Q55</f>
        <v>Manager</v>
      </c>
      <c r="R259" s="2100"/>
      <c r="S259" s="2100"/>
    </row>
    <row r="260" spans="1:19">
      <c r="A260" s="2070"/>
      <c r="B260" s="2070"/>
      <c r="C260" s="2070"/>
      <c r="D260" s="2144"/>
      <c r="E260" s="2076" t="s">
        <v>642</v>
      </c>
      <c r="F260" s="2070"/>
      <c r="G260" s="2070"/>
      <c r="H260" s="2070" t="str">
        <f>'Part II-Development Team'!H56</f>
        <v>Atlanta</v>
      </c>
      <c r="I260" s="2100"/>
      <c r="J260" s="2100"/>
      <c r="K260" s="2073" t="s">
        <v>2808</v>
      </c>
      <c r="L260" s="2070" t="str">
        <f>'Part II-Development Team'!L56</f>
        <v>http://www.hallmarkco.com/</v>
      </c>
      <c r="M260" s="2100"/>
      <c r="N260" s="2100"/>
      <c r="O260" s="2076" t="s">
        <v>1869</v>
      </c>
      <c r="P260" s="2070"/>
      <c r="Q260" s="2085">
        <f>'Part II-Development Team'!Q56</f>
        <v>7706350157</v>
      </c>
      <c r="R260" s="2085"/>
      <c r="S260" s="2085"/>
    </row>
    <row r="261" spans="1:19">
      <c r="A261" s="2070"/>
      <c r="B261" s="2070"/>
      <c r="C261" s="2070"/>
      <c r="D261" s="2070"/>
      <c r="E261" s="2076" t="s">
        <v>1865</v>
      </c>
      <c r="F261" s="2070"/>
      <c r="G261" s="2070"/>
      <c r="H261" s="2073" t="str">
        <f>'Part II-Development Team'!H57</f>
        <v>GA</v>
      </c>
      <c r="I261" s="2070"/>
      <c r="J261" s="2070"/>
      <c r="K261" s="2073" t="s">
        <v>2308</v>
      </c>
      <c r="L261" s="2087">
        <f>'Part II-Development Team'!L57</f>
        <v>303395704</v>
      </c>
      <c r="M261" s="2100"/>
      <c r="N261" s="2070"/>
      <c r="O261" s="2076" t="s">
        <v>2054</v>
      </c>
      <c r="P261" s="2070"/>
      <c r="Q261" s="2085">
        <f>'Part II-Development Team'!Q57</f>
        <v>4042340004</v>
      </c>
      <c r="R261" s="2085"/>
      <c r="S261" s="2085"/>
    </row>
    <row r="262" spans="1:19">
      <c r="A262" s="2070"/>
      <c r="B262" s="2070"/>
      <c r="C262" s="2070"/>
      <c r="D262" s="2144"/>
      <c r="E262" s="2076" t="s">
        <v>2060</v>
      </c>
      <c r="F262" s="2070"/>
      <c r="G262" s="2070"/>
      <c r="H262" s="2085">
        <f>'Part II-Development Team'!H58</f>
        <v>7709842100</v>
      </c>
      <c r="I262" s="2085"/>
      <c r="J262" s="2084">
        <f>'Part II-Development Team'!J58</f>
        <v>107</v>
      </c>
      <c r="K262" s="2073" t="s">
        <v>2059</v>
      </c>
      <c r="L262" s="2089" t="str">
        <f>'Part II-Development Team'!L58</f>
        <v>ppetersen@hallmarkco.com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2808</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Formula Construction Group, LLC</v>
      </c>
      <c r="I290" s="2100"/>
      <c r="J290" s="2100"/>
      <c r="K290" s="2100"/>
      <c r="L290" s="2100"/>
      <c r="M290" s="2100"/>
      <c r="N290" s="2100"/>
      <c r="O290" s="2076" t="s">
        <v>2065</v>
      </c>
      <c r="P290" s="2076"/>
      <c r="Q290" s="2070" t="str">
        <f>'Part II-Development Team'!Q86</f>
        <v>Ross Haynes</v>
      </c>
      <c r="R290" s="2100"/>
      <c r="S290" s="2100"/>
    </row>
    <row r="291" spans="1:19">
      <c r="A291" s="2070"/>
      <c r="B291" s="2070"/>
      <c r="C291" s="2070"/>
      <c r="D291" s="2144"/>
      <c r="E291" s="2076" t="s">
        <v>1058</v>
      </c>
      <c r="F291" s="2082"/>
      <c r="G291" s="2070"/>
      <c r="H291" s="2070" t="str">
        <f>'Part II-Development Team'!H87</f>
        <v>515 E. Crossville Road, Suite 350</v>
      </c>
      <c r="I291" s="2100"/>
      <c r="J291" s="2100"/>
      <c r="K291" s="2100"/>
      <c r="L291" s="2100"/>
      <c r="M291" s="2100"/>
      <c r="N291" s="2100"/>
      <c r="O291" s="2076" t="s">
        <v>1813</v>
      </c>
      <c r="P291" s="2070"/>
      <c r="Q291" s="2070" t="str">
        <f>'Part II-Development Team'!Q87</f>
        <v>CEO</v>
      </c>
      <c r="R291" s="2100"/>
      <c r="S291" s="2100"/>
    </row>
    <row r="292" spans="1:19">
      <c r="A292" s="2070"/>
      <c r="B292" s="2070"/>
      <c r="C292" s="2070"/>
      <c r="D292" s="2144"/>
      <c r="E292" s="2076" t="s">
        <v>642</v>
      </c>
      <c r="F292" s="2070"/>
      <c r="G292" s="2070"/>
      <c r="H292" s="2070" t="str">
        <f>'Part II-Development Team'!H88</f>
        <v>Roswell</v>
      </c>
      <c r="I292" s="2100"/>
      <c r="J292" s="2100"/>
      <c r="K292" s="2073" t="s">
        <v>2808</v>
      </c>
      <c r="L292" s="2070" t="str">
        <f>'Part II-Development Team'!L88</f>
        <v>http://www.formulaconstruction.com/</v>
      </c>
      <c r="M292" s="2100"/>
      <c r="N292" s="2100"/>
      <c r="O292" s="2076" t="s">
        <v>1869</v>
      </c>
      <c r="P292" s="2070"/>
      <c r="Q292" s="2085">
        <f>'Part II-Development Team'!Q88</f>
        <v>8006727090</v>
      </c>
      <c r="R292" s="2085"/>
      <c r="S292" s="2085"/>
    </row>
    <row r="293" spans="1:19">
      <c r="A293" s="2070"/>
      <c r="B293" s="2070"/>
      <c r="C293" s="2070"/>
      <c r="D293" s="2070"/>
      <c r="E293" s="2076" t="s">
        <v>1865</v>
      </c>
      <c r="F293" s="2070"/>
      <c r="G293" s="2070"/>
      <c r="H293" s="2073" t="str">
        <f>'Part II-Development Team'!H89</f>
        <v>GA</v>
      </c>
      <c r="I293" s="2070"/>
      <c r="J293" s="2070"/>
      <c r="K293" s="2073" t="s">
        <v>2308</v>
      </c>
      <c r="L293" s="2087">
        <f>'Part II-Development Team'!L89</f>
        <v>300755860</v>
      </c>
      <c r="M293" s="2100"/>
      <c r="N293" s="2070"/>
      <c r="O293" s="2076" t="s">
        <v>2054</v>
      </c>
      <c r="P293" s="2070"/>
      <c r="Q293" s="2085">
        <f>'Part II-Development Team'!Q89</f>
        <v>7708266841</v>
      </c>
      <c r="R293" s="2085"/>
      <c r="S293" s="2085"/>
    </row>
    <row r="294" spans="1:19">
      <c r="A294" s="2070"/>
      <c r="B294" s="2070"/>
      <c r="C294" s="2070"/>
      <c r="D294" s="2144"/>
      <c r="E294" s="2076" t="s">
        <v>2060</v>
      </c>
      <c r="F294" s="2070"/>
      <c r="G294" s="2070"/>
      <c r="H294" s="2085">
        <f>'Part II-Development Team'!H90</f>
        <v>8006727090</v>
      </c>
      <c r="I294" s="2085"/>
      <c r="J294" s="2084">
        <f>'Part II-Development Team'!J90</f>
        <v>0</v>
      </c>
      <c r="K294" s="2073" t="s">
        <v>2059</v>
      </c>
      <c r="L294" s="2089" t="str">
        <f>'Part II-Development Team'!L90</f>
        <v>ross.haynes@formulaconstruction.com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Hallmark Management, Inc.</v>
      </c>
      <c r="I296" s="2100"/>
      <c r="J296" s="2100"/>
      <c r="K296" s="2100"/>
      <c r="L296" s="2100"/>
      <c r="M296" s="2100"/>
      <c r="N296" s="2100"/>
      <c r="O296" s="2076" t="s">
        <v>2065</v>
      </c>
      <c r="P296" s="2076"/>
      <c r="Q296" s="2070" t="str">
        <f>'Part II-Development Team'!Q92</f>
        <v>Martin H. Petersen</v>
      </c>
      <c r="R296" s="2100"/>
      <c r="S296" s="2100"/>
    </row>
    <row r="297" spans="1:19">
      <c r="A297" s="2070"/>
      <c r="B297" s="2070"/>
      <c r="C297" s="2070"/>
      <c r="D297" s="2144"/>
      <c r="E297" s="2076" t="s">
        <v>1058</v>
      </c>
      <c r="F297" s="2082"/>
      <c r="G297" s="2070"/>
      <c r="H297" s="2070" t="str">
        <f>'Part II-Development Team'!H93</f>
        <v>3111 Paces Mill Road, STE A-250</v>
      </c>
      <c r="I297" s="2100"/>
      <c r="J297" s="2100"/>
      <c r="K297" s="2100"/>
      <c r="L297" s="2100"/>
      <c r="M297" s="2100"/>
      <c r="N297" s="2100"/>
      <c r="O297" s="2076" t="s">
        <v>1813</v>
      </c>
      <c r="P297" s="2070"/>
      <c r="Q297" s="2070" t="str">
        <f>'Part II-Development Team'!Q93</f>
        <v>President</v>
      </c>
      <c r="R297" s="2100"/>
      <c r="S297" s="2100"/>
    </row>
    <row r="298" spans="1:19">
      <c r="A298" s="2070"/>
      <c r="B298" s="2070"/>
      <c r="C298" s="2070"/>
      <c r="D298" s="2144"/>
      <c r="E298" s="2076" t="s">
        <v>642</v>
      </c>
      <c r="F298" s="2070"/>
      <c r="G298" s="2070"/>
      <c r="H298" s="2070" t="str">
        <f>'Part II-Development Team'!H94</f>
        <v>Atlanta</v>
      </c>
      <c r="I298" s="2100"/>
      <c r="J298" s="2100"/>
      <c r="K298" s="2073" t="s">
        <v>2808</v>
      </c>
      <c r="L298" s="2070" t="str">
        <f>'Part II-Development Team'!L94</f>
        <v>http://www.hallmarkco.com/</v>
      </c>
      <c r="M298" s="2100"/>
      <c r="N298" s="2100"/>
      <c r="O298" s="2076" t="s">
        <v>1869</v>
      </c>
      <c r="P298" s="2070"/>
      <c r="Q298" s="2085">
        <f>'Part II-Development Team'!Q94</f>
        <v>7706350157</v>
      </c>
      <c r="R298" s="2085"/>
      <c r="S298" s="2085"/>
    </row>
    <row r="299" spans="1:19">
      <c r="A299" s="2070"/>
      <c r="B299" s="2070"/>
      <c r="C299" s="2070"/>
      <c r="D299" s="2144"/>
      <c r="E299" s="2076" t="s">
        <v>1865</v>
      </c>
      <c r="F299" s="2070"/>
      <c r="G299" s="2070"/>
      <c r="H299" s="2073" t="str">
        <f>'Part II-Development Team'!H95</f>
        <v>GA</v>
      </c>
      <c r="I299" s="2070"/>
      <c r="J299" s="2070"/>
      <c r="K299" s="2073" t="s">
        <v>2308</v>
      </c>
      <c r="L299" s="2087">
        <f>'Part II-Development Team'!L95</f>
        <v>303395704</v>
      </c>
      <c r="M299" s="2100"/>
      <c r="N299" s="2070"/>
      <c r="O299" s="2076" t="s">
        <v>2054</v>
      </c>
      <c r="P299" s="2070"/>
      <c r="Q299" s="2085">
        <f>'Part II-Development Team'!Q95</f>
        <v>4042340004</v>
      </c>
      <c r="R299" s="2085"/>
      <c r="S299" s="2085"/>
    </row>
    <row r="300" spans="1:19">
      <c r="A300" s="2070"/>
      <c r="B300" s="2070"/>
      <c r="C300" s="2070"/>
      <c r="D300" s="2144"/>
      <c r="E300" s="2076" t="s">
        <v>2060</v>
      </c>
      <c r="F300" s="2070"/>
      <c r="G300" s="2070"/>
      <c r="H300" s="2085">
        <f>'Part II-Development Team'!H96</f>
        <v>7709842100</v>
      </c>
      <c r="I300" s="2085"/>
      <c r="J300" s="2084">
        <f>'Part II-Development Team'!J96</f>
        <v>107</v>
      </c>
      <c r="K300" s="2073" t="s">
        <v>2059</v>
      </c>
      <c r="L300" s="2089" t="str">
        <f>'Part II-Development Team'!L96</f>
        <v>ppetersen@hallmarkco.com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Coleman Talley LLP</v>
      </c>
      <c r="I302" s="2100"/>
      <c r="J302" s="2100"/>
      <c r="K302" s="2100"/>
      <c r="L302" s="2100"/>
      <c r="M302" s="2100"/>
      <c r="N302" s="2100"/>
      <c r="O302" s="2076" t="s">
        <v>2065</v>
      </c>
      <c r="P302" s="2076"/>
      <c r="Q302" s="2070" t="str">
        <f>'Part II-Development Team'!Q98</f>
        <v>Greg Clark</v>
      </c>
      <c r="R302" s="2100"/>
      <c r="S302" s="2100"/>
    </row>
    <row r="303" spans="1:19">
      <c r="A303" s="2070"/>
      <c r="B303" s="2070"/>
      <c r="C303" s="2070"/>
      <c r="D303" s="2144"/>
      <c r="E303" s="2076" t="s">
        <v>1058</v>
      </c>
      <c r="F303" s="2082"/>
      <c r="G303" s="2070"/>
      <c r="H303" s="2070" t="str">
        <f>'Part II-Development Team'!H99</f>
        <v>910 North Patterson Street</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Valdosta</v>
      </c>
      <c r="I304" s="2100"/>
      <c r="J304" s="2100"/>
      <c r="K304" s="2073" t="s">
        <v>2808</v>
      </c>
      <c r="L304" s="2070" t="str">
        <f>'Part II-Development Team'!L100</f>
        <v>http://www.colemantalley.com/</v>
      </c>
      <c r="M304" s="2100"/>
      <c r="N304" s="2100"/>
      <c r="O304" s="2076" t="s">
        <v>1869</v>
      </c>
      <c r="P304" s="2070"/>
      <c r="Q304" s="2085">
        <f>'Part II-Development Team'!Q100</f>
        <v>2296718260</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316014531</v>
      </c>
      <c r="M305" s="2100"/>
      <c r="N305" s="2070"/>
      <c r="O305" s="2076" t="s">
        <v>2054</v>
      </c>
      <c r="P305" s="2070"/>
      <c r="Q305" s="2085">
        <f>'Part II-Development Team'!Q101</f>
        <v>2298349704</v>
      </c>
      <c r="R305" s="2085"/>
      <c r="S305" s="2085"/>
    </row>
    <row r="306" spans="1:19">
      <c r="A306" s="2075"/>
      <c r="B306" s="2075"/>
      <c r="C306" s="2075"/>
      <c r="D306" s="2075"/>
      <c r="E306" s="2076" t="s">
        <v>2060</v>
      </c>
      <c r="F306" s="2070"/>
      <c r="G306" s="2070"/>
      <c r="H306" s="2085">
        <f>'Part II-Development Team'!H102</f>
        <v>2296718260</v>
      </c>
      <c r="I306" s="2085"/>
      <c r="J306" s="2084">
        <f>'Part II-Development Team'!J102</f>
        <v>0</v>
      </c>
      <c r="K306" s="2073" t="s">
        <v>2059</v>
      </c>
      <c r="L306" s="2089" t="str">
        <f>'Part II-Development Team'!L102</f>
        <v>greg.clark@colemantalley.com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Tidwell Group</v>
      </c>
      <c r="I309" s="2100"/>
      <c r="J309" s="2100"/>
      <c r="K309" s="2100"/>
      <c r="L309" s="2100"/>
      <c r="M309" s="2100"/>
      <c r="N309" s="2100"/>
      <c r="O309" s="2076" t="s">
        <v>2065</v>
      </c>
      <c r="P309" s="2076"/>
      <c r="Q309" s="2070" t="str">
        <f>'Part II-Development Team'!Q105</f>
        <v>Brent Barringer</v>
      </c>
      <c r="R309" s="2100"/>
      <c r="S309" s="2100"/>
    </row>
    <row r="310" spans="1:19">
      <c r="A310" s="2070"/>
      <c r="B310" s="2070"/>
      <c r="C310" s="2070"/>
      <c r="D310" s="2144"/>
      <c r="E310" s="2076" t="s">
        <v>1058</v>
      </c>
      <c r="F310" s="2082"/>
      <c r="G310" s="2070"/>
      <c r="H310" s="2070" t="str">
        <f>'Part II-Development Team'!H106</f>
        <v>2001 Park Place, Suite 900</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Birmingham</v>
      </c>
      <c r="I311" s="2100"/>
      <c r="J311" s="2100"/>
      <c r="K311" s="2073" t="s">
        <v>2808</v>
      </c>
      <c r="L311" s="2070" t="str">
        <f>'Part II-Development Team'!L107</f>
        <v>http://tidwellgroup.com/</v>
      </c>
      <c r="M311" s="2100"/>
      <c r="N311" s="2100"/>
      <c r="O311" s="2076" t="s">
        <v>1869</v>
      </c>
      <c r="P311" s="2070"/>
      <c r="Q311" s="2085">
        <f>'Part II-Development Team'!Q107</f>
        <v>2052715543</v>
      </c>
      <c r="R311" s="2085"/>
      <c r="S311" s="2085"/>
    </row>
    <row r="312" spans="1:19">
      <c r="A312" s="2070"/>
      <c r="B312" s="2070"/>
      <c r="C312" s="2070"/>
      <c r="D312" s="2144"/>
      <c r="E312" s="2076" t="s">
        <v>1865</v>
      </c>
      <c r="F312" s="2070"/>
      <c r="G312" s="2070"/>
      <c r="H312" s="2073" t="str">
        <f>'Part II-Development Team'!H108</f>
        <v>AL</v>
      </c>
      <c r="I312" s="2070"/>
      <c r="J312" s="2070"/>
      <c r="K312" s="2073" t="s">
        <v>2308</v>
      </c>
      <c r="L312" s="2087">
        <f>'Part II-Development Team'!L108</f>
        <v>352032700</v>
      </c>
      <c r="M312" s="2100"/>
      <c r="N312" s="2070"/>
      <c r="O312" s="2076" t="s">
        <v>2054</v>
      </c>
      <c r="P312" s="2070"/>
      <c r="Q312" s="2085">
        <f>'Part II-Development Team'!Q108</f>
        <v>3346634523</v>
      </c>
      <c r="R312" s="2085"/>
      <c r="S312" s="2085"/>
    </row>
    <row r="313" spans="1:19">
      <c r="A313" s="2075"/>
      <c r="B313" s="2075"/>
      <c r="C313" s="2075"/>
      <c r="D313" s="2075"/>
      <c r="E313" s="2076" t="s">
        <v>2060</v>
      </c>
      <c r="F313" s="2070"/>
      <c r="G313" s="2070"/>
      <c r="H313" s="2085">
        <f>'Part II-Development Team'!H109</f>
        <v>2058221010</v>
      </c>
      <c r="I313" s="2085"/>
      <c r="J313" s="2084">
        <f>'Part II-Development Team'!J109</f>
        <v>0</v>
      </c>
      <c r="K313" s="2073" t="s">
        <v>2059</v>
      </c>
      <c r="L313" s="2089" t="str">
        <f>'Part II-Development Team'!L109</f>
        <v>brent.barringer@thefctgroup.com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Studio 8 Design</v>
      </c>
      <c r="I315" s="2100"/>
      <c r="J315" s="2100"/>
      <c r="K315" s="2100"/>
      <c r="L315" s="2100"/>
      <c r="M315" s="2100"/>
      <c r="N315" s="2100"/>
      <c r="O315" s="2076" t="s">
        <v>2065</v>
      </c>
      <c r="P315" s="2076"/>
      <c r="Q315" s="2070" t="str">
        <f>'Part II-Development Team'!Q111</f>
        <v>Robert Byington</v>
      </c>
      <c r="R315" s="2100"/>
      <c r="S315" s="2100"/>
    </row>
    <row r="316" spans="1:19">
      <c r="A316" s="2070"/>
      <c r="B316" s="2070"/>
      <c r="C316" s="2070"/>
      <c r="D316" s="2144"/>
      <c r="E316" s="2076" t="s">
        <v>1058</v>
      </c>
      <c r="F316" s="2082"/>
      <c r="G316" s="2070"/>
      <c r="H316" s="2070" t="str">
        <f>'Part II-Development Team'!H112</f>
        <v>2722 N. Oak Street</v>
      </c>
      <c r="I316" s="2100"/>
      <c r="J316" s="2100"/>
      <c r="K316" s="2100"/>
      <c r="L316" s="2100"/>
      <c r="M316" s="2100"/>
      <c r="N316" s="2100"/>
      <c r="O316" s="2076" t="s">
        <v>1813</v>
      </c>
      <c r="P316" s="2070"/>
      <c r="Q316" s="2070" t="str">
        <f>'Part II-Development Team'!Q112</f>
        <v>Principal</v>
      </c>
      <c r="R316" s="2100"/>
      <c r="S316" s="2100"/>
    </row>
    <row r="317" spans="1:19">
      <c r="A317" s="2070"/>
      <c r="B317" s="2070"/>
      <c r="C317" s="2070"/>
      <c r="D317" s="2144"/>
      <c r="E317" s="2076" t="s">
        <v>642</v>
      </c>
      <c r="F317" s="2070"/>
      <c r="G317" s="2070"/>
      <c r="H317" s="2070" t="str">
        <f>'Part II-Development Team'!H113</f>
        <v>Valdosta</v>
      </c>
      <c r="I317" s="2100"/>
      <c r="J317" s="2100"/>
      <c r="K317" s="2073" t="s">
        <v>2808</v>
      </c>
      <c r="L317" s="2070" t="str">
        <f>'Part II-Development Team'!L113</f>
        <v>http://www.s8darchitects.com/</v>
      </c>
      <c r="M317" s="2100"/>
      <c r="N317" s="2100"/>
      <c r="O317" s="2076" t="s">
        <v>1869</v>
      </c>
      <c r="P317" s="2070"/>
      <c r="Q317" s="2085">
        <f>'Part II-Development Team'!Q113</f>
        <v>2292441188</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316021770</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2292441188</v>
      </c>
      <c r="I319" s="2085"/>
      <c r="J319" s="2084">
        <f>'Part II-Development Team'!J115</f>
        <v>0</v>
      </c>
      <c r="K319" s="2073" t="s">
        <v>2059</v>
      </c>
      <c r="L319" s="2089" t="str">
        <f>'Part II-Development Team'!L115</f>
        <v>rbyington@s8darchitects.com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4412</v>
      </c>
      <c r="D322" s="2070"/>
      <c r="E322" s="2070"/>
      <c r="F322" s="2070"/>
      <c r="G322" s="2070"/>
      <c r="H322" s="2070" t="str">
        <f>'Part II-Development Team'!H118</f>
        <v>Hall Properties-Pines, Ltd., L.P.</v>
      </c>
      <c r="I322" s="2070"/>
      <c r="J322" s="2070"/>
      <c r="K322" s="2073" t="s">
        <v>2560</v>
      </c>
      <c r="L322" s="2070" t="str">
        <f>'Part II-Development Team'!L118</f>
        <v>Martin H. Petersen</v>
      </c>
      <c r="M322" s="2100"/>
      <c r="N322" s="2100"/>
      <c r="O322" s="2076" t="s">
        <v>3870</v>
      </c>
      <c r="P322" s="2070"/>
      <c r="Q322" s="2070" t="str">
        <f>'Part II-Development Team'!Q118</f>
        <v>7709842100 / 107</v>
      </c>
      <c r="R322" s="2100"/>
      <c r="S322" s="2100"/>
    </row>
    <row r="323" spans="1:19">
      <c r="A323" s="2070"/>
      <c r="B323" s="2070"/>
      <c r="C323" s="2070"/>
      <c r="D323" s="2144"/>
      <c r="E323" s="2076" t="s">
        <v>1058</v>
      </c>
      <c r="F323" s="2082"/>
      <c r="G323" s="2070"/>
      <c r="H323" s="2070" t="str">
        <f>'Part II-Development Team'!H119</f>
        <v>3111 Paces  Mill Road, STE A-250</v>
      </c>
      <c r="I323" s="2100"/>
      <c r="J323" s="2100"/>
      <c r="K323" s="2100"/>
      <c r="L323" s="2100"/>
      <c r="M323" s="2100"/>
      <c r="N323" s="2100"/>
      <c r="O323" s="2076" t="s">
        <v>642</v>
      </c>
      <c r="P323" s="2070"/>
      <c r="Q323" s="2070" t="str">
        <f>'Part II-Development Team'!Q119</f>
        <v>Atlanta</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303395704</v>
      </c>
      <c r="K324" s="2100"/>
      <c r="L324" s="2073" t="s">
        <v>2059</v>
      </c>
      <c r="M324" s="2089" t="str">
        <f>'Part II-Development Team'!M120</f>
        <v>ppetersen@hallmarkco.com</v>
      </c>
      <c r="N324" s="2089"/>
      <c r="O324" s="2089"/>
      <c r="P324" s="2089"/>
      <c r="Q324" s="2089"/>
      <c r="R324" s="2089"/>
      <c r="S324" s="2089"/>
    </row>
    <row r="325" spans="1:19">
      <c r="A325" s="2075"/>
      <c r="B325" s="2068" t="s">
        <v>2061</v>
      </c>
      <c r="C325" s="2068" t="s">
        <v>2973</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3685</v>
      </c>
      <c r="B326" s="2067"/>
      <c r="C326" s="2067"/>
      <c r="D326" s="2067"/>
      <c r="E326" s="2067"/>
      <c r="F326" s="2084" t="s">
        <v>2597</v>
      </c>
      <c r="G326" s="2129" t="s">
        <v>3746</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2974</v>
      </c>
      <c r="E327" s="2067"/>
      <c r="F327" s="2150" t="str">
        <f>'Part II-Development Team'!F123</f>
        <v>No</v>
      </c>
      <c r="G327" s="2151" t="str">
        <f>'Part II-Development Team'!G123</f>
        <v>N/A - No Identity of interest to disclose.</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3045</v>
      </c>
      <c r="E328" s="2067"/>
      <c r="F328" s="2150" t="str">
        <f>'Part II-Development Team'!F124</f>
        <v>Yes</v>
      </c>
      <c r="G328" s="2151" t="str">
        <f>'Part II-Development Team'!G124</f>
        <v>Martin H. Petersen is the Managing Member of the General Partner of the Seller (Improvements and Land) and the Manager of the General Partner of the Buyer (Improvements).  Martin H. Petersen is also the Manager of the Buyer (Land) and the Manager of the optionor/long-term lessor of the land.</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3017</v>
      </c>
      <c r="E329" s="2067"/>
      <c r="F329" s="2150" t="str">
        <f>'Part II-Development Team'!F125</f>
        <v>No</v>
      </c>
      <c r="G329" s="2151" t="str">
        <f>'Part II-Development Team'!G125</f>
        <v>N/A - No Identity of interest to disclose.</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2975</v>
      </c>
      <c r="E330" s="2067"/>
      <c r="F330" s="2150" t="str">
        <f>'Part II-Development Team'!F126</f>
        <v>No</v>
      </c>
      <c r="G330" s="2151" t="str">
        <f>'Part II-Development Team'!G126</f>
        <v>N/A - No Identity of interest to disclose.</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3725</v>
      </c>
      <c r="E331" s="2067"/>
      <c r="F331" s="2150" t="str">
        <f>'Part II-Development Team'!F127</f>
        <v>No</v>
      </c>
      <c r="G331" s="2151" t="str">
        <f>'Part II-Development Team'!G127</f>
        <v>N/A - No Identity of interest to disclose.</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3726</v>
      </c>
      <c r="E332" s="2067"/>
      <c r="F332" s="2150" t="str">
        <f>'Part II-Development Team'!F128</f>
        <v>No</v>
      </c>
      <c r="G332" s="2151" t="str">
        <f>'Part II-Development Team'!G128</f>
        <v>N/A - No Identity of interest to disclose.</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2976</v>
      </c>
      <c r="E333" s="2067"/>
      <c r="F333" s="2150" t="str">
        <f>'Part II-Development Team'!F129</f>
        <v>No</v>
      </c>
      <c r="G333" s="2151" t="str">
        <f>'Part II-Development Team'!G129</f>
        <v>N/A - No Identity of interest to disclose.</v>
      </c>
      <c r="H333" s="2151"/>
      <c r="I333" s="2151"/>
      <c r="J333" s="2151"/>
      <c r="K333" s="2151"/>
      <c r="L333" s="2151"/>
      <c r="M333" s="2151"/>
      <c r="N333" s="2151"/>
      <c r="O333" s="2151"/>
      <c r="P333" s="2151"/>
      <c r="Q333" s="2151"/>
      <c r="R333" s="2151"/>
      <c r="S333" s="2151"/>
    </row>
    <row r="334" spans="1:19" ht="216.75">
      <c r="A334" s="2070"/>
      <c r="B334" s="2134"/>
      <c r="C334" s="2149" t="s">
        <v>522</v>
      </c>
      <c r="D334" s="2067" t="s">
        <v>1659</v>
      </c>
      <c r="E334" s="2067"/>
      <c r="F334" s="2150" t="str">
        <f>'Part II-Development Team'!F130</f>
        <v>Yes</v>
      </c>
      <c r="G334" s="2151" t="str">
        <f>'Part II-Development Team'!G130</f>
        <v>Martin H. Petersen is the President of the proposed Management Agent and the Manager of the General Partner of the Buyer.  Also, Martin H. Petersen is the President of the proposed Management Agent and the Manager of the Developer.</v>
      </c>
      <c r="H334" s="2151"/>
      <c r="I334" s="2151"/>
      <c r="J334" s="2151"/>
      <c r="K334" s="2151"/>
      <c r="L334" s="2151"/>
      <c r="M334" s="2151"/>
      <c r="N334" s="2151"/>
      <c r="O334" s="2151"/>
      <c r="P334" s="2151"/>
      <c r="Q334" s="2151"/>
      <c r="R334" s="2151"/>
      <c r="S334" s="2151"/>
    </row>
    <row r="335" spans="1:19">
      <c r="A335" s="2068" t="s">
        <v>1858</v>
      </c>
      <c r="B335" s="2068" t="s">
        <v>4413</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2977</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3691</v>
      </c>
      <c r="F338" s="2152"/>
      <c r="G338" s="2152"/>
      <c r="H338" s="2152"/>
      <c r="I338" s="2152"/>
      <c r="J338" s="2067" t="s">
        <v>3692</v>
      </c>
      <c r="K338" s="2152" t="s">
        <v>4414</v>
      </c>
      <c r="L338" s="2152" t="s">
        <v>4415</v>
      </c>
      <c r="M338" s="2152" t="s">
        <v>4416</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3724</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3063</v>
      </c>
      <c r="O342" s="2100"/>
      <c r="P342" s="2100"/>
      <c r="Q342" s="2100"/>
      <c r="R342" s="2100"/>
      <c r="S342" s="2100"/>
    </row>
    <row r="343" spans="1:19" ht="12.75" customHeight="1">
      <c r="A343" s="2067" t="s">
        <v>3686</v>
      </c>
      <c r="B343" s="2067"/>
      <c r="C343" s="2067"/>
      <c r="D343" s="2067"/>
      <c r="E343" s="2151" t="str">
        <f>'Part II-Development Team'!E139</f>
        <v>Hallmark Pines Manager, LLC</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Yes</v>
      </c>
      <c r="N343" s="2151" t="str">
        <f>'Part II-Development Team'!N139</f>
        <v>Martin H. Petersen is the Manager of the Managing General Partner for the Owner/Applicant and is the Managing Member of the General Partner of the Seller.</v>
      </c>
      <c r="O343" s="2151"/>
      <c r="P343" s="2151"/>
      <c r="Q343" s="2151"/>
      <c r="R343" s="2151"/>
      <c r="S343" s="2151"/>
    </row>
    <row r="344" spans="1:19" ht="12.75" customHeight="1">
      <c r="A344" s="2067" t="s">
        <v>3687</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3688</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3689</v>
      </c>
      <c r="B346" s="2067"/>
      <c r="C346" s="2067"/>
      <c r="D346" s="2067"/>
      <c r="E346" s="2151" t="str">
        <f>'Part II-Development Team'!E142</f>
        <v>Community Affordable Housing Equity Corporation</v>
      </c>
      <c r="F346" s="2151"/>
      <c r="G346" s="2151"/>
      <c r="H346" s="2151"/>
      <c r="I346" s="2150" t="str">
        <f>'Part II-Development Team'!I142</f>
        <v>No</v>
      </c>
      <c r="J346" s="2150" t="str">
        <f>'Part II-Development Team'!J142</f>
        <v>No</v>
      </c>
      <c r="K346" s="2155" t="str">
        <f>'Part II-Development Team'!K142</f>
        <v>Nonprofit</v>
      </c>
      <c r="L346" s="2156">
        <f>'Part II-Development Team'!L142</f>
        <v>0.99980000000000002</v>
      </c>
      <c r="M346" s="2150" t="str">
        <f>'Part II-Development Team'!M142</f>
        <v>No</v>
      </c>
      <c r="N346" s="2151" t="str">
        <f>'Part II-Development Team'!N142</f>
        <v>N/A</v>
      </c>
      <c r="O346" s="2151"/>
      <c r="P346" s="2151"/>
      <c r="Q346" s="2151"/>
      <c r="R346" s="2151"/>
      <c r="S346" s="2151"/>
    </row>
    <row r="347" spans="1:19" ht="12.75" customHeight="1">
      <c r="A347" s="2067" t="s">
        <v>3690</v>
      </c>
      <c r="B347" s="2067"/>
      <c r="C347" s="2067"/>
      <c r="D347" s="2067"/>
      <c r="E347" s="2151" t="str">
        <f>'Part II-Development Team'!E143</f>
        <v>Sugar Creek Capital</v>
      </c>
      <c r="F347" s="2151"/>
      <c r="G347" s="2151"/>
      <c r="H347" s="2151"/>
      <c r="I347" s="2150" t="str">
        <f>'Part II-Development Team'!I143</f>
        <v>No</v>
      </c>
      <c r="J347" s="2150" t="str">
        <f>'Part II-Development Team'!J143</f>
        <v>No</v>
      </c>
      <c r="K347" s="2155" t="str">
        <f>'Part II-Development Team'!K143</f>
        <v>For Profit</v>
      </c>
      <c r="L347" s="2156">
        <f>'Part II-Development Team'!L143</f>
        <v>1E-4</v>
      </c>
      <c r="M347" s="2150" t="str">
        <f>'Part II-Development Team'!M143</f>
        <v>No</v>
      </c>
      <c r="N347" s="2151" t="str">
        <f>'Part II-Development Team'!N143</f>
        <v>N/A</v>
      </c>
      <c r="O347" s="2151"/>
      <c r="P347" s="2151"/>
      <c r="Q347" s="2151"/>
      <c r="R347" s="2151"/>
      <c r="S347" s="2151"/>
    </row>
    <row r="348" spans="1:19" ht="12.75" customHeight="1">
      <c r="A348" s="2067" t="s">
        <v>3038</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ht="280.5">
      <c r="A349" s="2067" t="s">
        <v>678</v>
      </c>
      <c r="B349" s="2067"/>
      <c r="C349" s="2067"/>
      <c r="D349" s="2067"/>
      <c r="E349" s="2151" t="str">
        <f>'Part II-Development Team'!E145</f>
        <v>Hallmark Development Services, LLC</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t="str">
        <f>'Part II-Development Team'!N145</f>
        <v>Martin H. Petersen is the Manager of the Managing General Partner for the Owner/Applicant and the Manager of the Developer.  William A. Glisson is a Member of the Managing General Partner for the Owner/Applicant and a Member of the Developer.</v>
      </c>
      <c r="O349" s="2151"/>
      <c r="P349" s="2151"/>
      <c r="Q349" s="2151"/>
      <c r="R349" s="2151"/>
      <c r="S349" s="2151"/>
    </row>
    <row r="350" spans="1:19" ht="12.75" customHeight="1">
      <c r="A350" s="2067" t="s">
        <v>3039</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3040</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3042</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3041</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ht="38.25">
      <c r="A354" s="2067" t="s">
        <v>1586</v>
      </c>
      <c r="B354" s="2067"/>
      <c r="C354" s="2067"/>
      <c r="D354" s="2067"/>
      <c r="E354" s="2151" t="str">
        <f>'Part II-Development Team'!E150</f>
        <v>Formula Construction Group, LLC</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t="str">
        <f>'Part II-Development Team'!N150</f>
        <v>N/A</v>
      </c>
      <c r="O354" s="2151"/>
      <c r="P354" s="2151"/>
      <c r="Q354" s="2151"/>
      <c r="R354" s="2151"/>
      <c r="S354" s="2151"/>
    </row>
    <row r="355" spans="1:19" ht="12.75" customHeight="1">
      <c r="A355" s="2067" t="s">
        <v>3043</v>
      </c>
      <c r="B355" s="2067"/>
      <c r="C355" s="2067"/>
      <c r="D355" s="2067"/>
      <c r="E355" s="2151" t="str">
        <f>'Part II-Development Team'!E151</f>
        <v>Hallmark Management, Inc.</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Yes</v>
      </c>
      <c r="N355" s="2151" t="str">
        <f>'Part II-Development Team'!N151</f>
        <v>Martin H. Petersen is the President of the proposed Management Agent and the Manager of the Managing General Partner for the Owner Applicant.  Martin H. Petersen is also the Manger of the Developer.</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148.5">
      <c r="A358" s="2143" t="str">
        <f>'Part II-Development Team'!A154</f>
        <v>Please see the articles of organization, owner organizational chart and identity of interest discosures located in Tab 20.</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2016-079 The Pines Apartments, St. Marys, Camden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4126</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Yes</v>
      </c>
      <c r="I369" s="2076" t="s">
        <v>568</v>
      </c>
      <c r="J369" s="2083"/>
      <c r="K369" s="2083"/>
      <c r="L369" s="2073" t="str">
        <f>'Part III-Sources of Funds'!L6</f>
        <v>Yes</v>
      </c>
      <c r="M369" s="2076" t="s">
        <v>2697</v>
      </c>
      <c r="N369" s="2083"/>
      <c r="O369" s="2083"/>
      <c r="P369" s="2083"/>
      <c r="Q369" s="2134"/>
    </row>
    <row r="370" spans="1:17" ht="13.5">
      <c r="A370" s="2070"/>
      <c r="B370" s="2073" t="str">
        <f>'Part III-Sources of Funds'!B7</f>
        <v>No</v>
      </c>
      <c r="C370" s="2076" t="s">
        <v>4098</v>
      </c>
      <c r="D370" s="2083"/>
      <c r="E370" s="2128">
        <f>'Part III-Sources of Funds'!E7</f>
        <v>0</v>
      </c>
      <c r="F370" s="2128"/>
      <c r="G370" s="2083"/>
      <c r="H370" s="2073" t="str">
        <f>'Part III-Sources of Funds'!H7</f>
        <v>No</v>
      </c>
      <c r="I370" s="2076" t="s">
        <v>4125</v>
      </c>
      <c r="J370" s="2083"/>
      <c r="K370" s="2083"/>
      <c r="L370" s="2073" t="str">
        <f>'Part III-Sources of Funds'!L7</f>
        <v>No</v>
      </c>
      <c r="M370" s="2076" t="s">
        <v>4133</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No</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No</v>
      </c>
      <c r="M372" s="2100" t="s">
        <v>2690</v>
      </c>
      <c r="N372" s="2083"/>
      <c r="O372" s="2083"/>
      <c r="P372" s="2070"/>
      <c r="Q372" s="2070"/>
    </row>
    <row r="373" spans="1:17" ht="13.5" customHeight="1">
      <c r="A373" s="2069"/>
      <c r="B373" s="2073" t="str">
        <f>'Part III-Sources of Funds'!B10</f>
        <v>No</v>
      </c>
      <c r="C373" s="2076" t="s">
        <v>4417</v>
      </c>
      <c r="D373" s="2070"/>
      <c r="E373" s="2128">
        <f>'Part III-Sources of Funds'!E10</f>
        <v>0</v>
      </c>
      <c r="F373" s="2128"/>
      <c r="G373" s="2158"/>
      <c r="H373" s="2073" t="str">
        <f>'Part III-Sources of Funds'!H10</f>
        <v>No</v>
      </c>
      <c r="I373" s="2067" t="s">
        <v>2914</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4131</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4132</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4134</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4136</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FHA Sec. 221(d)(4)/Wells Fargo</v>
      </c>
      <c r="I382" s="2070"/>
      <c r="J382" s="2070"/>
      <c r="K382" s="2070"/>
      <c r="L382" s="2098">
        <f>'Part III-Sources of Funds'!L19</f>
        <v>1600000</v>
      </c>
      <c r="M382" s="2098"/>
      <c r="N382" s="2159">
        <f>'Part III-Sources of Funds'!N19</f>
        <v>5.2499999999999998E-2</v>
      </c>
      <c r="O382" s="2159"/>
      <c r="P382" s="2160">
        <f>'Part III-Sources of Funds'!P19</f>
        <v>480</v>
      </c>
      <c r="Q382" s="2160"/>
    </row>
    <row r="383" spans="1:17">
      <c r="A383" s="2070"/>
      <c r="B383" s="2070" t="s">
        <v>1649</v>
      </c>
      <c r="C383" s="2070"/>
      <c r="D383" s="2070"/>
      <c r="E383" s="2070"/>
      <c r="F383" s="2070"/>
      <c r="G383" s="2070"/>
      <c r="H383" s="2070">
        <f>'Part III-Sources of Funds'!H20</f>
        <v>0</v>
      </c>
      <c r="I383" s="2070"/>
      <c r="J383" s="2070"/>
      <c r="K383" s="2070"/>
      <c r="L383" s="2098">
        <f>'Part III-Sources of Funds'!L20</f>
        <v>0</v>
      </c>
      <c r="M383" s="2098"/>
      <c r="N383" s="2159">
        <f>'Part III-Sources of Funds'!N20</f>
        <v>0</v>
      </c>
      <c r="O383" s="2159"/>
      <c r="P383" s="2160">
        <f>'Part III-Sources of Funds'!P20</f>
        <v>0</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t="str">
        <f>'Part III-Sources of Funds'!H24</f>
        <v>Hallmark Development Services, LLC</v>
      </c>
      <c r="I387" s="2070"/>
      <c r="J387" s="2070"/>
      <c r="K387" s="2070"/>
      <c r="L387" s="2098">
        <f>'Part III-Sources of Funds'!L24</f>
        <v>1613</v>
      </c>
      <c r="M387" s="2098"/>
      <c r="N387" s="2159"/>
      <c r="O387" s="2159"/>
      <c r="P387" s="2070"/>
      <c r="Q387" s="2070"/>
    </row>
    <row r="388" spans="1:17" ht="13.5">
      <c r="A388" s="2070"/>
      <c r="B388" s="2070" t="s">
        <v>834</v>
      </c>
      <c r="C388" s="2070"/>
      <c r="D388" s="2070"/>
      <c r="E388" s="2070"/>
      <c r="F388" s="2083"/>
      <c r="G388" s="2083"/>
      <c r="H388" s="2070" t="str">
        <f>'Part III-Sources of Funds'!H25</f>
        <v>CAHEC</v>
      </c>
      <c r="I388" s="2070"/>
      <c r="J388" s="2070"/>
      <c r="K388" s="2070"/>
      <c r="L388" s="2098">
        <f>'Part III-Sources of Funds'!L25</f>
        <v>4421147.2</v>
      </c>
      <c r="M388" s="2098"/>
      <c r="N388" s="2070"/>
      <c r="O388" s="2070"/>
      <c r="P388" s="2070"/>
      <c r="Q388" s="2070"/>
    </row>
    <row r="389" spans="1:17" ht="13.5">
      <c r="A389" s="2070"/>
      <c r="B389" s="2070" t="s">
        <v>835</v>
      </c>
      <c r="C389" s="2070"/>
      <c r="D389" s="2070"/>
      <c r="E389" s="2070"/>
      <c r="F389" s="2083"/>
      <c r="G389" s="2083"/>
      <c r="H389" s="2070" t="str">
        <f>'Part III-Sources of Funds'!H26</f>
        <v>Sugar Creek Capital</v>
      </c>
      <c r="I389" s="2070"/>
      <c r="J389" s="2070"/>
      <c r="K389" s="2070"/>
      <c r="L389" s="2098">
        <f>'Part III-Sources of Funds'!L26</f>
        <v>1989516</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8012276.2000000002</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7686836</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325440.20000000019</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FHA Sec. 221(d)(4)/Wells Fargo</v>
      </c>
      <c r="F400" s="2070"/>
      <c r="G400" s="2070"/>
      <c r="H400" s="2070"/>
      <c r="I400" s="2105">
        <f>'Part III-Sources of Funds'!I37</f>
        <v>1600000</v>
      </c>
      <c r="J400" s="2070"/>
      <c r="K400" s="2164">
        <f>'Part III-Sources of Funds'!K37</f>
        <v>5.2499999999999998E-2</v>
      </c>
      <c r="L400" s="2073">
        <f>'Part III-Sources of Funds'!L37</f>
        <v>40</v>
      </c>
      <c r="M400" s="2073">
        <f>'Part III-Sources of Funds'!M37</f>
        <v>40</v>
      </c>
      <c r="N400" s="2165">
        <f>'Part III-Sources of Funds'!N37</f>
        <v>95783.104757729001</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1.2869037399193871E-3</v>
      </c>
      <c r="E405" s="2070" t="str">
        <f>'Part III-Sources of Funds'!E42</f>
        <v>Hallmark Development Services, LLC</v>
      </c>
      <c r="F405" s="2070"/>
      <c r="G405" s="2070"/>
      <c r="H405" s="2070"/>
      <c r="I405" s="2105">
        <f>'Part III-Sources of Funds'!I42</f>
        <v>1613</v>
      </c>
      <c r="J405" s="2070"/>
      <c r="K405" s="2164">
        <f>'Part III-Sources of Funds'!K42</f>
        <v>0</v>
      </c>
      <c r="L405" s="2073">
        <f>'Part III-Sources of Funds'!L42</f>
        <v>1</v>
      </c>
      <c r="M405" s="2073">
        <f>'Part III-Sources of Funds'!M42</f>
        <v>1</v>
      </c>
      <c r="N405" s="2165">
        <f>'Part III-Sources of Funds'!N42</f>
        <v>0</v>
      </c>
      <c r="O405" s="2165"/>
      <c r="P405" s="2070" t="str">
        <f>'Part III-Sources of Funds'!P42</f>
        <v>Cash Flow</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CAHEC</v>
      </c>
      <c r="F408" s="2070"/>
      <c r="G408" s="2070"/>
      <c r="H408" s="2070"/>
      <c r="I408" s="2105">
        <f>'Part III-Sources of Funds'!I45</f>
        <v>5526434</v>
      </c>
      <c r="J408" s="2070"/>
      <c r="K408" s="2083"/>
      <c r="L408" s="2169">
        <f>'Part IV-Uses of Funds'!$J$174*10*'Part IV-Uses of Funds'!$N$167</f>
        <v>5527540</v>
      </c>
      <c r="M408" s="2169"/>
      <c r="N408" s="2170">
        <f>I408-L408</f>
        <v>-1106</v>
      </c>
      <c r="O408" s="2170"/>
      <c r="P408" s="2171" t="s">
        <v>2648</v>
      </c>
      <c r="Q408" s="2070"/>
    </row>
    <row r="409" spans="1:17" ht="13.5">
      <c r="A409" s="2070"/>
      <c r="B409" s="2070" t="s">
        <v>835</v>
      </c>
      <c r="C409" s="2070"/>
      <c r="D409" s="2070"/>
      <c r="E409" s="2070" t="str">
        <f>'Part III-Sources of Funds'!E46</f>
        <v>Sugar Creek Capital</v>
      </c>
      <c r="F409" s="2070"/>
      <c r="G409" s="2070"/>
      <c r="H409" s="2070"/>
      <c r="I409" s="2105">
        <f>'Part III-Sources of Funds'!I46</f>
        <v>2486895</v>
      </c>
      <c r="J409" s="2070"/>
      <c r="K409" s="2083"/>
      <c r="L409" s="2169">
        <f>'Part IV-Uses of Funds'!$J$174*10*'Part IV-Uses of Funds'!$Q$167</f>
        <v>2487393</v>
      </c>
      <c r="M409" s="2169"/>
      <c r="N409" s="2170">
        <f>I409-L409</f>
        <v>-498</v>
      </c>
      <c r="O409" s="2170"/>
      <c r="P409" s="2172">
        <f>I408/I418</f>
        <v>0.57477559407014622</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0.25864898613012954</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0.83342458020027577</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9614942</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9614942</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3727</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applicant is proposing new financing through FHA's Section 221(d)(4) loan program.  The new rates and terms  are outlined in Section II Contruction Financing and Section III Permanent Financing above.  Please also see the Wells Fargo Bank, N.A. loan application letter included in Tab 1 for further information.</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2016-079 The Pines Apartments,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2016-079 The Pines Apartments,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5200</v>
      </c>
      <c r="H437" s="2098"/>
      <c r="I437" s="2070"/>
      <c r="J437" s="2098">
        <f>'Part IV-Uses of Funds'!J8</f>
        <v>0</v>
      </c>
      <c r="K437" s="2098"/>
      <c r="L437" s="2099"/>
      <c r="M437" s="2098">
        <f>'Part IV-Uses of Funds'!M8</f>
        <v>0</v>
      </c>
      <c r="N437" s="2098"/>
      <c r="O437" s="2070"/>
      <c r="P437" s="2098">
        <f>'Part IV-Uses of Funds'!P8</f>
        <v>5200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4400</v>
      </c>
      <c r="H438" s="2098"/>
      <c r="I438" s="2070"/>
      <c r="J438" s="2098">
        <f>'Part IV-Uses of Funds'!J9</f>
        <v>0</v>
      </c>
      <c r="K438" s="2098"/>
      <c r="L438" s="2099"/>
      <c r="M438" s="2098">
        <f>'Part IV-Uses of Funds'!M9</f>
        <v>0</v>
      </c>
      <c r="N438" s="2098"/>
      <c r="O438" s="2070"/>
      <c r="P438" s="2098">
        <f>'Part IV-Uses of Funds'!P9</f>
        <v>4400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6850</v>
      </c>
      <c r="H439" s="2098"/>
      <c r="I439" s="2070"/>
      <c r="J439" s="2098">
        <f>'Part IV-Uses of Funds'!J10</f>
        <v>0</v>
      </c>
      <c r="K439" s="2098"/>
      <c r="L439" s="2099"/>
      <c r="M439" s="2098">
        <f>'Part IV-Uses of Funds'!M10</f>
        <v>0</v>
      </c>
      <c r="N439" s="2098"/>
      <c r="O439" s="2070"/>
      <c r="P439" s="2098">
        <f>'Part IV-Uses of Funds'!P10</f>
        <v>6850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0</v>
      </c>
      <c r="H440" s="2098"/>
      <c r="I440" s="2070"/>
      <c r="J440" s="2098">
        <f>'Part IV-Uses of Funds'!J11</f>
        <v>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0</v>
      </c>
      <c r="H441" s="2098"/>
      <c r="I441" s="2070"/>
      <c r="J441" s="2098">
        <f>'Part IV-Uses of Funds'!J12</f>
        <v>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 xml:space="preserve">Physical Needs Assessment </v>
      </c>
      <c r="D443" s="2070"/>
      <c r="E443" s="2070"/>
      <c r="F443" s="2070"/>
      <c r="G443" s="2098">
        <f>'Part IV-Uses of Funds'!G14</f>
        <v>3900</v>
      </c>
      <c r="H443" s="2098"/>
      <c r="I443" s="2070"/>
      <c r="J443" s="2098">
        <f>'Part IV-Uses of Funds'!J14</f>
        <v>0</v>
      </c>
      <c r="K443" s="2098"/>
      <c r="L443" s="2099"/>
      <c r="M443" s="2098">
        <f>'Part IV-Uses of Funds'!M14</f>
        <v>0</v>
      </c>
      <c r="N443" s="2098"/>
      <c r="O443" s="2070"/>
      <c r="P443" s="2098">
        <f>'Part IV-Uses of Funds'!P14</f>
        <v>3900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Asbestos &amp; Radon Testing</v>
      </c>
      <c r="D444" s="2070"/>
      <c r="E444" s="2070"/>
      <c r="F444" s="2070"/>
      <c r="G444" s="2098">
        <f>'Part IV-Uses of Funds'!G15</f>
        <v>4600</v>
      </c>
      <c r="H444" s="2098"/>
      <c r="I444" s="2070"/>
      <c r="J444" s="2098">
        <f>'Part IV-Uses of Funds'!J15</f>
        <v>0</v>
      </c>
      <c r="K444" s="2098"/>
      <c r="L444" s="2099"/>
      <c r="M444" s="2098">
        <f>'Part IV-Uses of Funds'!M15</f>
        <v>0</v>
      </c>
      <c r="N444" s="2098"/>
      <c r="O444" s="2070"/>
      <c r="P444" s="2098">
        <f>'Part IV-Uses of Funds'!P15</f>
        <v>4600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Energy Audit Report - Rehab Project</v>
      </c>
      <c r="D445" s="2070"/>
      <c r="E445" s="2070"/>
      <c r="F445" s="2070"/>
      <c r="G445" s="2098">
        <f>'Part IV-Uses of Funds'!G16</f>
        <v>3100</v>
      </c>
      <c r="H445" s="2098"/>
      <c r="I445" s="2070"/>
      <c r="J445" s="2098">
        <f>'Part IV-Uses of Funds'!J16</f>
        <v>0</v>
      </c>
      <c r="K445" s="2098"/>
      <c r="L445" s="2099"/>
      <c r="M445" s="2098">
        <f>'Part IV-Uses of Funds'!M16</f>
        <v>0</v>
      </c>
      <c r="N445" s="2098"/>
      <c r="O445" s="2070"/>
      <c r="P445" s="2098">
        <f>'Part IV-Uses of Funds'!P16</f>
        <v>3100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28050</v>
      </c>
      <c r="H446" s="2098"/>
      <c r="I446" s="2070"/>
      <c r="J446" s="2098">
        <f>SUM(J437:K445)</f>
        <v>0</v>
      </c>
      <c r="K446" s="2100"/>
      <c r="L446" s="2099"/>
      <c r="M446" s="2098">
        <f>SUM(M437:N445)</f>
        <v>0</v>
      </c>
      <c r="N446" s="2098"/>
      <c r="O446" s="2070"/>
      <c r="P446" s="2098">
        <f>SUM(P437:Q445)</f>
        <v>28050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10000</v>
      </c>
      <c r="H450" s="2098"/>
      <c r="I450" s="2070"/>
      <c r="J450" s="2099"/>
      <c r="K450" s="2098"/>
      <c r="L450" s="2099"/>
      <c r="M450" s="2098">
        <f>'Part IV-Uses of Funds'!M21</f>
        <v>10000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2390000</v>
      </c>
      <c r="H451" s="2098"/>
      <c r="I451" s="2070"/>
      <c r="J451" s="2099"/>
      <c r="K451" s="2098"/>
      <c r="L451" s="2099"/>
      <c r="M451" s="2098">
        <f>'Part IV-Uses of Funds'!M22</f>
        <v>2390000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2400000</v>
      </c>
      <c r="H452" s="2098"/>
      <c r="I452" s="2070"/>
      <c r="J452" s="2099"/>
      <c r="K452" s="2098"/>
      <c r="L452" s="2099"/>
      <c r="M452" s="2098">
        <f>SUM(M450:N451)</f>
        <v>2400000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537792</v>
      </c>
      <c r="H454" s="2098"/>
      <c r="I454" s="2070"/>
      <c r="J454" s="2098">
        <f>'Part IV-Uses of Funds'!J25</f>
        <v>0</v>
      </c>
      <c r="K454" s="2098"/>
      <c r="L454" s="2099"/>
      <c r="M454" s="2098">
        <f>'Part IV-Uses of Funds'!M25</f>
        <v>0</v>
      </c>
      <c r="N454" s="2098"/>
      <c r="O454" s="2070"/>
      <c r="P454" s="2098">
        <f>'Part IV-Uses of Funds'!P25</f>
        <v>537792</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537792</v>
      </c>
      <c r="H456" s="2098"/>
      <c r="I456" s="2070"/>
      <c r="J456" s="2098">
        <f>SUM(J454:K455)</f>
        <v>0</v>
      </c>
      <c r="K456" s="2098"/>
      <c r="L456" s="2099"/>
      <c r="M456" s="2098">
        <f>M454</f>
        <v>0</v>
      </c>
      <c r="N456" s="2098"/>
      <c r="O456" s="2070"/>
      <c r="P456" s="2098">
        <f>P454</f>
        <v>537792</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0</v>
      </c>
      <c r="H458" s="2098"/>
      <c r="I458" s="2070"/>
      <c r="J458" s="2098">
        <f>'Part IV-Uses of Funds'!J29</f>
        <v>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3256930</v>
      </c>
      <c r="H459" s="2098"/>
      <c r="I459" s="2070"/>
      <c r="J459" s="2098">
        <f>'Part IV-Uses of Funds'!J30</f>
        <v>0</v>
      </c>
      <c r="K459" s="2098"/>
      <c r="L459" s="2099"/>
      <c r="M459" s="2098">
        <f>'Part IV-Uses of Funds'!M30</f>
        <v>0</v>
      </c>
      <c r="N459" s="2098"/>
      <c r="O459" s="2070"/>
      <c r="P459" s="2098">
        <f>'Part IV-Uses of Funds'!P30</f>
        <v>3256930</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150000</v>
      </c>
      <c r="H461" s="2098"/>
      <c r="I461" s="2070"/>
      <c r="J461" s="2098">
        <f>'Part IV-Uses of Funds'!J32</f>
        <v>0</v>
      </c>
      <c r="K461" s="2098"/>
      <c r="L461" s="2099"/>
      <c r="M461" s="2098">
        <f>'Part IV-Uses of Funds'!M32</f>
        <v>0</v>
      </c>
      <c r="N461" s="2098"/>
      <c r="O461" s="2070"/>
      <c r="P461" s="2098">
        <f>'Part IV-Uses of Funds'!P32</f>
        <v>150000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3406930</v>
      </c>
      <c r="H462" s="2098"/>
      <c r="I462" s="2070"/>
      <c r="J462" s="2098">
        <f>SUM(J458:K461)</f>
        <v>0</v>
      </c>
      <c r="K462" s="2098"/>
      <c r="L462" s="2099"/>
      <c r="M462" s="2098">
        <f>SUM(M458:N461)</f>
        <v>0</v>
      </c>
      <c r="N462" s="2098"/>
      <c r="O462" s="2070"/>
      <c r="P462" s="2098">
        <f>SUM(P458:Q461)</f>
        <v>3406930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236683.31999999998</v>
      </c>
      <c r="G464" s="2098">
        <f>'Part IV-Uses of Funds'!G35</f>
        <v>236683</v>
      </c>
      <c r="H464" s="2098"/>
      <c r="I464" s="2075"/>
      <c r="J464" s="2098">
        <f>'Part IV-Uses of Funds'!J35</f>
        <v>0</v>
      </c>
      <c r="K464" s="2098"/>
      <c r="L464" s="2099"/>
      <c r="M464" s="2098">
        <f>'Part IV-Uses of Funds'!M35</f>
        <v>0</v>
      </c>
      <c r="N464" s="2098"/>
      <c r="O464" s="2070"/>
      <c r="P464" s="2098">
        <f>'Part IV-Uses of Funds'!P35</f>
        <v>236683</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78894.44</v>
      </c>
      <c r="G465" s="2098">
        <f>'Part IV-Uses of Funds'!G36</f>
        <v>78894</v>
      </c>
      <c r="H465" s="2098"/>
      <c r="I465" s="2075"/>
      <c r="J465" s="2098">
        <f>'Part IV-Uses of Funds'!J36</f>
        <v>0</v>
      </c>
      <c r="K465" s="2098"/>
      <c r="L465" s="2099"/>
      <c r="M465" s="2098">
        <f>'Part IV-Uses of Funds'!M36</f>
        <v>0</v>
      </c>
      <c r="N465" s="2098"/>
      <c r="O465" s="2070"/>
      <c r="P465" s="2098">
        <f>'Part IV-Uses of Funds'!P36</f>
        <v>78894</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236683.31999999998</v>
      </c>
      <c r="G466" s="2098">
        <f>'Part IV-Uses of Funds'!G37</f>
        <v>236683</v>
      </c>
      <c r="H466" s="2098"/>
      <c r="I466" s="2075"/>
      <c r="J466" s="2098">
        <f>'Part IV-Uses of Funds'!J37</f>
        <v>0</v>
      </c>
      <c r="K466" s="2098"/>
      <c r="L466" s="2099"/>
      <c r="M466" s="2098">
        <f>'Part IV-Uses of Funds'!M37</f>
        <v>0</v>
      </c>
      <c r="N466" s="2098"/>
      <c r="O466" s="2070"/>
      <c r="P466" s="2098">
        <f>'Part IV-Uses of Funds'!P37</f>
        <v>236683</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552260</v>
      </c>
      <c r="H467" s="2098"/>
      <c r="I467" s="2070"/>
      <c r="J467" s="2098">
        <f>SUM(J464:K466)</f>
        <v>0</v>
      </c>
      <c r="K467" s="2098"/>
      <c r="L467" s="2099"/>
      <c r="M467" s="2098">
        <f>SUM(M464:N466)</f>
        <v>0</v>
      </c>
      <c r="N467" s="2098"/>
      <c r="O467" s="2070"/>
      <c r="P467" s="2098">
        <f>SUM(P464:Q466)</f>
        <v>552260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4418</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4419</v>
      </c>
      <c r="C472" s="2193"/>
      <c r="D472" s="2070"/>
      <c r="E472" s="2178" t="s">
        <v>2859</v>
      </c>
      <c r="F472" s="2194">
        <f>B473/'Part VI-Revenues &amp; Expenses'!$O$60</f>
        <v>64242.6</v>
      </c>
      <c r="G472" s="2195" t="s">
        <v>4420</v>
      </c>
      <c r="H472" s="2070"/>
      <c r="I472" s="2070"/>
      <c r="J472" s="2196">
        <f>B473/'Part VI-Revenues &amp; Expenses'!$O$62</f>
        <v>64242.6</v>
      </c>
      <c r="K472" s="2196"/>
      <c r="L472" s="2070"/>
      <c r="M472" s="2197" t="s">
        <v>1454</v>
      </c>
      <c r="N472" s="2197"/>
      <c r="O472" s="2070"/>
      <c r="P472" s="2196">
        <f>B473/'Part I-Project Information'!$P$60</f>
        <v>79.228012684989423</v>
      </c>
      <c r="Q472" s="2196"/>
      <c r="R472" s="2070"/>
      <c r="S472" s="2193" t="s">
        <v>2895</v>
      </c>
      <c r="T472" s="2193"/>
      <c r="U472" s="2070"/>
      <c r="V472" s="2070"/>
      <c r="W472" s="2181"/>
      <c r="X472" s="2181"/>
    </row>
    <row r="473" spans="1:24">
      <c r="A473" s="2070"/>
      <c r="B473" s="2198">
        <f>G456+G462+G467+G470</f>
        <v>4496982</v>
      </c>
      <c r="C473" s="2198"/>
      <c r="D473" s="2070"/>
      <c r="E473" s="2178"/>
      <c r="F473" s="2194">
        <f>B473/'Part VI-Revenues &amp; Expenses'!$O$117</f>
        <v>83.339177168272798</v>
      </c>
      <c r="G473" s="2108" t="s">
        <v>4421</v>
      </c>
      <c r="H473" s="2070"/>
      <c r="I473" s="2070"/>
      <c r="J473" s="2196">
        <f>B473/'Part VI-Revenues &amp; Expenses'!$O$119</f>
        <v>83.339177168272798</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6.9999835445194128E-2</v>
      </c>
      <c r="G476" s="2098">
        <f>'Part IV-Uses of Funds'!G47</f>
        <v>314788</v>
      </c>
      <c r="H476" s="2098"/>
      <c r="I476" s="2070"/>
      <c r="J476" s="2098">
        <f>'Part IV-Uses of Funds'!J47</f>
        <v>0</v>
      </c>
      <c r="K476" s="2098"/>
      <c r="L476" s="2099"/>
      <c r="M476" s="2098">
        <f>'Part IV-Uses of Funds'!M47</f>
        <v>0</v>
      </c>
      <c r="N476" s="2098"/>
      <c r="O476" s="2070"/>
      <c r="P476" s="2098">
        <f>'Part IV-Uses of Funds'!P47</f>
        <v>314788</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4422</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19300</v>
      </c>
      <c r="H483" s="2098"/>
      <c r="I483" s="2070"/>
      <c r="J483" s="2098">
        <f>'Part IV-Uses of Funds'!J54</f>
        <v>0</v>
      </c>
      <c r="K483" s="2098"/>
      <c r="L483" s="2099"/>
      <c r="M483" s="2098">
        <f>'Part IV-Uses of Funds'!M54</f>
        <v>0</v>
      </c>
      <c r="N483" s="2098"/>
      <c r="O483" s="2070"/>
      <c r="P483" s="2098">
        <f>'Part IV-Uses of Funds'!P54</f>
        <v>19300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41935</v>
      </c>
      <c r="H484" s="2098"/>
      <c r="I484" s="2070"/>
      <c r="J484" s="2098">
        <f>'Part IV-Uses of Funds'!J55</f>
        <v>0</v>
      </c>
      <c r="K484" s="2098"/>
      <c r="L484" s="2099"/>
      <c r="M484" s="2098">
        <f>'Part IV-Uses of Funds'!M55</f>
        <v>0</v>
      </c>
      <c r="N484" s="2098"/>
      <c r="O484" s="2070"/>
      <c r="P484" s="2098">
        <f>'Part IV-Uses of Funds'!P55</f>
        <v>41935</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0</v>
      </c>
      <c r="H485" s="2098"/>
      <c r="I485" s="2070"/>
      <c r="J485" s="2098">
        <f>'Part IV-Uses of Funds'!J56</f>
        <v>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0</v>
      </c>
      <c r="H486" s="2098"/>
      <c r="I486" s="2070"/>
      <c r="J486" s="2098">
        <f>'Part IV-Uses of Funds'!J57</f>
        <v>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0</v>
      </c>
      <c r="H487" s="2098"/>
      <c r="I487" s="2070"/>
      <c r="J487" s="2098">
        <f>'Part IV-Uses of Funds'!J58</f>
        <v>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0</v>
      </c>
      <c r="H488" s="2098"/>
      <c r="I488" s="2070"/>
      <c r="J488" s="2098">
        <f>'Part IV-Uses of Funds'!J59</f>
        <v>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10000</v>
      </c>
      <c r="H489" s="2098"/>
      <c r="I489" s="2070"/>
      <c r="J489" s="2098">
        <f>'Part IV-Uses of Funds'!J60</f>
        <v>0</v>
      </c>
      <c r="K489" s="2098"/>
      <c r="L489" s="2099"/>
      <c r="M489" s="2098">
        <f>'Part IV-Uses of Funds'!M60</f>
        <v>0</v>
      </c>
      <c r="N489" s="2098"/>
      <c r="O489" s="2070"/>
      <c r="P489" s="2098">
        <f>'Part IV-Uses of Funds'!P60</f>
        <v>10000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25000</v>
      </c>
      <c r="H490" s="2098"/>
      <c r="I490" s="2075"/>
      <c r="J490" s="2098">
        <f>'Part IV-Uses of Funds'!J61</f>
        <v>0</v>
      </c>
      <c r="K490" s="2098"/>
      <c r="L490" s="2099"/>
      <c r="M490" s="2098">
        <f>'Part IV-Uses of Funds'!M61</f>
        <v>0</v>
      </c>
      <c r="N490" s="2098"/>
      <c r="O490" s="2070"/>
      <c r="P490" s="2098">
        <f>'Part IV-Uses of Funds'!P61</f>
        <v>25000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96235</v>
      </c>
      <c r="H493" s="2098"/>
      <c r="I493" s="2070"/>
      <c r="J493" s="2098">
        <f>SUM(J482:K492)</f>
        <v>0</v>
      </c>
      <c r="K493" s="2098"/>
      <c r="L493" s="2099"/>
      <c r="M493" s="2098">
        <f>SUM(M482:N492)</f>
        <v>0</v>
      </c>
      <c r="N493" s="2098"/>
      <c r="O493" s="2070"/>
      <c r="P493" s="2098">
        <f>SUM(P482:Q492)</f>
        <v>96235</v>
      </c>
      <c r="Q493" s="2098"/>
      <c r="R493" s="2070"/>
      <c r="S493" s="2098">
        <f>SUM(S482:T492)</f>
        <v>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100000</v>
      </c>
      <c r="H495" s="2098"/>
      <c r="I495" s="2070"/>
      <c r="J495" s="2098">
        <f>'Part IV-Uses of Funds'!J66</f>
        <v>0</v>
      </c>
      <c r="K495" s="2098"/>
      <c r="L495" s="2099"/>
      <c r="M495" s="2098">
        <f>'Part IV-Uses of Funds'!M66</f>
        <v>0</v>
      </c>
      <c r="N495" s="2098"/>
      <c r="O495" s="2070"/>
      <c r="P495" s="2098">
        <f>'Part IV-Uses of Funds'!P66</f>
        <v>100000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68000</v>
      </c>
      <c r="H496" s="2098"/>
      <c r="I496" s="2070"/>
      <c r="J496" s="2098">
        <f>'Part IV-Uses of Funds'!J67</f>
        <v>0</v>
      </c>
      <c r="K496" s="2098"/>
      <c r="L496" s="2099"/>
      <c r="M496" s="2098">
        <f>'Part IV-Uses of Funds'!M67</f>
        <v>0</v>
      </c>
      <c r="N496" s="2098"/>
      <c r="O496" s="2070"/>
      <c r="P496" s="2098">
        <f>'Part IV-Uses of Funds'!P67</f>
        <v>68000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0</v>
      </c>
      <c r="H497" s="2098"/>
      <c r="I497" s="2070"/>
      <c r="J497" s="2098">
        <f>'Part IV-Uses of Funds'!J68</f>
        <v>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8000</v>
      </c>
      <c r="H498" s="2098"/>
      <c r="I498" s="2070"/>
      <c r="J498" s="2098">
        <f>'Part IV-Uses of Funds'!J69</f>
        <v>0</v>
      </c>
      <c r="K498" s="2098"/>
      <c r="L498" s="2099"/>
      <c r="M498" s="2098">
        <f>'Part IV-Uses of Funds'!M69</f>
        <v>0</v>
      </c>
      <c r="N498" s="2098"/>
      <c r="O498" s="2070"/>
      <c r="P498" s="2098">
        <f>'Part IV-Uses of Funds'!P69</f>
        <v>8000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10000</v>
      </c>
      <c r="H499" s="2098"/>
      <c r="I499" s="2070"/>
      <c r="J499" s="2098">
        <f>'Part IV-Uses of Funds'!J70</f>
        <v>0</v>
      </c>
      <c r="K499" s="2098"/>
      <c r="L499" s="2099"/>
      <c r="M499" s="2098">
        <f>'Part IV-Uses of Funds'!M70</f>
        <v>0</v>
      </c>
      <c r="N499" s="2098"/>
      <c r="O499" s="2070"/>
      <c r="P499" s="2098">
        <f>'Part IV-Uses of Funds'!P70</f>
        <v>10000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0</v>
      </c>
      <c r="H501" s="2098"/>
      <c r="I501" s="2070"/>
      <c r="J501" s="2098">
        <f>'Part IV-Uses of Funds'!J72</f>
        <v>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60000</v>
      </c>
      <c r="H502" s="2098"/>
      <c r="I502" s="2070"/>
      <c r="J502" s="2098">
        <f>'Part IV-Uses of Funds'!J73</f>
        <v>0</v>
      </c>
      <c r="K502" s="2098"/>
      <c r="L502" s="2099"/>
      <c r="M502" s="2098">
        <f>'Part IV-Uses of Funds'!M73</f>
        <v>0</v>
      </c>
      <c r="N502" s="2098"/>
      <c r="O502" s="2070"/>
      <c r="P502" s="2098">
        <f>'Part IV-Uses of Funds'!P73</f>
        <v>60000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25000</v>
      </c>
      <c r="H503" s="2098"/>
      <c r="I503" s="2070"/>
      <c r="J503" s="2098">
        <f>'Part IV-Uses of Funds'!J74</f>
        <v>0</v>
      </c>
      <c r="K503" s="2098"/>
      <c r="L503" s="2099"/>
      <c r="M503" s="2098">
        <f>'Part IV-Uses of Funds'!M74</f>
        <v>0</v>
      </c>
      <c r="N503" s="2098"/>
      <c r="O503" s="2070"/>
      <c r="P503" s="2098">
        <f>'Part IV-Uses of Funds'!P74</f>
        <v>25000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7500</v>
      </c>
      <c r="H504" s="2098"/>
      <c r="I504" s="2070"/>
      <c r="J504" s="2098">
        <f>'Part IV-Uses of Funds'!J75</f>
        <v>0</v>
      </c>
      <c r="K504" s="2098"/>
      <c r="L504" s="2099"/>
      <c r="M504" s="2098">
        <f>'Part IV-Uses of Funds'!M75</f>
        <v>0</v>
      </c>
      <c r="N504" s="2098"/>
      <c r="O504" s="2070"/>
      <c r="P504" s="2098">
        <f>'Part IV-Uses of Funds'!P75</f>
        <v>7500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278500</v>
      </c>
      <c r="H506" s="2098"/>
      <c r="I506" s="2070"/>
      <c r="J506" s="2098">
        <f>SUM(J495:K505)</f>
        <v>0</v>
      </c>
      <c r="K506" s="2098"/>
      <c r="L506" s="2099"/>
      <c r="M506" s="2098">
        <f>SUM(M495:N505)</f>
        <v>0</v>
      </c>
      <c r="N506" s="2098"/>
      <c r="O506" s="2070"/>
      <c r="P506" s="2098">
        <f>SUM(P495:Q505)</f>
        <v>278500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12500</v>
      </c>
      <c r="H508" s="2098"/>
      <c r="I508" s="2070"/>
      <c r="J508" s="2098">
        <f>'Part IV-Uses of Funds'!J79</f>
        <v>0</v>
      </c>
      <c r="K508" s="2098"/>
      <c r="L508" s="2099"/>
      <c r="M508" s="2098">
        <f>'Part IV-Uses of Funds'!M79</f>
        <v>0</v>
      </c>
      <c r="N508" s="2098"/>
      <c r="O508" s="2070"/>
      <c r="P508" s="2098">
        <f>'Part IV-Uses of Funds'!P79</f>
        <v>12500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f>'Part IV-Uses of Funds'!E81</f>
        <v>0</v>
      </c>
      <c r="F510" s="2070"/>
      <c r="G510" s="2098">
        <f>'Part IV-Uses of Funds'!G81</f>
        <v>0</v>
      </c>
      <c r="H510" s="2098"/>
      <c r="I510" s="2075"/>
      <c r="J510" s="2098">
        <f>'Part IV-Uses of Funds'!J81</f>
        <v>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f>'Part IV-Uses of Funds'!E82</f>
        <v>0</v>
      </c>
      <c r="F511" s="2070"/>
      <c r="G511" s="2098">
        <f>'Part IV-Uses of Funds'!G82</f>
        <v>0</v>
      </c>
      <c r="H511" s="2098"/>
      <c r="I511" s="2075"/>
      <c r="J511" s="2098">
        <f>'Part IV-Uses of Funds'!J82</f>
        <v>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12500</v>
      </c>
      <c r="H512" s="2098"/>
      <c r="I512" s="2070"/>
      <c r="J512" s="2098">
        <f>SUM(J508:K511)</f>
        <v>0</v>
      </c>
      <c r="K512" s="2098"/>
      <c r="L512" s="2099"/>
      <c r="M512" s="2098">
        <f>SUM(M508:N511)</f>
        <v>0</v>
      </c>
      <c r="N512" s="2098"/>
      <c r="O512" s="2070"/>
      <c r="P512" s="2098">
        <f>SUM(P508:Q511)</f>
        <v>12500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35000</v>
      </c>
      <c r="H514" s="2098"/>
      <c r="I514" s="2070"/>
      <c r="J514" s="2098"/>
      <c r="K514" s="2098"/>
      <c r="L514" s="2099"/>
      <c r="M514" s="2098"/>
      <c r="N514" s="2098"/>
      <c r="O514" s="2070"/>
      <c r="P514" s="2098"/>
      <c r="Q514" s="2098"/>
      <c r="R514" s="2070"/>
      <c r="S514" s="2098">
        <f>'Part IV-Uses of Funds'!S85</f>
        <v>35000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30000</v>
      </c>
      <c r="H515" s="2098"/>
      <c r="I515" s="2070"/>
      <c r="J515" s="2098"/>
      <c r="K515" s="2098"/>
      <c r="L515" s="2099"/>
      <c r="M515" s="2098"/>
      <c r="N515" s="2098"/>
      <c r="O515" s="2070"/>
      <c r="P515" s="2098"/>
      <c r="Q515" s="2098"/>
      <c r="R515" s="2070"/>
      <c r="S515" s="2098">
        <f>'Part IV-Uses of Funds'!S86</f>
        <v>30000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50000</v>
      </c>
      <c r="H518" s="2098"/>
      <c r="I518" s="2070"/>
      <c r="J518" s="2098"/>
      <c r="K518" s="2098"/>
      <c r="L518" s="2099"/>
      <c r="M518" s="2098"/>
      <c r="N518" s="2098"/>
      <c r="O518" s="2070"/>
      <c r="P518" s="2098"/>
      <c r="Q518" s="2098"/>
      <c r="R518" s="2070"/>
      <c r="S518" s="2098">
        <f>'Part IV-Uses of Funds'!S89</f>
        <v>50000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115000</v>
      </c>
      <c r="H520" s="2098"/>
      <c r="I520" s="2070"/>
      <c r="J520" s="2098"/>
      <c r="K520" s="2098"/>
      <c r="L520" s="2099"/>
      <c r="M520" s="2098"/>
      <c r="N520" s="2098"/>
      <c r="O520" s="2070"/>
      <c r="P520" s="2098"/>
      <c r="Q520" s="2098"/>
      <c r="R520" s="2070"/>
      <c r="S520" s="2098">
        <f>SUM(S514:T519)</f>
        <v>115000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4423</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2790</v>
      </c>
      <c r="C527" s="2070"/>
      <c r="D527" s="2070"/>
      <c r="E527" s="2070"/>
      <c r="F527" s="2070"/>
      <c r="G527" s="2098">
        <f>'Part IV-Uses of Funds'!G98</f>
        <v>2500</v>
      </c>
      <c r="H527" s="2098"/>
      <c r="I527" s="2070"/>
      <c r="J527" s="2099"/>
      <c r="K527" s="2099"/>
      <c r="L527" s="2201"/>
      <c r="M527" s="2099"/>
      <c r="N527" s="2099"/>
      <c r="O527" s="2070"/>
      <c r="P527" s="2099"/>
      <c r="Q527" s="2099"/>
      <c r="R527" s="2070"/>
      <c r="S527" s="2098">
        <f>'Part IV-Uses of Funds'!S98</f>
        <v>2500</v>
      </c>
      <c r="T527" s="2098"/>
      <c r="U527" s="2070"/>
      <c r="V527" s="2128">
        <f>'Part IV-Uses of Funds'!V98</f>
        <v>0</v>
      </c>
      <c r="W527" s="2176"/>
      <c r="X527" s="2176"/>
    </row>
    <row r="528" spans="1:24">
      <c r="A528" s="2070"/>
      <c r="B528" s="2070" t="s">
        <v>538</v>
      </c>
      <c r="C528" s="2070"/>
      <c r="D528" s="2070"/>
      <c r="E528" s="2202">
        <f>'DCA Underwriting Assumptions'!$Q$83*J603</f>
        <v>44220.32</v>
      </c>
      <c r="F528" s="2202"/>
      <c r="G528" s="2098">
        <f>'Part IV-Uses of Funds'!G99</f>
        <v>44220</v>
      </c>
      <c r="H528" s="2098"/>
      <c r="I528" s="2070"/>
      <c r="J528" s="2099"/>
      <c r="K528" s="2099"/>
      <c r="L528" s="2099"/>
      <c r="M528" s="2099"/>
      <c r="N528" s="2099"/>
      <c r="O528" s="2070"/>
      <c r="P528" s="2099"/>
      <c r="Q528" s="2099"/>
      <c r="R528" s="2070"/>
      <c r="S528" s="2098">
        <f>'Part IV-Uses of Funds'!S99</f>
        <v>44220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56000</v>
      </c>
      <c r="F529" s="2202"/>
      <c r="G529" s="2098">
        <f>'Part IV-Uses of Funds'!G100</f>
        <v>56000</v>
      </c>
      <c r="H529" s="2098"/>
      <c r="I529" s="2070"/>
      <c r="J529" s="2075"/>
      <c r="K529" s="2075"/>
      <c r="L529" s="2075"/>
      <c r="M529" s="2075"/>
      <c r="N529" s="2075"/>
      <c r="O529" s="2075"/>
      <c r="P529" s="2075"/>
      <c r="Q529" s="2075"/>
      <c r="R529" s="2070"/>
      <c r="S529" s="2098">
        <f>'Part IV-Uses of Funds'!S100</f>
        <v>56000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112220</v>
      </c>
      <c r="H534" s="2098"/>
      <c r="I534" s="2070"/>
      <c r="J534" s="2099"/>
      <c r="K534" s="2099"/>
      <c r="L534" s="2099"/>
      <c r="M534" s="2099"/>
      <c r="N534" s="2099"/>
      <c r="O534" s="2070"/>
      <c r="P534" s="2099"/>
      <c r="Q534" s="2099"/>
      <c r="R534" s="2070"/>
      <c r="S534" s="2098">
        <f>SUM(S525:T533)</f>
        <v>112220</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2500</v>
      </c>
      <c r="H536" s="2098"/>
      <c r="I536" s="2070"/>
      <c r="J536" s="2098"/>
      <c r="K536" s="2098"/>
      <c r="L536" s="2099"/>
      <c r="M536" s="2098"/>
      <c r="N536" s="2098"/>
      <c r="O536" s="2070"/>
      <c r="P536" s="2098"/>
      <c r="Q536" s="2098"/>
      <c r="R536" s="2070"/>
      <c r="S536" s="2098">
        <f>'Part IV-Uses of Funds'!S107</f>
        <v>2500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500</v>
      </c>
      <c r="H537" s="2098"/>
      <c r="I537" s="2070"/>
      <c r="J537" s="2098"/>
      <c r="K537" s="2098"/>
      <c r="L537" s="2099"/>
      <c r="M537" s="2098"/>
      <c r="N537" s="2098"/>
      <c r="O537" s="2070"/>
      <c r="P537" s="2098"/>
      <c r="Q537" s="2098"/>
      <c r="R537" s="2070"/>
      <c r="S537" s="2098">
        <f>'Part IV-Uses of Funds'!S108</f>
        <v>500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3000</v>
      </c>
      <c r="H540" s="2098"/>
      <c r="I540" s="2070"/>
      <c r="J540" s="2098"/>
      <c r="K540" s="2098"/>
      <c r="L540" s="2099"/>
      <c r="M540" s="2098"/>
      <c r="N540" s="2098"/>
      <c r="O540" s="2070"/>
      <c r="P540" s="2098"/>
      <c r="Q540" s="2098"/>
      <c r="R540" s="2070"/>
      <c r="S540" s="2098">
        <f>SUM(S536:T539)</f>
        <v>3000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313349</v>
      </c>
      <c r="H542" s="2098"/>
      <c r="I542" s="2070"/>
      <c r="J542" s="2098">
        <f>'Part IV-Uses of Funds'!J113</f>
        <v>0</v>
      </c>
      <c r="K542" s="2098"/>
      <c r="L542" s="2184"/>
      <c r="M542" s="2098">
        <f>'Part IV-Uses of Funds'!M113</f>
        <v>89940</v>
      </c>
      <c r="N542" s="2098"/>
      <c r="O542" s="2070"/>
      <c r="P542" s="2098">
        <f>'Part IV-Uses of Funds'!P113</f>
        <v>223409</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4043</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940047</v>
      </c>
      <c r="H545" s="2098"/>
      <c r="I545" s="2070"/>
      <c r="J545" s="2098">
        <f>'Part IV-Uses of Funds'!J116</f>
        <v>0</v>
      </c>
      <c r="K545" s="2098"/>
      <c r="L545" s="2099"/>
      <c r="M545" s="2098">
        <f>'Part IV-Uses of Funds'!M116</f>
        <v>269820</v>
      </c>
      <c r="N545" s="2098"/>
      <c r="O545" s="2070"/>
      <c r="P545" s="2098">
        <f>'Part IV-Uses of Funds'!P116</f>
        <v>670227</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1253396</v>
      </c>
      <c r="H546" s="2098"/>
      <c r="I546" s="2070"/>
      <c r="J546" s="2098">
        <f>SUM(J542:K545)</f>
        <v>0</v>
      </c>
      <c r="K546" s="2098"/>
      <c r="L546" s="2099"/>
      <c r="M546" s="2098">
        <f>SUM(M542:N545)</f>
        <v>359760</v>
      </c>
      <c r="N546" s="2098"/>
      <c r="O546" s="2070"/>
      <c r="P546" s="2098">
        <f>SUM(P542:Q545)</f>
        <v>893636</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5000</v>
      </c>
      <c r="H548" s="2098"/>
      <c r="I548" s="2070"/>
      <c r="J548" s="2201"/>
      <c r="K548" s="2201"/>
      <c r="L548" s="2201"/>
      <c r="M548" s="2201"/>
      <c r="N548" s="2201"/>
      <c r="O548" s="2070"/>
      <c r="P548" s="2201"/>
      <c r="Q548" s="2201"/>
      <c r="R548" s="2070"/>
      <c r="S548" s="2098">
        <f>'Part IV-Uses of Funds'!S119</f>
        <v>5000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77293.277499999997</v>
      </c>
      <c r="G549" s="2098">
        <f>'Part IV-Uses of Funds'!G120</f>
        <v>77293</v>
      </c>
      <c r="H549" s="2098"/>
      <c r="I549" s="2070"/>
      <c r="J549" s="2098"/>
      <c r="K549" s="2098"/>
      <c r="L549" s="2099"/>
      <c r="M549" s="2098"/>
      <c r="N549" s="2098"/>
      <c r="O549" s="2070"/>
      <c r="P549" s="2098"/>
      <c r="Q549" s="2098"/>
      <c r="R549" s="2070"/>
      <c r="S549" s="2098">
        <f>'Part IV-Uses of Funds'!S120</f>
        <v>77293</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202478.10737886449</v>
      </c>
      <c r="G550" s="2098">
        <f>'Part IV-Uses of Funds'!G121</f>
        <v>202478</v>
      </c>
      <c r="H550" s="2098"/>
      <c r="I550" s="2070"/>
      <c r="J550" s="2201"/>
      <c r="K550" s="2201"/>
      <c r="L550" s="2201"/>
      <c r="M550" s="2201"/>
      <c r="N550" s="2201"/>
      <c r="O550" s="2070"/>
      <c r="P550" s="2201"/>
      <c r="Q550" s="2201"/>
      <c r="R550" s="2070"/>
      <c r="S550" s="2098">
        <f>'Part IV-Uses of Funds'!S121</f>
        <v>202478</v>
      </c>
      <c r="T550" s="2098"/>
      <c r="U550" s="2070"/>
      <c r="V550" s="2128">
        <f>'Part IV-Uses of Funds'!V121</f>
        <v>0</v>
      </c>
      <c r="W550" s="2176"/>
      <c r="X550" s="2176"/>
    </row>
    <row r="551" spans="1:24">
      <c r="A551" s="2070"/>
      <c r="B551" s="2070" t="s">
        <v>1291</v>
      </c>
      <c r="C551" s="2070"/>
      <c r="D551" s="2070"/>
      <c r="E551" s="2070"/>
      <c r="F551" s="2070"/>
      <c r="G551" s="2098">
        <f>'Part IV-Uses of Funds'!G122</f>
        <v>24500</v>
      </c>
      <c r="H551" s="2098"/>
      <c r="I551" s="2070"/>
      <c r="J551" s="2201"/>
      <c r="K551" s="2201"/>
      <c r="L551" s="2201"/>
      <c r="M551" s="2201"/>
      <c r="N551" s="2201"/>
      <c r="O551" s="2070"/>
      <c r="P551" s="2201"/>
      <c r="Q551" s="2201"/>
      <c r="R551" s="2070"/>
      <c r="S551" s="2098">
        <f>'Part IV-Uses of Funds'!S122</f>
        <v>24500</v>
      </c>
      <c r="T551" s="2098"/>
      <c r="U551" s="2070"/>
      <c r="V551" s="2128">
        <f>'Part IV-Uses of Funds'!V122</f>
        <v>0</v>
      </c>
      <c r="W551" s="2176"/>
      <c r="X551" s="2176"/>
    </row>
    <row r="552" spans="1:24">
      <c r="A552" s="2070"/>
      <c r="B552" s="2070" t="s">
        <v>1292</v>
      </c>
      <c r="C552" s="2070"/>
      <c r="D552" s="2070"/>
      <c r="E552" s="2204" t="s">
        <v>3851</v>
      </c>
      <c r="F552" s="2205">
        <f>IF('Part VI-Revenues &amp; Expenses'!$O$62=0,0,G552/'Part VI-Revenues &amp; Expenses'!$O$62)</f>
        <v>714.28571428571433</v>
      </c>
      <c r="G552" s="2098">
        <f>'Part IV-Uses of Funds'!G123</f>
        <v>50000</v>
      </c>
      <c r="H552" s="2098"/>
      <c r="I552" s="2070"/>
      <c r="J552" s="2098">
        <f>'Part IV-Uses of Funds'!J123</f>
        <v>0</v>
      </c>
      <c r="K552" s="2098"/>
      <c r="L552" s="2099"/>
      <c r="M552" s="2098">
        <f>'Part IV-Uses of Funds'!M123</f>
        <v>0</v>
      </c>
      <c r="N552" s="2098"/>
      <c r="O552" s="2070"/>
      <c r="P552" s="2098">
        <f>'Part IV-Uses of Funds'!P123</f>
        <v>25000</v>
      </c>
      <c r="Q552" s="2098"/>
      <c r="R552" s="2070"/>
      <c r="S552" s="2098">
        <f>'Part IV-Uses of Funds'!S123</f>
        <v>25000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359271</v>
      </c>
      <c r="H554" s="2098"/>
      <c r="I554" s="2070"/>
      <c r="J554" s="2098">
        <f>SUM(J552:K553)</f>
        <v>0</v>
      </c>
      <c r="K554" s="2098"/>
      <c r="L554" s="2099"/>
      <c r="M554" s="2098">
        <f>SUM(M552:N553)</f>
        <v>0</v>
      </c>
      <c r="N554" s="2098"/>
      <c r="O554" s="2070"/>
      <c r="P554" s="2098">
        <f>SUM(P552:Q553)</f>
        <v>25000</v>
      </c>
      <c r="Q554" s="2098"/>
      <c r="R554" s="2070"/>
      <c r="S554" s="2098">
        <f>SUM(S548:T553)</f>
        <v>334271</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145000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145000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145000</v>
      </c>
      <c r="H558" s="2098"/>
      <c r="I558" s="2070"/>
      <c r="J558" s="2098">
        <f>SUM(J556:K557)</f>
        <v>0</v>
      </c>
      <c r="K558" s="2098"/>
      <c r="L558" s="2099"/>
      <c r="M558" s="2098">
        <f>SUM(M556:N557)</f>
        <v>0</v>
      </c>
      <c r="N558" s="2098"/>
      <c r="O558" s="2070"/>
      <c r="P558" s="2098">
        <f>SUM(P556:Q557)</f>
        <v>0</v>
      </c>
      <c r="Q558" s="2098"/>
      <c r="R558" s="2070"/>
      <c r="S558" s="2098">
        <f>SUM(S556:T557)</f>
        <v>145000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4424</v>
      </c>
      <c r="C560" s="2070"/>
      <c r="D560" s="2070"/>
      <c r="E560" s="2070"/>
      <c r="F560" s="2070"/>
      <c r="G560" s="2208">
        <f>G446+G452+G456+G462+G467+G470+G476+G493+G506+G512+G520+G534+G540+G546+G554+G558</f>
        <v>9614942</v>
      </c>
      <c r="H560" s="2208"/>
      <c r="I560" s="2070"/>
      <c r="J560" s="2208">
        <f>J446+J452+J456+J462+J467+J470+J476+J493+J506+J512+J520+J534+J540+J546+J554+J558</f>
        <v>0</v>
      </c>
      <c r="K560" s="2208"/>
      <c r="L560" s="2070"/>
      <c r="M560" s="2208">
        <f>M446+M452+M456+M462+M467+M470+M476+M493+M506+M512+M520+M534+M540+M546+M554+M558</f>
        <v>2759760</v>
      </c>
      <c r="N560" s="2208"/>
      <c r="O560" s="2070"/>
      <c r="P560" s="2208">
        <f>P446+P452+P456+P462+P467+P470+P476+P493+P506+P512+P520+P534+P540+P546+P554+P558</f>
        <v>6145691</v>
      </c>
      <c r="Q560" s="2208"/>
      <c r="R560" s="2070"/>
      <c r="S560" s="2208">
        <f>S446+S452+S456+S462+S467+S470+S476+S493+S506+S512+S520+S534+S540+S546+S554+S558</f>
        <v>709491</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4425</v>
      </c>
      <c r="C562" s="2193"/>
      <c r="D562" s="2210">
        <f>IF('Part VI-Revenues &amp; Expenses'!$O$62=0,0,G560/'Part VI-Revenues &amp; Expenses'!$O$62)</f>
        <v>137356.3142857143</v>
      </c>
      <c r="E562" s="2210"/>
      <c r="F562" s="2200" t="s">
        <v>2879</v>
      </c>
      <c r="G562" s="2210">
        <f>IF('Part I-Project Information'!$P$60=0,0,G560/'Part I-Project Information'!$P$60)</f>
        <v>169.39644115574347</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0</v>
      </c>
      <c r="K577" s="2105"/>
      <c r="L577" s="2070"/>
      <c r="M577" s="2105">
        <f>M560</f>
        <v>2759760</v>
      </c>
      <c r="N577" s="2105"/>
      <c r="O577" s="2070"/>
      <c r="P577" s="2105">
        <f>P560</f>
        <v>6145691</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0</v>
      </c>
      <c r="K579" s="2105"/>
      <c r="L579" s="2070"/>
      <c r="M579" s="2105">
        <f>M577</f>
        <v>2759760</v>
      </c>
      <c r="N579" s="2105"/>
      <c r="O579" s="2070"/>
      <c r="P579" s="2105">
        <f>P577-P578</f>
        <v>6145691</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0</v>
      </c>
      <c r="K580" s="2215"/>
      <c r="L580" s="2070"/>
      <c r="M580" s="2215"/>
      <c r="N580" s="2215"/>
      <c r="O580" s="2070"/>
      <c r="P580" s="2215">
        <f>'Part IV-Uses of Funds'!P151</f>
        <v>1</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0</v>
      </c>
      <c r="K581" s="2105"/>
      <c r="L581" s="2070"/>
      <c r="M581" s="2105">
        <f>+M579</f>
        <v>2759760</v>
      </c>
      <c r="N581" s="2105"/>
      <c r="O581" s="2070"/>
      <c r="P581" s="2105">
        <f>P579*P580</f>
        <v>6145691</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1</v>
      </c>
      <c r="K582" s="2216"/>
      <c r="L582" s="2070"/>
      <c r="M582" s="2216">
        <f>MIN('Part VI-Revenues &amp; Expenses'!$O$58/'Part VI-Revenues &amp; Expenses'!$O$60,'Part VI-Revenues &amp; Expenses'!$O$115/'Part VI-Revenues &amp; Expenses'!$O$117)</f>
        <v>1</v>
      </c>
      <c r="N582" s="2216"/>
      <c r="O582" s="2070"/>
      <c r="P582" s="2216">
        <f>MIN('Part VI-Revenues &amp; Expenses'!$O$58/'Part VI-Revenues &amp; Expenses'!$O$60,'Part VI-Revenues &amp; Expenses'!$O$115/'Part VI-Revenues &amp; Expenses'!$O$117)</f>
        <v>1</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0</v>
      </c>
      <c r="K583" s="2105"/>
      <c r="L583" s="2070"/>
      <c r="M583" s="2105">
        <f>M581*M582</f>
        <v>2759760</v>
      </c>
      <c r="N583" s="2105"/>
      <c r="O583" s="2070"/>
      <c r="P583" s="2105">
        <f>P581*P582</f>
        <v>6145691</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v>
      </c>
      <c r="K584" s="2215"/>
      <c r="L584" s="2070"/>
      <c r="M584" s="2215">
        <f>'Part IV-Uses of Funds'!M155</f>
        <v>3.1800000000000002E-2</v>
      </c>
      <c r="N584" s="2215"/>
      <c r="O584" s="2070"/>
      <c r="P584" s="2215">
        <f>'Part IV-Uses of Funds'!P155</f>
        <v>0.09</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0</v>
      </c>
      <c r="K585" s="2105"/>
      <c r="L585" s="2070"/>
      <c r="M585" s="2105">
        <f>M583*M584</f>
        <v>87760.368000000002</v>
      </c>
      <c r="N585" s="2105"/>
      <c r="O585" s="2070"/>
      <c r="P585" s="2105">
        <f>P583*P584</f>
        <v>553112.18999999994</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640872.55799999996</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4426</v>
      </c>
      <c r="C590" s="2070"/>
      <c r="D590" s="2070"/>
      <c r="E590" s="2070"/>
      <c r="F590" s="2070"/>
      <c r="G590" s="2219" t="str">
        <f>IF(J591&gt;J590,"TDC exceeds QAP PUCL!","")</f>
        <v/>
      </c>
      <c r="H590" s="2219"/>
      <c r="I590" s="2219"/>
      <c r="J590" s="2160">
        <f>'Part VIII-Threshold Criteria'!$P$65</f>
        <v>12384982</v>
      </c>
      <c r="K590" s="2160"/>
      <c r="L590" s="2160"/>
      <c r="M590" s="2220" t="s">
        <v>2861</v>
      </c>
      <c r="N590" s="2220"/>
      <c r="O590" s="2220"/>
      <c r="P590" s="2220"/>
      <c r="Q590" s="2220"/>
      <c r="R590" s="2220"/>
      <c r="S590" s="2220" t="s">
        <v>4111</v>
      </c>
      <c r="T590" s="2220"/>
      <c r="U590" s="2070"/>
      <c r="V590" s="2128">
        <f>'Part IV-Uses of Funds'!V161</f>
        <v>0</v>
      </c>
      <c r="W590" s="2176">
        <f>'Part IV-Uses of Funds'!W161</f>
        <v>0</v>
      </c>
      <c r="X590" s="2176"/>
    </row>
    <row r="591" spans="1:24">
      <c r="A591" s="2070"/>
      <c r="B591" s="2070" t="s">
        <v>4427</v>
      </c>
      <c r="C591" s="2070"/>
      <c r="D591" s="2070"/>
      <c r="E591" s="2070"/>
      <c r="F591" s="2070"/>
      <c r="G591" s="2070"/>
      <c r="H591" s="2070"/>
      <c r="I591" s="2070"/>
      <c r="J591" s="2105">
        <f>'Part IV-Uses of Funds'!J162</f>
        <v>9614942</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1600000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8014942</v>
      </c>
      <c r="K593" s="2105"/>
      <c r="L593" s="2105"/>
      <c r="M593" s="2083" t="s">
        <v>2862</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801494.2</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4428</v>
      </c>
      <c r="C596" s="2070"/>
      <c r="D596" s="2070"/>
      <c r="E596" s="2070"/>
      <c r="F596" s="2070"/>
      <c r="G596" s="2070"/>
      <c r="H596" s="2070"/>
      <c r="I596" s="2070"/>
      <c r="J596" s="2224">
        <f>N596+Q596</f>
        <v>1.45</v>
      </c>
      <c r="K596" s="2224"/>
      <c r="L596" s="2224"/>
      <c r="M596" s="2073" t="s">
        <v>1338</v>
      </c>
      <c r="N596" s="2225">
        <f>'Part IV-Uses of Funds'!N167</f>
        <v>1</v>
      </c>
      <c r="O596" s="2225"/>
      <c r="P596" s="2073" t="s">
        <v>636</v>
      </c>
      <c r="Q596" s="2225">
        <f>'Part IV-Uses of Funds'!Q167</f>
        <v>0.45</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552754.62068965519</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4429</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552754.62068965519</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4430</v>
      </c>
      <c r="C601" s="2070"/>
      <c r="D601" s="2070"/>
      <c r="E601" s="2070"/>
      <c r="F601" s="2070"/>
      <c r="G601" s="2070"/>
      <c r="H601" s="2070"/>
      <c r="I601" s="2070"/>
      <c r="J601" s="2162">
        <f>'Part IV-Uses of Funds'!J172</f>
        <v>552754</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4431</v>
      </c>
      <c r="C603" s="2070"/>
      <c r="D603" s="2075"/>
      <c r="E603" s="2075"/>
      <c r="F603" s="2076"/>
      <c r="G603" s="2070"/>
      <c r="H603" s="2070"/>
      <c r="I603" s="2070"/>
      <c r="J603" s="2162">
        <f>IF(J601="",0,+MIN(J599,J601))</f>
        <v>552754</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Construction hard costs are based on an estimate received from Formula Construction Group, LLC.  Development team representative from Hallmark Development Services, LLC, Formula Construction Group, LLC and Studio 8 design met and conducted a detailed site inspection on May 17, 2016 prior to formation of the scope of work.  Please see the DCA  Rehab Work Scope form in Tab 15.
The Total Land Value and Improvement Value used was derived from the appraisal report located in Tab 6.  The applicant left out Land Value of the development budget as the applicant has committed to a long-term ground lease for the land outlined under the QAP scoring section XV Leveraging.  The applicant will be purchasing the existing structure and all improvements through a purchase contract. Further details for site control can be located under Tab 8.</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2016-079 - The Pines Apartments  -  St. Marys  -  Camden,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4181</v>
      </c>
      <c r="B612" s="2231"/>
      <c r="C612" s="2231"/>
      <c r="D612" s="2231"/>
      <c r="E612" s="2231"/>
      <c r="F612" s="2231"/>
      <c r="G612" s="2231"/>
      <c r="H612" s="2231"/>
    </row>
    <row r="613" spans="1:14" s="2230" customFormat="1" ht="6" customHeight="1"/>
    <row r="614" spans="1:14" s="2230" customFormat="1" ht="27" customHeight="1">
      <c r="A614" s="2232" t="s">
        <v>4432</v>
      </c>
      <c r="B614" s="2232"/>
      <c r="C614" s="2232"/>
      <c r="D614" s="2232"/>
      <c r="F614" s="2233" t="s">
        <v>4183</v>
      </c>
      <c r="G614" s="2234"/>
      <c r="H614" s="2233" t="s">
        <v>4184</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 xml:space="preserve">Physical Needs Assessment </v>
      </c>
      <c r="B618" s="2238"/>
      <c r="C618" s="2238"/>
      <c r="D618" s="2238"/>
      <c r="F618" s="2239" t="str">
        <f>'Part IVb-Other Items'!F9</f>
        <v>The Physical Needs Assessment ("PNA") is a report used to describe the specific "As-Is" conditions of an existing property and provides the basis for the scope of ork formation and subsequent underwriting should the applicant be awarded LIHTCs.  DCA requires a Needs Assessment and Capital reserve Study and this report satisfies that requirement.  Please see Tab 15 for the full report.</v>
      </c>
      <c r="G618" s="2237"/>
      <c r="H618" s="2239" t="str">
        <f>'Part IVb-Other Items'!H9</f>
        <v>Under its rehabilitation standards DCA requires a Physical Needs Assessment and Capital reserve Study and this report satisfies that requirement.  Please see Tab 15 for the full report.</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4187</v>
      </c>
      <c r="B621" s="2242">
        <f>'Part IV-Uses of Funds'!$G$14</f>
        <v>3900</v>
      </c>
      <c r="C621" s="2241" t="s">
        <v>1856</v>
      </c>
      <c r="D621" s="2242">
        <f>'Part IV-Uses of Funds'!$J$14+'Part IV-Uses of Funds'!$M$14+'Part IV-Uses of Funds'!$P$14</f>
        <v>3900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Asbestos &amp; Radon Testing</v>
      </c>
      <c r="B623" s="2238"/>
      <c r="C623" s="2238"/>
      <c r="D623" s="2238"/>
      <c r="F623" s="2239" t="str">
        <f>'Part IVb-Other Items'!F14</f>
        <v>Asbestos ("ACM") &amp; Radon Testing is performed as additional testing in the Environmental Phase I report.  The purpose of the additional testing is to detect if ACMs and/or Radon is currently present at the property and if so the cost of mitigation needs to be included in the scope of work and a plan needs to be put in place.  Per the Environmental Phase I in Tab 7 there is not Asbestos and/or Radon detected on site.</v>
      </c>
      <c r="G623" s="2237"/>
      <c r="H623" s="2239" t="str">
        <f>'Part IVb-Other Items'!H14</f>
        <v>The property was originally built in 1981 and could potnetially contain ACMs and/or Radon, so an upfront test to detect the presence of these items was needed.  If present the cost to mitigate would need to be included in the scope of work.  Please see Tab 7 for the Environmental Phase I report with the additional asbestos and radon testing included.</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4187</v>
      </c>
      <c r="B626" s="2242">
        <f>'Part IV-Uses of Funds'!$G$15</f>
        <v>4600</v>
      </c>
      <c r="C626" s="2241" t="s">
        <v>1856</v>
      </c>
      <c r="D626" s="2242">
        <f>'Part IV-Uses of Funds'!$J$15+'Part IV-Uses of Funds'!$M$15+'Part IV-Uses of Funds'!$P$15</f>
        <v>4600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Energy Audit Report - Rehab Project</v>
      </c>
      <c r="B628" s="2238"/>
      <c r="C628" s="2238"/>
      <c r="D628" s="2238"/>
      <c r="F628" s="2239" t="str">
        <f>'Part IVb-Other Items'!F19</f>
        <v>The Energy Audit Report is required by DCA for rehabilitation projects.  The applicant has prepared and incured the cost for this report.  It helps DCA, Southface, and other energy analyst monitor the energy conservation in various areas should the proposed energy retrofits take place in the proposed project.  It also helps the applicant confirm the EarthCraft Multi-family House Certification it is seeking.  The applicant has prepared and incured the cost for this report.  Please see the report in Tab 30 for  more information.</v>
      </c>
      <c r="G628" s="2237"/>
      <c r="H628" s="2239" t="str">
        <f>'Part IVb-Other Items'!H19</f>
        <v>The Energy Audit report is required by DCA for all rehabilitation projects.  The applicant has prepared and incurred the cost for this report.  Please see the report in Tab 30 for  more information.</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4187</v>
      </c>
      <c r="B631" s="2242">
        <f>'Part IV-Uses of Funds'!$G$16</f>
        <v>3100</v>
      </c>
      <c r="C631" s="2241" t="s">
        <v>1856</v>
      </c>
      <c r="D631" s="2242">
        <f>'Part IV-Uses of Funds'!$J$16+'Part IV-Uses of Funds'!$M$16+'Part IV-Uses of Funds'!$P$16</f>
        <v>3100</v>
      </c>
      <c r="F631" s="2239"/>
      <c r="G631" s="2237"/>
      <c r="H631" s="2239"/>
    </row>
    <row r="632" spans="1:8" s="2236" customFormat="1" ht="6" customHeight="1">
      <c r="A632" s="2237"/>
      <c r="B632" s="2243"/>
      <c r="C632" s="2237"/>
      <c r="D632" s="2237"/>
      <c r="F632" s="2239"/>
      <c r="G632" s="2244"/>
      <c r="H632" s="2239"/>
    </row>
    <row r="633" spans="1:8" s="2236" customFormat="1">
      <c r="A633" s="2229" t="s">
        <v>4186</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4187</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4187</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4187</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4187</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4187</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4433</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4187</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4434</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4185</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4435</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4185</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2016-079 The Pines Apartments,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South</v>
      </c>
    </row>
    <row r="699" spans="1:13">
      <c r="A699" s="2250" t="s">
        <v>640</v>
      </c>
      <c r="B699" s="2250" t="s">
        <v>2306</v>
      </c>
      <c r="F699" s="877" t="s">
        <v>2606</v>
      </c>
      <c r="I699" s="2251" t="str">
        <f>'Part V-Utility Allowances'!I5</f>
        <v>OCAF Rent Adjustment (HAP Contract GA060012146)</v>
      </c>
      <c r="J699" s="2251"/>
      <c r="K699" s="2251"/>
      <c r="L699" s="2251"/>
      <c r="M699" s="2251"/>
    </row>
    <row r="700" spans="1:13">
      <c r="A700" s="2250"/>
      <c r="F700" s="877" t="s">
        <v>660</v>
      </c>
      <c r="I700" s="2252">
        <f>'Part V-Utility Allowances'!I6</f>
        <v>42374</v>
      </c>
      <c r="J700" s="2252"/>
      <c r="K700" s="2253" t="s">
        <v>559</v>
      </c>
      <c r="L700" s="2251" t="str">
        <f>'Part V-Utility Allowances'!L6</f>
        <v>2-Story</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v>
      </c>
      <c r="E704" s="2251"/>
      <c r="F704" s="2256" t="str">
        <f>'Part V-Utility Allowances'!F10</f>
        <v>X</v>
      </c>
      <c r="G704" s="2256">
        <f>'Part V-Utility Allowances'!G10</f>
        <v>0</v>
      </c>
      <c r="I704" s="2253">
        <f>'Part V-Utility Allowances'!I10</f>
        <v>0</v>
      </c>
      <c r="J704" s="2253">
        <f>'Part V-Utility Allowances'!J10</f>
        <v>0</v>
      </c>
      <c r="K704" s="2253">
        <f>'Part V-Utility Allowances'!K10</f>
        <v>0</v>
      </c>
      <c r="L704" s="2253">
        <f>'Part V-Utility Allowances'!L10</f>
        <v>0</v>
      </c>
      <c r="M704" s="2253">
        <f>'Part V-Utility Allowances'!M10</f>
        <v>0</v>
      </c>
    </row>
    <row r="705" spans="1:13">
      <c r="B705" s="877" t="s">
        <v>484</v>
      </c>
      <c r="D705" s="877" t="s">
        <v>1653</v>
      </c>
      <c r="F705" s="2256" t="str">
        <f>'Part V-Utility Allowances'!F11</f>
        <v>X</v>
      </c>
      <c r="G705" s="2256">
        <f>'Part V-Utility Allowances'!G11</f>
        <v>0</v>
      </c>
      <c r="I705" s="2253">
        <f>'Part V-Utility Allowances'!I11</f>
        <v>0</v>
      </c>
      <c r="J705" s="2253">
        <f>'Part V-Utility Allowances'!J11</f>
        <v>0</v>
      </c>
      <c r="K705" s="2253">
        <f>'Part V-Utility Allowances'!K11</f>
        <v>0</v>
      </c>
      <c r="L705" s="2253">
        <f>'Part V-Utility Allowances'!L11</f>
        <v>0</v>
      </c>
      <c r="M705" s="2253">
        <f>'Part V-Utility Allowances'!M11</f>
        <v>0</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0</v>
      </c>
      <c r="K706" s="2253">
        <f>'Part V-Utility Allowances'!K12</f>
        <v>0</v>
      </c>
      <c r="L706" s="2253">
        <f>'Part V-Utility Allowances'!L12</f>
        <v>0</v>
      </c>
      <c r="M706" s="2253">
        <f>'Part V-Utility Allowances'!M12</f>
        <v>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0</v>
      </c>
      <c r="K707" s="2253">
        <f>'Part V-Utility Allowances'!K13</f>
        <v>0</v>
      </c>
      <c r="L707" s="2253">
        <f>'Part V-Utility Allowances'!L13</f>
        <v>0</v>
      </c>
      <c r="M707" s="2253">
        <f>'Part V-Utility Allowances'!M13</f>
        <v>0</v>
      </c>
    </row>
    <row r="708" spans="1:13">
      <c r="B708" s="877" t="s">
        <v>1656</v>
      </c>
      <c r="D708" s="877" t="s">
        <v>1653</v>
      </c>
      <c r="F708" s="2256" t="str">
        <f>'Part V-Utility Allowances'!F14</f>
        <v>X</v>
      </c>
      <c r="G708" s="2256">
        <f>'Part V-Utility Allowances'!G14</f>
        <v>0</v>
      </c>
      <c r="I708" s="2253">
        <f>'Part V-Utility Allowances'!I14</f>
        <v>0</v>
      </c>
      <c r="J708" s="2253">
        <f>'Part V-Utility Allowances'!J14</f>
        <v>82</v>
      </c>
      <c r="K708" s="2253">
        <f>'Part V-Utility Allowances'!K14</f>
        <v>113</v>
      </c>
      <c r="L708" s="2253">
        <f>'Part V-Utility Allowances'!L14</f>
        <v>134</v>
      </c>
      <c r="M708" s="2253">
        <f>'Part V-Utility Allowances'!M14</f>
        <v>0</v>
      </c>
    </row>
    <row r="709" spans="1:13">
      <c r="B709" s="877" t="s">
        <v>1420</v>
      </c>
      <c r="D709" s="877" t="s">
        <v>4161</v>
      </c>
      <c r="E709" s="2253" t="str">
        <f>'Part V-Utility Allowances'!E15</f>
        <v>No</v>
      </c>
      <c r="F709" s="2256">
        <f>'Part V-Utility Allowances'!F15</f>
        <v>0</v>
      </c>
      <c r="G709" s="2256" t="str">
        <f>'Part V-Utility Allowances'!G15</f>
        <v>X</v>
      </c>
      <c r="I709" s="2253">
        <f>'Part V-Utility Allowances'!I15</f>
        <v>0</v>
      </c>
      <c r="J709" s="2253">
        <f>'Part V-Utility Allowances'!J15</f>
        <v>0</v>
      </c>
      <c r="K709" s="2253">
        <f>'Part V-Utility Allowances'!K15</f>
        <v>0</v>
      </c>
      <c r="L709" s="2253">
        <f>'Part V-Utility Allowances'!L15</f>
        <v>0</v>
      </c>
      <c r="M709" s="2253">
        <f>'Part V-Utility Allowances'!M15</f>
        <v>0</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82</v>
      </c>
      <c r="K711" s="2255">
        <f>IF(SUM(K704:K710)=0,0,IF(OR($D704="&lt;&lt;Select Fuel &gt;&gt;",$D706="&lt;&lt;Select Fuel &gt;&gt;",$D707="&lt;&lt;Select Fuel &gt;&gt;"),"Select Fuel",IF($E709="&lt;Select&gt;","Submeter?",SUM(K704:K710))))</f>
        <v>113</v>
      </c>
      <c r="L711" s="2255">
        <f>IF(SUM(L704:L710)=0,0,IF(OR($D704="&lt;&lt;Select Fuel &gt;&gt;",$D706="&lt;&lt;Select Fuel &gt;&gt;",$D707="&lt;&lt;Select Fuel &gt;&gt;"),"Select Fuel",IF($E709="&lt;Select&gt;","Submeter?",SUM(L704:L710))))</f>
        <v>134</v>
      </c>
      <c r="M711" s="2255">
        <f>IF(SUM(M704:M710)=0,0,IF(OR($D704="&lt;&lt;Select Fuel &gt;&gt;",$D706="&lt;&lt;Select Fuel &gt;&gt;",$D707="&lt;&lt;Select Fuel &gt;&gt;"),"Select Fuel",IF($E709="&lt;Select&gt;","Submeter?",SUM(M704:M710))))</f>
        <v>0</v>
      </c>
    </row>
    <row r="712" spans="1:13">
      <c r="B712" s="504" t="s">
        <v>4162</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4161</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4162</v>
      </c>
      <c r="F727" s="2253"/>
      <c r="G727" s="2253"/>
      <c r="I727" s="2255"/>
      <c r="J727" s="2255"/>
      <c r="K727" s="2255"/>
      <c r="L727" s="2255"/>
      <c r="M727" s="2255"/>
    </row>
    <row r="729" spans="1:13">
      <c r="B729" s="2257" t="s">
        <v>1873</v>
      </c>
    </row>
    <row r="731" spans="1:13">
      <c r="A731" s="2250"/>
      <c r="B731" s="2250" t="s">
        <v>593</v>
      </c>
    </row>
    <row r="732" spans="1:13" ht="204">
      <c r="B732" s="2181" t="str">
        <f>'Part V-Utility Allowances'!B38</f>
        <v>The approved 2016 OCAF Rent Adjustment (HAP Contract GA060012146) has been included in Tab 1 for further breakdown of HUD utility allowances.</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2016-079 The Pines Apartments,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2016-079 The Pines Apartments,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3855</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3663</v>
      </c>
      <c r="JD746" s="2263" t="s">
        <v>3664</v>
      </c>
      <c r="JE746" s="2263" t="s">
        <v>3665</v>
      </c>
      <c r="JF746" s="2263" t="s">
        <v>3666</v>
      </c>
      <c r="JG746" s="2263" t="s">
        <v>3667</v>
      </c>
    </row>
    <row r="747" spans="1:277" s="2079" customFormat="1" ht="3" customHeight="1">
      <c r="B747" s="2078"/>
      <c r="D747" s="2078"/>
      <c r="P747" s="2264" t="s">
        <v>4436</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f>'Part VI-Revenues &amp; Expenses'!G5</f>
        <v>0</v>
      </c>
      <c r="J748" s="2269" t="s">
        <v>3849</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3658</v>
      </c>
      <c r="JI748" s="2266" t="s">
        <v>3659</v>
      </c>
      <c r="JJ748" s="2266" t="s">
        <v>3660</v>
      </c>
      <c r="JK748" s="2266" t="s">
        <v>3661</v>
      </c>
      <c r="JL748" s="2266" t="s">
        <v>3662</v>
      </c>
      <c r="JM748" s="2263" t="s">
        <v>3672</v>
      </c>
      <c r="JN748" s="2263" t="s">
        <v>3674</v>
      </c>
      <c r="JO748" s="2263" t="s">
        <v>3675</v>
      </c>
      <c r="JP748" s="2263" t="s">
        <v>3676</v>
      </c>
      <c r="JQ748" s="2263" t="s">
        <v>3677</v>
      </c>
    </row>
    <row r="749" spans="1:277" s="2079" customFormat="1" ht="13.15" customHeight="1">
      <c r="A749" s="2268"/>
      <c r="B749" s="2270" t="s">
        <v>1872</v>
      </c>
      <c r="E749" s="2078"/>
      <c r="F749" s="2253">
        <f>'Part VI-Revenues &amp; Expenses'!F6</f>
        <v>0</v>
      </c>
      <c r="G749" s="2269" t="s">
        <v>4099</v>
      </c>
      <c r="H749" s="2271" t="s">
        <v>4102</v>
      </c>
      <c r="J749" s="2269" t="s">
        <v>4104</v>
      </c>
      <c r="M749" s="2272" t="str">
        <f>'Part I-Project Information'!$O$30</f>
        <v>Camden Co.</v>
      </c>
      <c r="N749" s="2272"/>
      <c r="O749" s="2273">
        <f>VLOOKUP('Part I-Project Information'!$O$30,'DCA Underwriting Assumptions'!$C$141:$D$251,2)</f>
        <v>65400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4100</v>
      </c>
      <c r="H750" s="2271"/>
      <c r="J750" s="2269" t="s">
        <v>4105</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4100</v>
      </c>
      <c r="I751" s="2269" t="s">
        <v>830</v>
      </c>
      <c r="J751" s="2269" t="s">
        <v>4437</v>
      </c>
      <c r="K751" s="2277" t="s">
        <v>147</v>
      </c>
      <c r="L751" s="2277"/>
      <c r="M751" s="2269" t="s">
        <v>2450</v>
      </c>
      <c r="N751" s="2269" t="s">
        <v>551</v>
      </c>
      <c r="O751" s="2269" t="s">
        <v>397</v>
      </c>
      <c r="P751" s="2264"/>
      <c r="Q751" s="2277" t="s">
        <v>3860</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3554</v>
      </c>
      <c r="FH751" s="2263" t="s">
        <v>3554</v>
      </c>
      <c r="FI751" s="2263" t="s">
        <v>3554</v>
      </c>
      <c r="FJ751" s="2263" t="s">
        <v>3554</v>
      </c>
      <c r="FK751" s="2263" t="s">
        <v>3554</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3550</v>
      </c>
      <c r="GB751" s="2263" t="s">
        <v>3550</v>
      </c>
      <c r="GC751" s="2263" t="s">
        <v>3550</v>
      </c>
      <c r="GD751" s="2263" t="s">
        <v>3550</v>
      </c>
      <c r="GE751" s="2263" t="s">
        <v>3550</v>
      </c>
      <c r="GF751" s="2263" t="s">
        <v>372</v>
      </c>
      <c r="GG751" s="2263" t="s">
        <v>372</v>
      </c>
      <c r="GH751" s="2263" t="s">
        <v>372</v>
      </c>
      <c r="GI751" s="2263" t="s">
        <v>372</v>
      </c>
      <c r="GJ751" s="2263" t="s">
        <v>372</v>
      </c>
      <c r="GK751" s="2263" t="s">
        <v>3549</v>
      </c>
      <c r="GL751" s="2263" t="s">
        <v>3549</v>
      </c>
      <c r="GM751" s="2263" t="s">
        <v>3549</v>
      </c>
      <c r="GN751" s="2263" t="s">
        <v>3549</v>
      </c>
      <c r="GO751" s="2263" t="s">
        <v>3549</v>
      </c>
      <c r="GP751" s="2263" t="s">
        <v>373</v>
      </c>
      <c r="GQ751" s="2263" t="s">
        <v>373</v>
      </c>
      <c r="GR751" s="2263" t="s">
        <v>373</v>
      </c>
      <c r="GS751" s="2263" t="s">
        <v>373</v>
      </c>
      <c r="GT751" s="2263" t="s">
        <v>373</v>
      </c>
      <c r="GU751" s="2263" t="s">
        <v>3548</v>
      </c>
      <c r="GV751" s="2263" t="s">
        <v>3548</v>
      </c>
      <c r="GW751" s="2263" t="s">
        <v>3548</v>
      </c>
      <c r="GX751" s="2263" t="s">
        <v>3548</v>
      </c>
      <c r="GY751" s="2263" t="s">
        <v>3548</v>
      </c>
      <c r="GZ751" s="2263" t="s">
        <v>374</v>
      </c>
      <c r="HA751" s="2263" t="s">
        <v>374</v>
      </c>
      <c r="HB751" s="2263" t="s">
        <v>374</v>
      </c>
      <c r="HC751" s="2263" t="s">
        <v>374</v>
      </c>
      <c r="HD751" s="2263" t="s">
        <v>374</v>
      </c>
      <c r="HE751" s="2263" t="s">
        <v>3551</v>
      </c>
      <c r="HF751" s="2263" t="s">
        <v>3551</v>
      </c>
      <c r="HG751" s="2263" t="s">
        <v>3551</v>
      </c>
      <c r="HH751" s="2263" t="s">
        <v>3551</v>
      </c>
      <c r="HI751" s="2263" t="s">
        <v>3551</v>
      </c>
      <c r="HJ751" s="2263" t="s">
        <v>375</v>
      </c>
      <c r="HK751" s="2263" t="s">
        <v>375</v>
      </c>
      <c r="HL751" s="2263" t="s">
        <v>375</v>
      </c>
      <c r="HM751" s="2263" t="s">
        <v>375</v>
      </c>
      <c r="HN751" s="2263" t="s">
        <v>375</v>
      </c>
      <c r="HO751" s="2263" t="s">
        <v>3552</v>
      </c>
      <c r="HP751" s="2263" t="s">
        <v>3552</v>
      </c>
      <c r="HQ751" s="2263" t="s">
        <v>3552</v>
      </c>
      <c r="HR751" s="2263" t="s">
        <v>3552</v>
      </c>
      <c r="HS751" s="2263" t="s">
        <v>3552</v>
      </c>
      <c r="HT751" s="2263" t="s">
        <v>1517</v>
      </c>
      <c r="HU751" s="2263" t="s">
        <v>1517</v>
      </c>
      <c r="HV751" s="2263" t="s">
        <v>1517</v>
      </c>
      <c r="HW751" s="2263" t="s">
        <v>1517</v>
      </c>
      <c r="HX751" s="2263" t="s">
        <v>1517</v>
      </c>
      <c r="HY751" s="2263" t="s">
        <v>3553</v>
      </c>
      <c r="HZ751" s="2263" t="s">
        <v>3553</v>
      </c>
      <c r="IA751" s="2263" t="s">
        <v>3553</v>
      </c>
      <c r="IB751" s="2263" t="s">
        <v>3553</v>
      </c>
      <c r="IC751" s="2263" t="s">
        <v>3553</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4101</v>
      </c>
      <c r="H752" s="2269" t="s">
        <v>1535</v>
      </c>
      <c r="I752" s="2269" t="s">
        <v>831</v>
      </c>
      <c r="J752" s="2278" t="s">
        <v>363</v>
      </c>
      <c r="K752" s="2269" t="s">
        <v>1587</v>
      </c>
      <c r="L752" s="2269" t="s">
        <v>558</v>
      </c>
      <c r="M752" s="2269" t="s">
        <v>1533</v>
      </c>
      <c r="N752" s="2269" t="s">
        <v>3498</v>
      </c>
      <c r="O752" s="2269" t="s">
        <v>398</v>
      </c>
      <c r="P752" s="2264"/>
      <c r="Q752" s="2269" t="s">
        <v>3861</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3555</v>
      </c>
      <c r="FR752" s="2253" t="s">
        <v>3555</v>
      </c>
      <c r="FS752" s="2253" t="s">
        <v>3555</v>
      </c>
      <c r="FT752" s="2253" t="s">
        <v>3555</v>
      </c>
      <c r="FU752" s="2253" t="s">
        <v>3555</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2</v>
      </c>
      <c r="F753" s="2282">
        <f>'Part VI-Revenues &amp; Expenses'!F10</f>
        <v>566</v>
      </c>
      <c r="G753" s="2282">
        <f>'Part VI-Revenues &amp; Expenses'!G10</f>
        <v>583</v>
      </c>
      <c r="H753" s="2282">
        <f>'Part VI-Revenues &amp; Expenses'!H10</f>
        <v>174</v>
      </c>
      <c r="I753" s="2282">
        <f>'Part VI-Revenues &amp; Expenses'!I10</f>
        <v>82</v>
      </c>
      <c r="J753" s="2283" t="str">
        <f>'Part VI-Revenues &amp; Expenses'!J10</f>
        <v>HUD</v>
      </c>
      <c r="K753" s="2284">
        <f t="shared" ref="K753:K790" si="2">MAX(0,H753-I753)</f>
        <v>92</v>
      </c>
      <c r="L753" s="2284">
        <f t="shared" ref="L753:L790" si="3">MAX(0,E753*K753)</f>
        <v>184</v>
      </c>
      <c r="M753" s="2285" t="str">
        <f>'Part VI-Revenues &amp; Expenses'!M10</f>
        <v>No</v>
      </c>
      <c r="N753" s="2285" t="str">
        <f>'Part VI-Revenues &amp; Expenses'!N10</f>
        <v>2-Story</v>
      </c>
      <c r="O753" s="2285" t="str">
        <f>'Part VI-Revenues &amp; Expenses'!O10</f>
        <v>Acquisition/Rehab</v>
      </c>
      <c r="P753" s="2262" t="str">
        <f>'Part VI-Revenues &amp; Expenses'!P10</f>
        <v>No</v>
      </c>
      <c r="Q753" s="2286">
        <f>'Part VI-Revenues &amp; Expenses'!Q10</f>
        <v>6960</v>
      </c>
      <c r="R753" s="2287">
        <f>'Part VI-Revenues &amp; Expenses'!R10</f>
        <v>0.14189602446483179</v>
      </c>
      <c r="S753" s="2286">
        <f>'Part VI-Revenues &amp; Expenses'!S10</f>
        <v>0</v>
      </c>
      <c r="T753" s="2287">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2</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f t="shared" ref="AW753:AW790" si="30">IF(OR(AND($C753=1,NOT($J753=""),NOT($J753=0),NOT($J753="PHA Oper Sub"),$B753="50% AMI",NOT($M753="Common Space")),AND($C753=1,NOT($J753=""),NOT($J753=0),NOT($J753="PHA Oper Sub"),$B753="HOME 50% AMI",NOT($M753="Common Space"))),$E753,"")</f>
        <v>2</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1132</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f t="shared" ref="CU753:CU790" si="80">IF(AND(C753=1,NOT(J753=""),NOT($J753=0),NOT(M753="Common Space")),E753*F753,"")</f>
        <v>1132</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f t="shared" ref="DT753:DT790" si="105">IF(AND($C753=1, $O753="Acquisition/Rehab",NOT($B753="Unrestricted"),NOT($B753="NSP 120% AMI"),NOT($B753="N/A-CS"),NOT($M753="Common Space")),$E753,"")</f>
        <v>2</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2</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f t="shared" ref="HA753:HA790" si="190">IF(AND($C753=1, $N753="2-Story",NOT($P753="Yes")),$E753,"")</f>
        <v>2</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2</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0</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50% AMI</v>
      </c>
      <c r="C754" s="2280">
        <f>'Part VI-Revenues &amp; Expenses'!C11</f>
        <v>2</v>
      </c>
      <c r="D754" s="2281">
        <f>'Part VI-Revenues &amp; Expenses'!D11</f>
        <v>1</v>
      </c>
      <c r="E754" s="2282">
        <f>'Part VI-Revenues &amp; Expenses'!E11</f>
        <v>10</v>
      </c>
      <c r="F754" s="2282">
        <f>'Part VI-Revenues &amp; Expenses'!F11</f>
        <v>749</v>
      </c>
      <c r="G754" s="2282">
        <f>'Part VI-Revenues &amp; Expenses'!G11</f>
        <v>700</v>
      </c>
      <c r="H754" s="2282">
        <f>'Part VI-Revenues &amp; Expenses'!H11</f>
        <v>210</v>
      </c>
      <c r="I754" s="2282">
        <f>'Part VI-Revenues &amp; Expenses'!I11</f>
        <v>113</v>
      </c>
      <c r="J754" s="2283" t="str">
        <f>'Part VI-Revenues &amp; Expenses'!J11</f>
        <v>HUD</v>
      </c>
      <c r="K754" s="2284">
        <f t="shared" si="2"/>
        <v>97</v>
      </c>
      <c r="L754" s="2284">
        <f t="shared" si="3"/>
        <v>970</v>
      </c>
      <c r="M754" s="2285" t="str">
        <f>'Part VI-Revenues &amp; Expenses'!M11</f>
        <v>No</v>
      </c>
      <c r="N754" s="2285" t="str">
        <f>'Part VI-Revenues &amp; Expenses'!N11</f>
        <v>2-Story</v>
      </c>
      <c r="O754" s="2285" t="str">
        <f>'Part VI-Revenues &amp; Expenses'!O11</f>
        <v>Acquisition/Rehab</v>
      </c>
      <c r="P754" s="2262" t="str">
        <f>'Part VI-Revenues &amp; Expenses'!P11</f>
        <v>No</v>
      </c>
      <c r="Q754" s="2286">
        <f>'Part VI-Revenues &amp; Expenses'!Q11</f>
        <v>8400</v>
      </c>
      <c r="R754" s="2287">
        <f>'Part VI-Revenues &amp; Expenses'!R11</f>
        <v>0.14271151885830785</v>
      </c>
      <c r="S754" s="2286">
        <f>'Part VI-Revenues &amp; Expenses'!S11</f>
        <v>0</v>
      </c>
      <c r="T754" s="2287">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10</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f t="shared" si="31"/>
        <v>10</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7490</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f t="shared" si="81"/>
        <v>7490</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f t="shared" si="106"/>
        <v>10</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t="str">
        <f t="shared" si="135"/>
        <v/>
      </c>
      <c r="EY754" s="2288">
        <f t="shared" si="136"/>
        <v>10</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f t="shared" si="191"/>
        <v>10</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10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0</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50% AMI</v>
      </c>
      <c r="C755" s="2280">
        <f>'Part VI-Revenues &amp; Expenses'!C12</f>
        <v>3</v>
      </c>
      <c r="D755" s="2281">
        <f>'Part VI-Revenues &amp; Expenses'!D12</f>
        <v>1</v>
      </c>
      <c r="E755" s="2282">
        <f>'Part VI-Revenues &amp; Expenses'!E12</f>
        <v>3</v>
      </c>
      <c r="F755" s="2282">
        <f>'Part VI-Revenues &amp; Expenses'!F12</f>
        <v>1029</v>
      </c>
      <c r="G755" s="2282">
        <f>'Part VI-Revenues &amp; Expenses'!G12</f>
        <v>808</v>
      </c>
      <c r="H755" s="2282">
        <f>'Part VI-Revenues &amp; Expenses'!H12</f>
        <v>242</v>
      </c>
      <c r="I755" s="2282">
        <f>'Part VI-Revenues &amp; Expenses'!I12</f>
        <v>134</v>
      </c>
      <c r="J755" s="2283" t="str">
        <f>'Part VI-Revenues &amp; Expenses'!J12</f>
        <v>HUD</v>
      </c>
      <c r="K755" s="2284">
        <f t="shared" si="2"/>
        <v>108</v>
      </c>
      <c r="L755" s="2284">
        <f t="shared" si="3"/>
        <v>324</v>
      </c>
      <c r="M755" s="2285" t="str">
        <f>'Part VI-Revenues &amp; Expenses'!M12</f>
        <v>No</v>
      </c>
      <c r="N755" s="2285" t="str">
        <f>'Part VI-Revenues &amp; Expenses'!N12</f>
        <v>2-Story</v>
      </c>
      <c r="O755" s="2285" t="str">
        <f>'Part VI-Revenues &amp; Expenses'!O12</f>
        <v>Acquisition/Rehab</v>
      </c>
      <c r="P755" s="2262" t="str">
        <f>'Part VI-Revenues &amp; Expenses'!P12</f>
        <v>No</v>
      </c>
      <c r="Q755" s="2286">
        <f>'Part VI-Revenues &amp; Expenses'!Q12</f>
        <v>9680</v>
      </c>
      <c r="R755" s="2287">
        <f>'Part VI-Revenues &amp; Expenses'!R12</f>
        <v>0.14231945424605974</v>
      </c>
      <c r="S755" s="2286">
        <f>'Part VI-Revenues &amp; Expenses'!S12</f>
        <v>0</v>
      </c>
      <c r="T755" s="2287">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t="str">
        <f t="shared" si="11"/>
        <v/>
      </c>
      <c r="AE755" s="877">
        <f t="shared" si="12"/>
        <v>3</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f t="shared" si="32"/>
        <v>3</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f t="shared" si="67"/>
        <v>3087</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f t="shared" si="82"/>
        <v>3087</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f t="shared" si="107"/>
        <v>3</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t="str">
        <f t="shared" si="135"/>
        <v/>
      </c>
      <c r="EY755" s="2288" t="str">
        <f t="shared" si="136"/>
        <v/>
      </c>
      <c r="EZ755" s="2288">
        <f t="shared" si="137"/>
        <v>3</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f t="shared" si="192"/>
        <v>3</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0</v>
      </c>
      <c r="JE755" s="2253">
        <f t="shared" si="246"/>
        <v>0</v>
      </c>
      <c r="JF755" s="2253">
        <f t="shared" si="247"/>
        <v>3</v>
      </c>
      <c r="JG755" s="2253">
        <f t="shared" si="248"/>
        <v>0</v>
      </c>
      <c r="JH755" s="2253">
        <f t="shared" si="249"/>
        <v>0</v>
      </c>
      <c r="JI755" s="2253">
        <f t="shared" si="250"/>
        <v>0</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60% AMI</v>
      </c>
      <c r="C756" s="2280">
        <f>'Part VI-Revenues &amp; Expenses'!C13</f>
        <v>1</v>
      </c>
      <c r="D756" s="2281">
        <f>'Part VI-Revenues &amp; Expenses'!D13</f>
        <v>1</v>
      </c>
      <c r="E756" s="2282">
        <f>'Part VI-Revenues &amp; Expenses'!E13</f>
        <v>8</v>
      </c>
      <c r="F756" s="2282">
        <f>'Part VI-Revenues &amp; Expenses'!F13</f>
        <v>566</v>
      </c>
      <c r="G756" s="2282">
        <f>'Part VI-Revenues &amp; Expenses'!G13</f>
        <v>700</v>
      </c>
      <c r="H756" s="2282">
        <f>'Part VI-Revenues &amp; Expenses'!H13</f>
        <v>700</v>
      </c>
      <c r="I756" s="2282">
        <f>'Part VI-Revenues &amp; Expenses'!I13</f>
        <v>82</v>
      </c>
      <c r="J756" s="2283" t="str">
        <f>'Part VI-Revenues &amp; Expenses'!J13</f>
        <v>HUD</v>
      </c>
      <c r="K756" s="2284">
        <f t="shared" si="2"/>
        <v>618</v>
      </c>
      <c r="L756" s="2284">
        <f t="shared" si="3"/>
        <v>4944</v>
      </c>
      <c r="M756" s="2285" t="str">
        <f>'Part VI-Revenues &amp; Expenses'!M13</f>
        <v>No</v>
      </c>
      <c r="N756" s="2285" t="str">
        <f>'Part VI-Revenues &amp; Expenses'!N13</f>
        <v>2-Story</v>
      </c>
      <c r="O756" s="2285" t="str">
        <f>'Part VI-Revenues &amp; Expenses'!O13</f>
        <v>Acquisition/Rehab</v>
      </c>
      <c r="P756" s="2262" t="str">
        <f>'Part VI-Revenues &amp; Expenses'!P13</f>
        <v>No</v>
      </c>
      <c r="Q756" s="2286">
        <f>'Part VI-Revenues &amp; Expenses'!Q13</f>
        <v>28000</v>
      </c>
      <c r="R756" s="2287">
        <f>'Part VI-Revenues &amp; Expenses'!R13</f>
        <v>0.5708460754332314</v>
      </c>
      <c r="S756" s="2286">
        <f>'Part VI-Revenues &amp; Expenses'!S13</f>
        <v>0</v>
      </c>
      <c r="T756" s="2287">
        <f>'Part VI-Revenues &amp; Expenses'!T13</f>
        <v>0</v>
      </c>
      <c r="U756" s="2176"/>
      <c r="V756" s="2176"/>
      <c r="W756" s="877" t="str">
        <f t="shared" si="4"/>
        <v/>
      </c>
      <c r="X756" s="877">
        <f t="shared" si="5"/>
        <v>8</v>
      </c>
      <c r="Y756" s="877" t="str">
        <f t="shared" si="6"/>
        <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f t="shared" si="35"/>
        <v>8</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f t="shared" si="60"/>
        <v>4528</v>
      </c>
      <c r="CB756" s="877" t="str">
        <f t="shared" si="61"/>
        <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f t="shared" si="80"/>
        <v>4528</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f t="shared" si="105"/>
        <v>8</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f t="shared" si="135"/>
        <v>8</v>
      </c>
      <c r="EY756" s="2288" t="str">
        <f t="shared" si="136"/>
        <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f t="shared" si="190"/>
        <v>8</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8</v>
      </c>
      <c r="JE756" s="2253">
        <f t="shared" si="246"/>
        <v>0</v>
      </c>
      <c r="JF756" s="2253">
        <f t="shared" si="247"/>
        <v>0</v>
      </c>
      <c r="JG756" s="2253">
        <f t="shared" si="248"/>
        <v>0</v>
      </c>
      <c r="JH756" s="2253">
        <f t="shared" si="249"/>
        <v>0</v>
      </c>
      <c r="JI756" s="2253">
        <f t="shared" si="250"/>
        <v>0</v>
      </c>
      <c r="JJ756" s="2253">
        <f t="shared" si="251"/>
        <v>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2</v>
      </c>
      <c r="D757" s="2281">
        <f>'Part VI-Revenues &amp; Expenses'!D14</f>
        <v>1</v>
      </c>
      <c r="E757" s="2282">
        <f>'Part VI-Revenues &amp; Expenses'!E14</f>
        <v>38</v>
      </c>
      <c r="F757" s="2282">
        <f>'Part VI-Revenues &amp; Expenses'!F14</f>
        <v>749</v>
      </c>
      <c r="G757" s="2282">
        <f>'Part VI-Revenues &amp; Expenses'!G14</f>
        <v>840</v>
      </c>
      <c r="H757" s="2282">
        <f>'Part VI-Revenues &amp; Expenses'!H14</f>
        <v>840</v>
      </c>
      <c r="I757" s="2282">
        <f>'Part VI-Revenues &amp; Expenses'!I14</f>
        <v>113</v>
      </c>
      <c r="J757" s="2283" t="str">
        <f>'Part VI-Revenues &amp; Expenses'!J14</f>
        <v>HUD</v>
      </c>
      <c r="K757" s="2284">
        <f t="shared" si="2"/>
        <v>727</v>
      </c>
      <c r="L757" s="2284">
        <f t="shared" si="3"/>
        <v>27626</v>
      </c>
      <c r="M757" s="2285" t="str">
        <f>'Part VI-Revenues &amp; Expenses'!M14</f>
        <v>No</v>
      </c>
      <c r="N757" s="2285" t="str">
        <f>'Part VI-Revenues &amp; Expenses'!N14</f>
        <v>2-Story</v>
      </c>
      <c r="O757" s="2285" t="str">
        <f>'Part VI-Revenues &amp; Expenses'!O14</f>
        <v>Acquisition/Rehab</v>
      </c>
      <c r="P757" s="2262" t="str">
        <f>'Part VI-Revenues &amp; Expenses'!P14</f>
        <v>No</v>
      </c>
      <c r="Q757" s="2286">
        <f>'Part VI-Revenues &amp; Expenses'!Q14</f>
        <v>33600</v>
      </c>
      <c r="R757" s="2287">
        <f>'Part VI-Revenues &amp; Expenses'!R14</f>
        <v>0.5708460754332314</v>
      </c>
      <c r="S757" s="2286">
        <f>'Part VI-Revenues &amp; Expenses'!S14</f>
        <v>0</v>
      </c>
      <c r="T757" s="2287">
        <f>'Part VI-Revenues &amp; Expenses'!T14</f>
        <v>0</v>
      </c>
      <c r="U757" s="2176"/>
      <c r="V757" s="2176"/>
      <c r="W757" s="877" t="str">
        <f t="shared" si="4"/>
        <v/>
      </c>
      <c r="X757" s="877" t="str">
        <f t="shared" si="5"/>
        <v/>
      </c>
      <c r="Y757" s="877">
        <f t="shared" si="6"/>
        <v>38</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f t="shared" si="36"/>
        <v>38</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28462</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f t="shared" si="81"/>
        <v>28462</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f t="shared" si="106"/>
        <v>38</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t="str">
        <f t="shared" si="135"/>
        <v/>
      </c>
      <c r="EY757" s="2288">
        <f t="shared" si="136"/>
        <v>38</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f t="shared" si="191"/>
        <v>38</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38</v>
      </c>
      <c r="JF757" s="2253">
        <f t="shared" si="247"/>
        <v>0</v>
      </c>
      <c r="JG757" s="2253">
        <f t="shared" si="248"/>
        <v>0</v>
      </c>
      <c r="JH757" s="2253">
        <f t="shared" si="249"/>
        <v>0</v>
      </c>
      <c r="JI757" s="2253">
        <f t="shared" si="250"/>
        <v>0</v>
      </c>
      <c r="JJ757" s="2253">
        <f t="shared" si="251"/>
        <v>0</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60% AMI</v>
      </c>
      <c r="C758" s="2280">
        <f>'Part VI-Revenues &amp; Expenses'!C15</f>
        <v>3</v>
      </c>
      <c r="D758" s="2281">
        <f>'Part VI-Revenues &amp; Expenses'!D15</f>
        <v>1</v>
      </c>
      <c r="E758" s="2282">
        <f>'Part VI-Revenues &amp; Expenses'!E15</f>
        <v>9</v>
      </c>
      <c r="F758" s="2282">
        <f>'Part VI-Revenues &amp; Expenses'!F15</f>
        <v>1029</v>
      </c>
      <c r="G758" s="2282">
        <f>'Part VI-Revenues &amp; Expenses'!G15</f>
        <v>970</v>
      </c>
      <c r="H758" s="2282">
        <f>'Part VI-Revenues &amp; Expenses'!H15</f>
        <v>970</v>
      </c>
      <c r="I758" s="2282">
        <f>'Part VI-Revenues &amp; Expenses'!I15</f>
        <v>134</v>
      </c>
      <c r="J758" s="2283" t="str">
        <f>'Part VI-Revenues &amp; Expenses'!J15</f>
        <v>HUD</v>
      </c>
      <c r="K758" s="2284">
        <f t="shared" si="2"/>
        <v>836</v>
      </c>
      <c r="L758" s="2284">
        <f t="shared" si="3"/>
        <v>7524</v>
      </c>
      <c r="M758" s="2285" t="str">
        <f>'Part VI-Revenues &amp; Expenses'!M15</f>
        <v>No</v>
      </c>
      <c r="N758" s="2285" t="str">
        <f>'Part VI-Revenues &amp; Expenses'!N15</f>
        <v>2-Story</v>
      </c>
      <c r="O758" s="2285" t="str">
        <f>'Part VI-Revenues &amp; Expenses'!O15</f>
        <v>Acquisition/Rehab</v>
      </c>
      <c r="P758" s="2262" t="str">
        <f>'Part VI-Revenues &amp; Expenses'!P15</f>
        <v>No</v>
      </c>
      <c r="Q758" s="2286">
        <f>'Part VI-Revenues &amp; Expenses'!Q15</f>
        <v>38800</v>
      </c>
      <c r="R758" s="2287">
        <f>'Part VI-Revenues &amp; Expenses'!R15</f>
        <v>0.57045401082098335</v>
      </c>
      <c r="S758" s="2286">
        <f>'Part VI-Revenues &amp; Expenses'!S15</f>
        <v>0</v>
      </c>
      <c r="T758" s="2287">
        <f>'Part VI-Revenues &amp; Expenses'!T15</f>
        <v>0</v>
      </c>
      <c r="U758" s="2176"/>
      <c r="V758" s="2176"/>
      <c r="W758" s="877" t="str">
        <f t="shared" si="4"/>
        <v/>
      </c>
      <c r="X758" s="877" t="str">
        <f t="shared" si="5"/>
        <v/>
      </c>
      <c r="Y758" s="877" t="str">
        <f t="shared" si="6"/>
        <v/>
      </c>
      <c r="Z758" s="877">
        <f t="shared" si="7"/>
        <v>9</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f t="shared" si="37"/>
        <v>9</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f t="shared" si="62"/>
        <v>9261</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f t="shared" si="82"/>
        <v>9261</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f t="shared" si="107"/>
        <v>9</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t="str">
        <f t="shared" si="135"/>
        <v/>
      </c>
      <c r="EY758" s="2288" t="str">
        <f t="shared" si="136"/>
        <v/>
      </c>
      <c r="EZ758" s="2288">
        <f t="shared" si="137"/>
        <v>9</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f t="shared" si="192"/>
        <v>9</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0</v>
      </c>
      <c r="JF758" s="2253">
        <f t="shared" si="247"/>
        <v>9</v>
      </c>
      <c r="JG758" s="2253">
        <f t="shared" si="248"/>
        <v>0</v>
      </c>
      <c r="JH758" s="2253">
        <f t="shared" si="249"/>
        <v>0</v>
      </c>
      <c r="JI758" s="2253">
        <f t="shared" si="250"/>
        <v>0</v>
      </c>
      <c r="JJ758" s="2253">
        <f t="shared" si="251"/>
        <v>0</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&lt;&lt;Select&gt;&gt;</v>
      </c>
      <c r="C759" s="2280">
        <f>'Part VI-Revenues &amp; Expenses'!C16</f>
        <v>0</v>
      </c>
      <c r="D759" s="2281">
        <f>'Part VI-Revenues &amp; Expenses'!D16</f>
        <v>0</v>
      </c>
      <c r="E759" s="2282">
        <f>'Part VI-Revenues &amp; Expenses'!E16</f>
        <v>0</v>
      </c>
      <c r="F759" s="2282">
        <f>'Part VI-Revenues &amp; Expenses'!F16</f>
        <v>0</v>
      </c>
      <c r="G759" s="2282">
        <f>'Part VI-Revenues &amp; Expenses'!G16</f>
        <v>0</v>
      </c>
      <c r="H759" s="2282">
        <f>'Part VI-Revenues &amp; Expenses'!H16</f>
        <v>0</v>
      </c>
      <c r="I759" s="2282">
        <f>'Part VI-Revenues &amp; Expenses'!I16</f>
        <v>0</v>
      </c>
      <c r="J759" s="2283">
        <f>'Part VI-Revenues &amp; Expenses'!J16</f>
        <v>0</v>
      </c>
      <c r="K759" s="2284">
        <f t="shared" si="2"/>
        <v>0</v>
      </c>
      <c r="L759" s="2284">
        <f t="shared" si="3"/>
        <v>0</v>
      </c>
      <c r="M759" s="2285">
        <f>'Part VI-Revenues &amp; Expenses'!M16</f>
        <v>0</v>
      </c>
      <c r="N759" s="2285">
        <f>'Part VI-Revenues &amp; Expenses'!N16</f>
        <v>0</v>
      </c>
      <c r="O759" s="2285">
        <f>'Part VI-Revenues &amp; Expenses'!O16</f>
        <v>0</v>
      </c>
      <c r="P759" s="2262">
        <f>'Part VI-Revenues &amp; Expenses'!P16</f>
        <v>0</v>
      </c>
      <c r="Q759" s="2286" t="str">
        <f>'Part VI-Revenues &amp; Expenses'!Q16</f>
        <v/>
      </c>
      <c r="R759" s="2287" t="str">
        <f>'Part VI-Revenues &amp; Expenses'!R16</f>
        <v/>
      </c>
      <c r="S759" s="2286">
        <f>'Part VI-Revenues &amp; Expenses'!S16</f>
        <v>0</v>
      </c>
      <c r="T759" s="2287">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t="str">
        <f t="shared" si="135"/>
        <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70</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53960</v>
      </c>
      <c r="G791" s="520"/>
      <c r="H791" s="520"/>
      <c r="I791" s="520"/>
      <c r="J791" s="520"/>
      <c r="K791" s="2292" t="s">
        <v>1351</v>
      </c>
      <c r="L791" s="2290">
        <f>SUM(L753:L790)</f>
        <v>41572</v>
      </c>
      <c r="M791" s="2079"/>
      <c r="N791" s="2079"/>
      <c r="O791" s="2079"/>
      <c r="P791" s="2079"/>
      <c r="Q791" s="2079"/>
      <c r="R791" s="2079"/>
      <c r="S791" s="2079"/>
      <c r="T791" s="2079"/>
      <c r="U791" s="2269"/>
      <c r="V791" s="2293"/>
      <c r="W791" s="2293">
        <f t="shared" ref="W791:CH791" si="259">SUM(W753:W790)</f>
        <v>0</v>
      </c>
      <c r="X791" s="2293">
        <f t="shared" si="259"/>
        <v>8</v>
      </c>
      <c r="Y791" s="2293">
        <f t="shared" si="259"/>
        <v>38</v>
      </c>
      <c r="Z791" s="2293">
        <f t="shared" si="259"/>
        <v>9</v>
      </c>
      <c r="AA791" s="2293">
        <f t="shared" si="259"/>
        <v>0</v>
      </c>
      <c r="AB791" s="2293">
        <f t="shared" si="259"/>
        <v>0</v>
      </c>
      <c r="AC791" s="2293">
        <f t="shared" si="259"/>
        <v>2</v>
      </c>
      <c r="AD791" s="2293">
        <f t="shared" si="259"/>
        <v>10</v>
      </c>
      <c r="AE791" s="2293">
        <f t="shared" si="259"/>
        <v>3</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0</v>
      </c>
      <c r="AN791" s="2293">
        <f t="shared" si="259"/>
        <v>0</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2</v>
      </c>
      <c r="AX791" s="2293">
        <f t="shared" si="259"/>
        <v>10</v>
      </c>
      <c r="AY791" s="2293">
        <f t="shared" si="259"/>
        <v>3</v>
      </c>
      <c r="AZ791" s="2293">
        <f t="shared" si="259"/>
        <v>0</v>
      </c>
      <c r="BA791" s="2293">
        <f t="shared" si="259"/>
        <v>0</v>
      </c>
      <c r="BB791" s="2293">
        <f t="shared" si="259"/>
        <v>8</v>
      </c>
      <c r="BC791" s="2293">
        <f t="shared" si="259"/>
        <v>38</v>
      </c>
      <c r="BD791" s="2293">
        <f t="shared" si="259"/>
        <v>9</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4528</v>
      </c>
      <c r="CB791" s="2293">
        <f t="shared" si="259"/>
        <v>28462</v>
      </c>
      <c r="CC791" s="2293">
        <f t="shared" si="259"/>
        <v>9261</v>
      </c>
      <c r="CD791" s="2293">
        <f t="shared" si="259"/>
        <v>0</v>
      </c>
      <c r="CE791" s="2293">
        <f t="shared" si="259"/>
        <v>0</v>
      </c>
      <c r="CF791" s="2293">
        <f t="shared" si="259"/>
        <v>1132</v>
      </c>
      <c r="CG791" s="2293">
        <f t="shared" si="259"/>
        <v>7490</v>
      </c>
      <c r="CH791" s="2293">
        <f t="shared" si="259"/>
        <v>3087</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0</v>
      </c>
      <c r="CQ791" s="2293">
        <f t="shared" si="260"/>
        <v>0</v>
      </c>
      <c r="CR791" s="2293">
        <f t="shared" si="260"/>
        <v>0</v>
      </c>
      <c r="CS791" s="2293">
        <f t="shared" si="260"/>
        <v>0</v>
      </c>
      <c r="CT791" s="2293">
        <f t="shared" si="260"/>
        <v>0</v>
      </c>
      <c r="CU791" s="2293">
        <f t="shared" si="260"/>
        <v>5660</v>
      </c>
      <c r="CV791" s="2293">
        <f t="shared" si="260"/>
        <v>35952</v>
      </c>
      <c r="CW791" s="2293">
        <f t="shared" si="260"/>
        <v>12348</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0</v>
      </c>
      <c r="DF791" s="2293">
        <f t="shared" si="260"/>
        <v>0</v>
      </c>
      <c r="DG791" s="2293">
        <f t="shared" si="260"/>
        <v>0</v>
      </c>
      <c r="DH791" s="2293">
        <f t="shared" si="260"/>
        <v>0</v>
      </c>
      <c r="DI791" s="2293">
        <f t="shared" si="260"/>
        <v>0</v>
      </c>
      <c r="DJ791" s="2293">
        <f t="shared" si="260"/>
        <v>0</v>
      </c>
      <c r="DK791" s="2293">
        <f t="shared" si="260"/>
        <v>0</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10</v>
      </c>
      <c r="DU791" s="2293">
        <f t="shared" si="260"/>
        <v>48</v>
      </c>
      <c r="DV791" s="2293">
        <f t="shared" si="260"/>
        <v>12</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10</v>
      </c>
      <c r="EY791" s="2293">
        <f t="shared" si="261"/>
        <v>48</v>
      </c>
      <c r="EZ791" s="2293">
        <f t="shared" si="261"/>
        <v>12</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10</v>
      </c>
      <c r="HB791" s="2293">
        <f t="shared" si="261"/>
        <v>48</v>
      </c>
      <c r="HC791" s="2293">
        <f t="shared" si="261"/>
        <v>12</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0</v>
      </c>
      <c r="HV791" s="2293">
        <f t="shared" si="262"/>
        <v>0</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10</v>
      </c>
      <c r="JE791" s="2293">
        <f t="shared" si="262"/>
        <v>48</v>
      </c>
      <c r="JF791" s="2293">
        <f t="shared" si="262"/>
        <v>12</v>
      </c>
      <c r="JG791" s="2293">
        <f t="shared" si="262"/>
        <v>0</v>
      </c>
      <c r="JH791" s="2293">
        <f t="shared" si="262"/>
        <v>0</v>
      </c>
      <c r="JI791" s="2293">
        <f t="shared" si="262"/>
        <v>0</v>
      </c>
      <c r="JJ791" s="2293">
        <f t="shared" si="262"/>
        <v>0</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0"/>
      <c r="H792" s="520"/>
      <c r="I792" s="520"/>
      <c r="J792" s="520"/>
      <c r="K792" s="2289" t="s">
        <v>846</v>
      </c>
      <c r="L792" s="2290">
        <f>L791*12</f>
        <v>498864</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4438</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9" t="s">
        <v>1191</v>
      </c>
      <c r="J799" s="2302">
        <f>W791</f>
        <v>0</v>
      </c>
      <c r="K799" s="2302">
        <f>X791</f>
        <v>8</v>
      </c>
      <c r="L799" s="2302">
        <f>Y791</f>
        <v>38</v>
      </c>
      <c r="M799" s="2302">
        <f>Z791</f>
        <v>9</v>
      </c>
      <c r="N799" s="2302">
        <f>AA791</f>
        <v>0</v>
      </c>
      <c r="O799" s="2302">
        <f t="shared" ref="O799:O805" si="263">SUM(J799:N799)</f>
        <v>55</v>
      </c>
      <c r="P799" s="2220" t="s">
        <v>4106</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2</v>
      </c>
      <c r="L800" s="2302">
        <f>AD791</f>
        <v>10</v>
      </c>
      <c r="M800" s="2302">
        <f>AE791</f>
        <v>3</v>
      </c>
      <c r="N800" s="2302">
        <f>AF791</f>
        <v>0</v>
      </c>
      <c r="O800" s="2302">
        <f t="shared" si="263"/>
        <v>15</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558</v>
      </c>
      <c r="J801" s="2302">
        <f>SUM(J799:J800)</f>
        <v>0</v>
      </c>
      <c r="K801" s="2302">
        <f>SUM(K799:K800)</f>
        <v>10</v>
      </c>
      <c r="L801" s="2302">
        <f>SUM(L799:L800)</f>
        <v>48</v>
      </c>
      <c r="M801" s="2302">
        <f>SUM(M799:M800)</f>
        <v>12</v>
      </c>
      <c r="N801" s="2302">
        <f>SUM(N799:N800)</f>
        <v>0</v>
      </c>
      <c r="O801" s="2302">
        <f t="shared" si="263"/>
        <v>70</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0</v>
      </c>
      <c r="L802" s="2302">
        <f>AN791</f>
        <v>0</v>
      </c>
      <c r="M802" s="2302">
        <f>AO791</f>
        <v>0</v>
      </c>
      <c r="N802" s="2302">
        <f>AP791</f>
        <v>0</v>
      </c>
      <c r="O802" s="2302">
        <f t="shared" si="263"/>
        <v>0</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9"/>
      <c r="J803" s="2302">
        <f>SUM(J801:J802)</f>
        <v>0</v>
      </c>
      <c r="K803" s="2302">
        <f>SUM(K801:K802)</f>
        <v>10</v>
      </c>
      <c r="L803" s="2302">
        <f>SUM(L801:L802)</f>
        <v>48</v>
      </c>
      <c r="M803" s="2302">
        <f>SUM(M801:M802)</f>
        <v>12</v>
      </c>
      <c r="N803" s="2302">
        <f>SUM(N801:N802)</f>
        <v>0</v>
      </c>
      <c r="O803" s="2302">
        <f t="shared" si="263"/>
        <v>70</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9"/>
      <c r="J804" s="2302">
        <f>BU791</f>
        <v>0</v>
      </c>
      <c r="K804" s="2302">
        <f>BV791</f>
        <v>0</v>
      </c>
      <c r="L804" s="2302">
        <f>BW791</f>
        <v>0</v>
      </c>
      <c r="M804" s="2302">
        <f>BX791</f>
        <v>0</v>
      </c>
      <c r="N804" s="2302">
        <f>BY791</f>
        <v>0</v>
      </c>
      <c r="O804" s="2302">
        <f t="shared" si="263"/>
        <v>0</v>
      </c>
      <c r="P804" s="2074" t="s">
        <v>4107</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9"/>
      <c r="J805" s="2302">
        <f>SUM(J803:J804)</f>
        <v>0</v>
      </c>
      <c r="K805" s="2302">
        <f>SUM(K803:K804)</f>
        <v>10</v>
      </c>
      <c r="L805" s="2302">
        <f>SUM(L803:L804)</f>
        <v>48</v>
      </c>
      <c r="M805" s="2302">
        <f>SUM(M803:M804)</f>
        <v>12</v>
      </c>
      <c r="N805" s="2302">
        <f>SUM(N803:N804)</f>
        <v>0</v>
      </c>
      <c r="O805" s="2302">
        <f t="shared" si="263"/>
        <v>70</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9" t="s">
        <v>1191</v>
      </c>
      <c r="J807" s="2302">
        <f>BA791</f>
        <v>0</v>
      </c>
      <c r="K807" s="2302">
        <f>BB791</f>
        <v>8</v>
      </c>
      <c r="L807" s="2302">
        <f>BC791</f>
        <v>38</v>
      </c>
      <c r="M807" s="2302">
        <f>BD791</f>
        <v>9</v>
      </c>
      <c r="N807" s="2302">
        <f>BE791</f>
        <v>0</v>
      </c>
      <c r="O807" s="2302">
        <f>SUM(J807:N807)</f>
        <v>55</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79"/>
      <c r="E808" s="2261"/>
      <c r="F808" s="2079"/>
      <c r="H808" s="519" t="s">
        <v>120</v>
      </c>
      <c r="J808" s="2302">
        <f>AV791</f>
        <v>0</v>
      </c>
      <c r="K808" s="2302">
        <f>AW791</f>
        <v>2</v>
      </c>
      <c r="L808" s="2302">
        <f>AX791</f>
        <v>10</v>
      </c>
      <c r="M808" s="2302">
        <f>AY791</f>
        <v>3</v>
      </c>
      <c r="N808" s="2302">
        <f>AZ791</f>
        <v>0</v>
      </c>
      <c r="O808" s="2302">
        <f>SUM(J808:N808)</f>
        <v>15</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558</v>
      </c>
      <c r="J809" s="2302">
        <f>SUM(J807:J808)</f>
        <v>0</v>
      </c>
      <c r="K809" s="2302">
        <f>SUM(K807:K808)</f>
        <v>10</v>
      </c>
      <c r="L809" s="2302">
        <f>SUM(L807:L808)</f>
        <v>48</v>
      </c>
      <c r="M809" s="2302">
        <f>SUM(M807:M808)</f>
        <v>12</v>
      </c>
      <c r="N809" s="2302">
        <f>SUM(N807:N808)</f>
        <v>0</v>
      </c>
      <c r="O809" s="2302">
        <f>SUM(J809:N809)</f>
        <v>70</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9"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0</v>
      </c>
      <c r="L812" s="2302">
        <f>BM791</f>
        <v>0</v>
      </c>
      <c r="M812" s="2302">
        <f>BN791</f>
        <v>0</v>
      </c>
      <c r="N812" s="2302">
        <f>BO791</f>
        <v>0</v>
      </c>
      <c r="O812" s="2302">
        <f>SUM(J812:N812)</f>
        <v>0</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79"/>
      <c r="E813" s="2261"/>
      <c r="F813" s="2079"/>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9" t="s">
        <v>1486</v>
      </c>
      <c r="J815" s="2302">
        <f>DD791</f>
        <v>0</v>
      </c>
      <c r="K815" s="2302">
        <f>DE791</f>
        <v>0</v>
      </c>
      <c r="L815" s="2302">
        <f>DF791</f>
        <v>0</v>
      </c>
      <c r="M815" s="2302">
        <f>DG791</f>
        <v>0</v>
      </c>
      <c r="N815" s="2302">
        <f>DH791</f>
        <v>0</v>
      </c>
      <c r="O815" s="2302">
        <f t="shared" ref="O815:O825" si="264">SUM(J815:N815)</f>
        <v>0</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0</v>
      </c>
      <c r="L816" s="2302">
        <f>DK791</f>
        <v>0</v>
      </c>
      <c r="M816" s="2302">
        <f>DL791</f>
        <v>0</v>
      </c>
      <c r="N816" s="2302">
        <f>DM791</f>
        <v>0</v>
      </c>
      <c r="O816" s="2302">
        <f t="shared" si="264"/>
        <v>0</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0</v>
      </c>
      <c r="L817" s="2302">
        <f>SUM(L815:L816)+DP791</f>
        <v>0</v>
      </c>
      <c r="M817" s="2302">
        <f>SUM(M815:M816)+DQ791</f>
        <v>0</v>
      </c>
      <c r="N817" s="2302">
        <f>SUM(N815:N816)+DR791</f>
        <v>0</v>
      </c>
      <c r="O817" s="2302">
        <f t="shared" si="264"/>
        <v>0</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9" t="s">
        <v>1486</v>
      </c>
      <c r="J818" s="2302">
        <f>DS791</f>
        <v>0</v>
      </c>
      <c r="K818" s="2302">
        <f>DT791</f>
        <v>10</v>
      </c>
      <c r="L818" s="2302">
        <f>DU791</f>
        <v>48</v>
      </c>
      <c r="M818" s="2302">
        <f>DV791</f>
        <v>12</v>
      </c>
      <c r="N818" s="2302">
        <f>DW791</f>
        <v>0</v>
      </c>
      <c r="O818" s="2302">
        <f t="shared" si="264"/>
        <v>70</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10</v>
      </c>
      <c r="L820" s="2302">
        <f>SUM(L818:L819)+EE791</f>
        <v>48</v>
      </c>
      <c r="M820" s="2302">
        <f>SUM(M818:M819)+EF791</f>
        <v>12</v>
      </c>
      <c r="N820" s="2302">
        <f>SUM(N818:N819)+EG791</f>
        <v>0</v>
      </c>
      <c r="O820" s="2302">
        <f t="shared" si="264"/>
        <v>70</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9"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4163</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3544</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4439</v>
      </c>
      <c r="D829" s="2176"/>
      <c r="E829" s="2261" t="s">
        <v>41</v>
      </c>
      <c r="F829" s="2079"/>
      <c r="G829" s="2074"/>
      <c r="J829" s="2302">
        <f t="shared" ref="J829:O829" si="265">SUM(J830:J837)</f>
        <v>0</v>
      </c>
      <c r="K829" s="2302">
        <f t="shared" si="265"/>
        <v>10</v>
      </c>
      <c r="L829" s="2302">
        <f t="shared" si="265"/>
        <v>48</v>
      </c>
      <c r="M829" s="2302">
        <f t="shared" si="265"/>
        <v>12</v>
      </c>
      <c r="N829" s="2302">
        <f t="shared" si="265"/>
        <v>0</v>
      </c>
      <c r="O829" s="2302">
        <f t="shared" si="265"/>
        <v>70</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3544</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2693</v>
      </c>
      <c r="J832" s="2302">
        <f>GZ791</f>
        <v>0</v>
      </c>
      <c r="K832" s="2302">
        <f>HA791</f>
        <v>10</v>
      </c>
      <c r="L832" s="2302">
        <f>HB791</f>
        <v>48</v>
      </c>
      <c r="M832" s="2302">
        <f>HC791</f>
        <v>12</v>
      </c>
      <c r="N832" s="2302">
        <f>HD791</f>
        <v>0</v>
      </c>
      <c r="O832" s="2302">
        <f t="shared" si="266"/>
        <v>70</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3544</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3544</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2694</v>
      </c>
      <c r="J836" s="2302">
        <f>HT791</f>
        <v>0</v>
      </c>
      <c r="K836" s="2302">
        <f>HU791</f>
        <v>0</v>
      </c>
      <c r="L836" s="2302">
        <f>HV791</f>
        <v>0</v>
      </c>
      <c r="M836" s="2302">
        <f>HW791</f>
        <v>0</v>
      </c>
      <c r="N836" s="2302">
        <f>HX791</f>
        <v>0</v>
      </c>
      <c r="O836" s="2302">
        <f t="shared" si="266"/>
        <v>0</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3544</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3544</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3544</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3544</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3544</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4440</v>
      </c>
      <c r="D847" s="2176"/>
      <c r="E847" s="2261" t="s">
        <v>3539</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3544</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3540</v>
      </c>
      <c r="F849" s="2074"/>
      <c r="H849" s="2074"/>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3544</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3541</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3544</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3542</v>
      </c>
      <c r="F853" s="2074"/>
      <c r="H853" s="2308"/>
      <c r="J853" s="2302">
        <f>J832+J836</f>
        <v>0</v>
      </c>
      <c r="K853" s="2302">
        <f t="shared" ref="K853:N854" si="271">K832+K836</f>
        <v>10</v>
      </c>
      <c r="L853" s="2302">
        <f t="shared" si="271"/>
        <v>48</v>
      </c>
      <c r="M853" s="2302">
        <f t="shared" si="271"/>
        <v>12</v>
      </c>
      <c r="N853" s="2302">
        <f t="shared" si="271"/>
        <v>0</v>
      </c>
      <c r="O853" s="2302">
        <f t="shared" si="268"/>
        <v>70</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3544</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4528</v>
      </c>
      <c r="L856" s="2314">
        <f>CB791</f>
        <v>28462</v>
      </c>
      <c r="M856" s="2314">
        <f>CC791</f>
        <v>9261</v>
      </c>
      <c r="N856" s="2314">
        <f>CD791</f>
        <v>0</v>
      </c>
      <c r="O856" s="2314">
        <f t="shared" ref="O856:O862" si="272">SUM(J856:N856)</f>
        <v>42251</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1132</v>
      </c>
      <c r="L857" s="2314">
        <f>CG791</f>
        <v>7490</v>
      </c>
      <c r="M857" s="2314">
        <f>CH791</f>
        <v>3087</v>
      </c>
      <c r="N857" s="2314">
        <f>CI791</f>
        <v>0</v>
      </c>
      <c r="O857" s="2314">
        <f t="shared" si="272"/>
        <v>11709</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5660</v>
      </c>
      <c r="L858" s="2314">
        <f>SUM(L856:L857)</f>
        <v>35952</v>
      </c>
      <c r="M858" s="2314">
        <f>SUM(M856:M857)</f>
        <v>12348</v>
      </c>
      <c r="N858" s="2314">
        <f>SUM(N856:N857)</f>
        <v>0</v>
      </c>
      <c r="O858" s="2314">
        <f t="shared" si="272"/>
        <v>53960</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0</v>
      </c>
      <c r="M859" s="2314">
        <f>CR791</f>
        <v>0</v>
      </c>
      <c r="N859" s="2314">
        <f>CS791</f>
        <v>0</v>
      </c>
      <c r="O859" s="2314">
        <f t="shared" si="272"/>
        <v>0</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5660</v>
      </c>
      <c r="L860" s="2314">
        <f>SUM(L858:L859)</f>
        <v>35952</v>
      </c>
      <c r="M860" s="2314">
        <f>SUM(M858:M859)</f>
        <v>12348</v>
      </c>
      <c r="N860" s="2314">
        <f>SUM(N858:N859)</f>
        <v>0</v>
      </c>
      <c r="O860" s="2314">
        <f t="shared" si="272"/>
        <v>53960</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5660</v>
      </c>
      <c r="L862" s="2314">
        <f>SUM(L860:L861)</f>
        <v>35952</v>
      </c>
      <c r="M862" s="2314">
        <f>SUM(M860:M861)</f>
        <v>12348</v>
      </c>
      <c r="N862" s="2314">
        <f>SUM(N860:N861)</f>
        <v>0</v>
      </c>
      <c r="O862" s="2314">
        <f t="shared" si="272"/>
        <v>53960</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4441</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9977.2800000000007</v>
      </c>
      <c r="I865" s="2316"/>
      <c r="J865" s="2259"/>
      <c r="K865" s="2317" t="s">
        <v>4442</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4443</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4444</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4443</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4444</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4443</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4444</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4443</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4444</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31905</v>
      </c>
      <c r="G907" s="2314"/>
      <c r="I907" s="2079" t="s">
        <v>1428</v>
      </c>
      <c r="K907" s="2314">
        <f>'Part VI-Revenues &amp; Expenses'!K164</f>
        <v>0</v>
      </c>
      <c r="L907" s="2314"/>
      <c r="N907" s="2079" t="s">
        <v>962</v>
      </c>
      <c r="P907" s="2326">
        <f>'Part VI-Revenues &amp; Expenses'!P164</f>
        <v>31453.11</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30909</v>
      </c>
      <c r="G908" s="2314"/>
      <c r="I908" s="2079" t="s">
        <v>1429</v>
      </c>
      <c r="K908" s="2314">
        <f>'Part VI-Revenues &amp; Expenses'!K165</f>
        <v>0</v>
      </c>
      <c r="L908" s="2314"/>
      <c r="N908" s="2079" t="s">
        <v>152</v>
      </c>
      <c r="P908" s="2326">
        <f>'Part VI-Revenues &amp; Expenses'!P165</f>
        <v>32710</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16349</v>
      </c>
      <c r="G909" s="2314"/>
      <c r="J909" s="2331" t="s">
        <v>197</v>
      </c>
      <c r="K909" s="2314">
        <f>SUM(K907:L908)</f>
        <v>0</v>
      </c>
      <c r="L909" s="2314"/>
      <c r="N909" s="2332" t="str">
        <f>'Part VI-Revenues &amp; Expenses'!N166</f>
        <v>Other (describe here)</v>
      </c>
      <c r="O909" s="2332"/>
      <c r="P909" s="2326">
        <f>'Part VI-Revenues &amp; Expenses'!P166</f>
        <v>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Payroll Taxes &amp; Worker's Comp Insurance</v>
      </c>
      <c r="C910" s="519"/>
      <c r="D910" s="519"/>
      <c r="E910" s="519"/>
      <c r="F910" s="2314">
        <f>'Part VI-Revenues &amp; Expenses'!F167</f>
        <v>7652</v>
      </c>
      <c r="G910" s="2314"/>
      <c r="N910" s="2331" t="s">
        <v>197</v>
      </c>
      <c r="P910" s="2326">
        <f>SUM(P907:P909)</f>
        <v>64163.11</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86815</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46265</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8500</v>
      </c>
      <c r="G914" s="2314"/>
      <c r="I914" s="2079" t="s">
        <v>1660</v>
      </c>
      <c r="K914" s="2314">
        <f>'Part VI-Revenues &amp; Expenses'!K171</f>
        <v>2000</v>
      </c>
      <c r="L914" s="2314"/>
      <c r="N914" s="2335">
        <f>+P913/(O805*0.93)</f>
        <v>710.67588325652832</v>
      </c>
      <c r="O914" s="2336" t="s">
        <v>2871</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3120</v>
      </c>
      <c r="G915" s="2314"/>
      <c r="I915" s="2079" t="s">
        <v>2127</v>
      </c>
      <c r="K915" s="2314">
        <f>'Part VI-Revenues &amp; Expenses'!K172</f>
        <v>8400</v>
      </c>
      <c r="L915" s="2314"/>
      <c r="N915" s="2335">
        <f>+P913/(O805*0.93)/12</f>
        <v>59.222990271377363</v>
      </c>
      <c r="O915" s="2336" t="s">
        <v>2872</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1150</v>
      </c>
      <c r="G916" s="2314"/>
      <c r="I916" s="2079" t="s">
        <v>1661</v>
      </c>
      <c r="K916" s="2314">
        <f>'Part VI-Revenues &amp; Expenses'!K173</f>
        <v>500</v>
      </c>
      <c r="L916" s="2314"/>
      <c r="N916" s="2337" t="s">
        <v>2546</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0</v>
      </c>
      <c r="G917" s="2314"/>
      <c r="I917" s="2332" t="str">
        <f>'Part VI-Revenues &amp; Expenses'!I174</f>
        <v>Other (describe here)</v>
      </c>
      <c r="J917" s="2332"/>
      <c r="K917" s="2314">
        <f>'Part VI-Revenues &amp; Expenses'!K174</f>
        <v>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0</v>
      </c>
      <c r="G918" s="2314"/>
      <c r="I918" s="2078"/>
      <c r="J918" s="2331" t="s">
        <v>197</v>
      </c>
      <c r="K918" s="2326">
        <f>SUM(K914:K917)</f>
        <v>10900</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(describe here)</v>
      </c>
      <c r="C919" s="519"/>
      <c r="D919" s="519"/>
      <c r="E919" s="519"/>
      <c r="F919" s="2314">
        <f>'Part VI-Revenues &amp; Expenses'!F176</f>
        <v>0</v>
      </c>
      <c r="G919" s="2314"/>
      <c r="J919" s="2302"/>
      <c r="N919" s="2078" t="s">
        <v>2265</v>
      </c>
      <c r="P919" s="2326">
        <f>F911+F920+F931+K909+K918+K928+P910+P913</f>
        <v>309173.11</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12770</v>
      </c>
      <c r="G920" s="2314"/>
      <c r="J920" s="2302"/>
      <c r="N920" s="2335">
        <f>+P919/O805</f>
        <v>4416.7587142857137</v>
      </c>
      <c r="O920" s="2336" t="s">
        <v>2873</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2870</v>
      </c>
      <c r="N922" s="2078" t="s">
        <v>3751</v>
      </c>
      <c r="O922" s="2078"/>
      <c r="P922" s="2334">
        <f>P923*O805</f>
        <v>24500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7500</v>
      </c>
      <c r="G923" s="2314"/>
      <c r="I923" s="2079" t="s">
        <v>1418</v>
      </c>
      <c r="J923" s="2205">
        <f>K923/12/O805</f>
        <v>16.428571428571427</v>
      </c>
      <c r="K923" s="2314">
        <f>'Part VI-Revenues &amp; Expenses'!K180</f>
        <v>13800</v>
      </c>
      <c r="L923" s="2314"/>
      <c r="N923" s="2261" t="s">
        <v>3752</v>
      </c>
      <c r="P923" s="2338">
        <f>'Part VI-Revenues &amp; Expenses'!P180</f>
        <v>350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1000</v>
      </c>
      <c r="G924" s="2314"/>
      <c r="I924" s="2079" t="s">
        <v>1419</v>
      </c>
      <c r="J924" s="2205">
        <f>K924/12/O805</f>
        <v>1.0714285714285714</v>
      </c>
      <c r="K924" s="2314">
        <f>'Part VI-Revenues &amp; Expenses'!K181</f>
        <v>900</v>
      </c>
      <c r="L924" s="2314"/>
      <c r="N924" s="2340">
        <f>ROUND(P931/O805,0)</f>
        <v>350</v>
      </c>
      <c r="O924" s="2336" t="s">
        <v>2873</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13250</v>
      </c>
      <c r="G925" s="2314"/>
      <c r="I925" s="2079" t="s">
        <v>2434</v>
      </c>
      <c r="J925" s="2205">
        <f>K925/12/O805</f>
        <v>43.714285714285715</v>
      </c>
      <c r="K925" s="2314">
        <f>'Part VI-Revenues &amp; Expenses'!K182</f>
        <v>36720</v>
      </c>
      <c r="L925" s="2314"/>
      <c r="N925" s="2341" t="s">
        <v>2820</v>
      </c>
      <c r="O925" s="2342" t="s">
        <v>3678</v>
      </c>
      <c r="P925" s="2342" t="s">
        <v>3679</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2990</v>
      </c>
      <c r="G926" s="2314"/>
      <c r="I926" s="2079" t="s">
        <v>1421</v>
      </c>
      <c r="K926" s="2314">
        <f>'Part VI-Revenues &amp; Expenses'!K183</f>
        <v>8100</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1500</v>
      </c>
      <c r="G927" s="2314"/>
      <c r="I927" s="2332" t="str">
        <f>'Part VI-Revenues &amp; Expenses'!I184</f>
        <v>Other (describe here)</v>
      </c>
      <c r="J927" s="2332"/>
      <c r="K927" s="2314">
        <f>'Part VI-Revenues &amp; Expenses'!K184</f>
        <v>0</v>
      </c>
      <c r="L927" s="2314"/>
      <c r="N927" s="2074" t="s">
        <v>3670</v>
      </c>
      <c r="O927" s="2344" t="str">
        <f>CONCATENATE(SUM(JC791:JG791)," units x $",'DCA Underwriting Assumptions'!$Q$62," =")</f>
        <v>70 units x $350 =</v>
      </c>
      <c r="P927" s="2344">
        <f>SUM(JC791:JG791)*'DCA Underwriting Assumptions'!$Q$62</f>
        <v>24500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59520</v>
      </c>
      <c r="L928" s="2326"/>
      <c r="N928" s="2074" t="s">
        <v>3669</v>
      </c>
      <c r="O928" s="2344" t="str">
        <f>CONCATENATE(SUM(JH791:JL791)," units x $",'DCA Underwriting Assumptions'!$Q$63," =")</f>
        <v>0 units x $250 =</v>
      </c>
      <c r="P928" s="2344">
        <f>SUM(JH791:JL791)*'DCA Underwriting Assumptions'!$Q$63</f>
        <v>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2500</v>
      </c>
      <c r="G929" s="2314"/>
      <c r="J929" s="2302"/>
      <c r="N929" s="2219" t="s">
        <v>3673</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4">
        <f>'Part VI-Revenues &amp; Expenses'!F187</f>
        <v>0</v>
      </c>
      <c r="G930" s="2314"/>
      <c r="J930" s="2302"/>
      <c r="N930" s="2219" t="s">
        <v>3668</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28740</v>
      </c>
      <c r="G931" s="2314"/>
      <c r="J931" s="2302"/>
      <c r="N931" s="2345" t="s">
        <v>2823</v>
      </c>
      <c r="O931" s="2344">
        <f>SUM(JC791:JG791)+SUM(JH791:JL791)+SUM(JM791:JQ791)+O827</f>
        <v>70</v>
      </c>
      <c r="P931" s="2344">
        <f>SUM(P927:P930)</f>
        <v>24500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333673.11</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Methodology for Real Estate Tax and Insurance projection calculations in Tab 1.  Impact Fees are not applicable to this application and project.</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2016-079 The Pines Apartments, ,  County</v>
      </c>
      <c r="B942" s="2251"/>
      <c r="C942" s="2251"/>
      <c r="D942" s="2251"/>
      <c r="E942" s="2251"/>
      <c r="F942" s="2251"/>
      <c r="G942" s="2251"/>
      <c r="H942" s="2251"/>
      <c r="I942" s="2251"/>
      <c r="J942" s="2251"/>
      <c r="K942" s="2251"/>
      <c r="L942" s="2078"/>
      <c r="M942" s="2078" t="str">
        <f>A942</f>
        <v>DRAFT PART SEVEN - OPERATING PRO FORMA  -  2016-079 The Pines Apartments,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4445</v>
      </c>
      <c r="M944" s="2250" t="str">
        <f>A944</f>
        <v>I.  OPERATING ASSUMPTIONS</v>
      </c>
      <c r="N944" s="2254"/>
    </row>
    <row r="946" spans="1:14" ht="12.75" customHeight="1">
      <c r="A946" s="877" t="s">
        <v>2267</v>
      </c>
      <c r="B946" s="2347">
        <v>0.02</v>
      </c>
      <c r="D946" s="2176" t="s">
        <v>4446</v>
      </c>
      <c r="E946" s="2176"/>
      <c r="F946" s="2176"/>
      <c r="G946" s="2348">
        <f>'Part VII-Pro Forma'!G5</f>
        <v>3500</v>
      </c>
      <c r="H946" s="2310" t="s">
        <v>1981</v>
      </c>
      <c r="K946" s="2349" t="str">
        <f>IF(($B$14+$B$15+$B$16+$B$17)=0,"",B969/($B$14+$B$15+$B$16+$B$17))</f>
        <v/>
      </c>
      <c r="M946" s="2176">
        <f>'Part VII-Pro Forma'!M5</f>
        <v>0</v>
      </c>
      <c r="N946" s="2176"/>
    </row>
    <row r="947" spans="1:14">
      <c r="A947" s="877" t="s">
        <v>2268</v>
      </c>
      <c r="B947" s="2347">
        <v>0.03</v>
      </c>
      <c r="D947" s="2176"/>
      <c r="E947" s="2176"/>
      <c r="F947" s="2176"/>
      <c r="M947" s="2176"/>
      <c r="N947" s="2176"/>
    </row>
    <row r="948" spans="1:14">
      <c r="A948" s="877" t="s">
        <v>2270</v>
      </c>
      <c r="B948" s="2347">
        <v>0.03</v>
      </c>
      <c r="D948" s="2079" t="s">
        <v>282</v>
      </c>
      <c r="G948" s="2350"/>
      <c r="H948" s="2310" t="s">
        <v>2459</v>
      </c>
      <c r="K948" s="2349" t="str">
        <f>IF(($B$14+$B$15+$B$16+$B$17)=0,"",-B961/($B$14+$B$15+$B$16+$B$17))</f>
        <v/>
      </c>
      <c r="M948" s="2176"/>
      <c r="N948" s="2176"/>
    </row>
    <row r="949" spans="1:14">
      <c r="A949" s="877" t="s">
        <v>2269</v>
      </c>
      <c r="B949" s="2347">
        <f>'Part VII-Pro Forma'!B8</f>
        <v>7.0000000000000007E-2</v>
      </c>
      <c r="D949" s="2079" t="s">
        <v>2595</v>
      </c>
      <c r="G949" s="2351" t="str">
        <f>'Part VII-Pro Forma'!G8</f>
        <v>Yes</v>
      </c>
      <c r="H949" s="2352" t="s">
        <v>1500</v>
      </c>
      <c r="K949" s="2353">
        <f>'Part VII-Pro Forma'!K8</f>
        <v>46265</v>
      </c>
      <c r="M949" s="2176"/>
      <c r="N949" s="2176"/>
    </row>
    <row r="950" spans="1:14">
      <c r="A950" s="877" t="s">
        <v>1472</v>
      </c>
      <c r="B950" s="2347">
        <v>0.02</v>
      </c>
      <c r="D950" s="2079" t="s">
        <v>1784</v>
      </c>
      <c r="G950" s="2351" t="str">
        <f>'Part VII-Pro Forma'!G9</f>
        <v>No</v>
      </c>
      <c r="H950" s="2352" t="s">
        <v>2439</v>
      </c>
      <c r="K950" s="2354">
        <f>'Part VII-Pro Forma'!K9</f>
        <v>0</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7" t="s">
        <v>2489</v>
      </c>
      <c r="B955" s="2355">
        <f>'Part VII-Pro Forma'!B14</f>
        <v>498864</v>
      </c>
      <c r="C955" s="2355">
        <f>'Part VII-Pro Forma'!C14</f>
        <v>508841.28</v>
      </c>
      <c r="D955" s="2355">
        <f>'Part VII-Pro Forma'!D14</f>
        <v>519018.10560000001</v>
      </c>
      <c r="E955" s="2355">
        <f>'Part VII-Pro Forma'!E14</f>
        <v>529398.46771200001</v>
      </c>
      <c r="F955" s="2355">
        <f>'Part VII-Pro Forma'!F14</f>
        <v>539986.43706624</v>
      </c>
      <c r="G955" s="2355">
        <f>'Part VII-Pro Forma'!G14</f>
        <v>550786.16580756486</v>
      </c>
      <c r="H955" s="2355">
        <f>'Part VII-Pro Forma'!H14</f>
        <v>561801.88912371616</v>
      </c>
      <c r="I955" s="2355">
        <f>'Part VII-Pro Forma'!I14</f>
        <v>573037.92690619035</v>
      </c>
      <c r="J955" s="2355">
        <f>'Part VII-Pro Forma'!J14</f>
        <v>584498.68544431415</v>
      </c>
      <c r="K955" s="2355">
        <f>'Part VII-Pro Forma'!K14</f>
        <v>596188.65915320045</v>
      </c>
      <c r="M955" s="2176">
        <f>'Part VII-Pro Forma'!M14</f>
        <v>0</v>
      </c>
      <c r="N955" s="2176"/>
    </row>
    <row r="956" spans="1:14">
      <c r="A956" s="877" t="s">
        <v>1053</v>
      </c>
      <c r="B956" s="2355">
        <f>'Part VII-Pro Forma'!B15</f>
        <v>9977.2800000000007</v>
      </c>
      <c r="C956" s="2355">
        <f>'Part VII-Pro Forma'!C15</f>
        <v>10176.8256</v>
      </c>
      <c r="D956" s="2355">
        <f>'Part VII-Pro Forma'!D15</f>
        <v>10380.362112000001</v>
      </c>
      <c r="E956" s="2355">
        <f>'Part VII-Pro Forma'!E15</f>
        <v>10587.96935424</v>
      </c>
      <c r="F956" s="2355">
        <f>'Part VII-Pro Forma'!F15</f>
        <v>10799.728741324801</v>
      </c>
      <c r="G956" s="2355">
        <f>'Part VII-Pro Forma'!G15</f>
        <v>11015.723316151298</v>
      </c>
      <c r="H956" s="2355">
        <f>'Part VII-Pro Forma'!H15</f>
        <v>11236.037782474323</v>
      </c>
      <c r="I956" s="2355">
        <f>'Part VII-Pro Forma'!I15</f>
        <v>11460.758538123808</v>
      </c>
      <c r="J956" s="2355">
        <f>'Part VII-Pro Forma'!J15</f>
        <v>11689.973708886284</v>
      </c>
      <c r="K956" s="2355">
        <f>'Part VII-Pro Forma'!K15</f>
        <v>11923.77318306401</v>
      </c>
      <c r="M956" s="2176"/>
      <c r="N956" s="2176"/>
    </row>
    <row r="957" spans="1:14">
      <c r="A957" s="877" t="s">
        <v>2490</v>
      </c>
      <c r="B957" s="2355">
        <f>'Part VII-Pro Forma'!B16</f>
        <v>-35618.889600000002</v>
      </c>
      <c r="C957" s="2355">
        <f>'Part VII-Pro Forma'!C16</f>
        <v>-36331.267392000002</v>
      </c>
      <c r="D957" s="2355">
        <f>'Part VII-Pro Forma'!D16</f>
        <v>-37057.892739840005</v>
      </c>
      <c r="E957" s="2355">
        <f>'Part VII-Pro Forma'!E16</f>
        <v>-37799.050594636807</v>
      </c>
      <c r="F957" s="2355">
        <f>'Part VII-Pro Forma'!F16</f>
        <v>-38555.031606529541</v>
      </c>
      <c r="G957" s="2355">
        <f>'Part VII-Pro Forma'!G16</f>
        <v>-39326.132238660131</v>
      </c>
      <c r="H957" s="2355">
        <f>'Part VII-Pro Forma'!H16</f>
        <v>-40112.654883433337</v>
      </c>
      <c r="I957" s="2355">
        <f>'Part VII-Pro Forma'!I16</f>
        <v>-40914.907981101991</v>
      </c>
      <c r="J957" s="2355">
        <f>'Part VII-Pro Forma'!J16</f>
        <v>-41733.206140724033</v>
      </c>
      <c r="K957" s="2355">
        <f>'Part VII-Pro Forma'!K16</f>
        <v>-42567.870263538513</v>
      </c>
      <c r="M957" s="2176"/>
      <c r="N957" s="2176"/>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638</v>
      </c>
      <c r="B960" s="2355">
        <f>'Part VII-Pro Forma'!B19</f>
        <v>-262908.11</v>
      </c>
      <c r="C960" s="2355">
        <f>'Part VII-Pro Forma'!C19</f>
        <v>-270795.35330000002</v>
      </c>
      <c r="D960" s="2355">
        <f>'Part VII-Pro Forma'!D19</f>
        <v>-278919.21389899997</v>
      </c>
      <c r="E960" s="2355">
        <f>'Part VII-Pro Forma'!E19</f>
        <v>-287286.79031596996</v>
      </c>
      <c r="F960" s="2355">
        <f>'Part VII-Pro Forma'!F19</f>
        <v>-295905.39402544906</v>
      </c>
      <c r="G960" s="2355">
        <f>'Part VII-Pro Forma'!G19</f>
        <v>-304782.55584621249</v>
      </c>
      <c r="H960" s="2355">
        <f>'Part VII-Pro Forma'!H19</f>
        <v>-313926.03252159891</v>
      </c>
      <c r="I960" s="2355">
        <f>'Part VII-Pro Forma'!I19</f>
        <v>-323343.81349724688</v>
      </c>
      <c r="J960" s="2355">
        <f>'Part VII-Pro Forma'!J19</f>
        <v>-333044.12790216424</v>
      </c>
      <c r="K960" s="2355">
        <f>'Part VII-Pro Forma'!K19</f>
        <v>-343035.4517392292</v>
      </c>
      <c r="M960" s="2176"/>
      <c r="N960" s="2176"/>
    </row>
    <row r="961" spans="1:14">
      <c r="A961" s="877" t="s">
        <v>1153</v>
      </c>
      <c r="B961" s="2355">
        <f>'Part VII-Pro Forma'!B20</f>
        <v>-46265</v>
      </c>
      <c r="C961" s="2355">
        <f>'Part VII-Pro Forma'!C20</f>
        <v>-47653</v>
      </c>
      <c r="D961" s="2355">
        <f>'Part VII-Pro Forma'!D20</f>
        <v>-49083</v>
      </c>
      <c r="E961" s="2355">
        <f>'Part VII-Pro Forma'!E20</f>
        <v>-50555</v>
      </c>
      <c r="F961" s="2355">
        <f>'Part VII-Pro Forma'!F20</f>
        <v>-52072</v>
      </c>
      <c r="G961" s="2355">
        <f>'Part VII-Pro Forma'!G20</f>
        <v>-53634</v>
      </c>
      <c r="H961" s="2355">
        <f>'Part VII-Pro Forma'!H20</f>
        <v>-55243</v>
      </c>
      <c r="I961" s="2355">
        <f>'Part VII-Pro Forma'!I20</f>
        <v>-56900</v>
      </c>
      <c r="J961" s="2355">
        <f>'Part VII-Pro Forma'!J20</f>
        <v>-58607</v>
      </c>
      <c r="K961" s="2355">
        <f>'Part VII-Pro Forma'!K20</f>
        <v>-60365</v>
      </c>
      <c r="M961" s="2176"/>
      <c r="N961" s="2176"/>
    </row>
    <row r="962" spans="1:14">
      <c r="A962" s="877" t="s">
        <v>1247</v>
      </c>
      <c r="B962" s="2355">
        <f>'Part VII-Pro Forma'!B21</f>
        <v>-24500</v>
      </c>
      <c r="C962" s="2355">
        <f>'Part VII-Pro Forma'!C21</f>
        <v>-25235</v>
      </c>
      <c r="D962" s="2355">
        <f>'Part VII-Pro Forma'!D21</f>
        <v>-25992.05</v>
      </c>
      <c r="E962" s="2355">
        <f>'Part VII-Pro Forma'!E21</f>
        <v>-26771.8115</v>
      </c>
      <c r="F962" s="2355">
        <f>'Part VII-Pro Forma'!F21</f>
        <v>-27574.965844999999</v>
      </c>
      <c r="G962" s="2355">
        <f>'Part VII-Pro Forma'!G21</f>
        <v>-28402.214820349996</v>
      </c>
      <c r="H962" s="2355">
        <f>'Part VII-Pro Forma'!H21</f>
        <v>-29254.281264960497</v>
      </c>
      <c r="I962" s="2355">
        <f>'Part VII-Pro Forma'!I21</f>
        <v>-30131.909702909314</v>
      </c>
      <c r="J962" s="2355">
        <f>'Part VII-Pro Forma'!J21</f>
        <v>-31035.866993996591</v>
      </c>
      <c r="K962" s="2355">
        <f>'Part VII-Pro Forma'!K21</f>
        <v>-31966.94300381649</v>
      </c>
      <c r="M962" s="2176"/>
      <c r="N962" s="2176"/>
    </row>
    <row r="963" spans="1:14">
      <c r="A963" s="877" t="s">
        <v>1248</v>
      </c>
      <c r="B963" s="2355">
        <f>'Part VII-Pro Forma'!B22</f>
        <v>139549.28040000005</v>
      </c>
      <c r="C963" s="2355">
        <f>'Part VII-Pro Forma'!C22</f>
        <v>139003.48490799998</v>
      </c>
      <c r="D963" s="2355">
        <f>'Part VII-Pro Forma'!D22</f>
        <v>138346.31107316003</v>
      </c>
      <c r="E963" s="2355">
        <f>'Part VII-Pro Forma'!E22</f>
        <v>137573.78465563321</v>
      </c>
      <c r="F963" s="2355">
        <f>'Part VII-Pro Forma'!F22</f>
        <v>136678.77433058625</v>
      </c>
      <c r="G963" s="2355">
        <f>'Part VII-Pro Forma'!G22</f>
        <v>135656.98621849355</v>
      </c>
      <c r="H963" s="2355">
        <f>'Part VII-Pro Forma'!H22</f>
        <v>134501.95823619768</v>
      </c>
      <c r="I963" s="2355">
        <f>'Part VII-Pro Forma'!I22</f>
        <v>133208.05426305594</v>
      </c>
      <c r="J963" s="2355">
        <f>'Part VII-Pro Forma'!J22</f>
        <v>131768.4581163156</v>
      </c>
      <c r="K963" s="2355">
        <f>'Part VII-Pro Forma'!K22</f>
        <v>130177.16732968016</v>
      </c>
      <c r="M963" s="2176"/>
      <c r="N963" s="2176"/>
    </row>
    <row r="964" spans="1:14">
      <c r="A964" s="877" t="s">
        <v>1648</v>
      </c>
      <c r="B964" s="2355">
        <f>'Part VII-Pro Forma'!B23</f>
        <v>-95783.104757729001</v>
      </c>
      <c r="C964" s="2355">
        <f>'Part VII-Pro Forma'!C23</f>
        <v>-95783.104757729001</v>
      </c>
      <c r="D964" s="2355">
        <f>'Part VII-Pro Forma'!D23</f>
        <v>-95783.104757729001</v>
      </c>
      <c r="E964" s="2355">
        <f>'Part VII-Pro Forma'!E23</f>
        <v>-95783.104757729001</v>
      </c>
      <c r="F964" s="2355">
        <f>'Part VII-Pro Forma'!F23</f>
        <v>-95783.104757729001</v>
      </c>
      <c r="G964" s="2355">
        <f>'Part VII-Pro Forma'!G23</f>
        <v>-95783.104757729001</v>
      </c>
      <c r="H964" s="2355">
        <f>'Part VII-Pro Forma'!H23</f>
        <v>-95783.104757729001</v>
      </c>
      <c r="I964" s="2355">
        <f>'Part VII-Pro Forma'!I23</f>
        <v>-95783.104757729001</v>
      </c>
      <c r="J964" s="2355">
        <f>'Part VII-Pro Forma'!J23</f>
        <v>-95783.104757729001</v>
      </c>
      <c r="K964" s="2355">
        <f>'Part VII-Pro Forma'!K23</f>
        <v>-95783.104757729001</v>
      </c>
      <c r="M964" s="2176"/>
      <c r="N964" s="2176"/>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7" t="s">
        <v>1206</v>
      </c>
      <c r="B969" s="2355">
        <f>'Part VII-Pro Forma'!B28</f>
        <v>-3500</v>
      </c>
      <c r="C969" s="2355">
        <f>'Part VII-Pro Forma'!C28</f>
        <v>-3500</v>
      </c>
      <c r="D969" s="2355">
        <f>'Part VII-Pro Forma'!D28</f>
        <v>-3500</v>
      </c>
      <c r="E969" s="2355">
        <f>'Part VII-Pro Forma'!E28</f>
        <v>-3500</v>
      </c>
      <c r="F969" s="2355">
        <f>'Part VII-Pro Forma'!F28</f>
        <v>-3500</v>
      </c>
      <c r="G969" s="2355">
        <f>'Part VII-Pro Forma'!G28</f>
        <v>-3500</v>
      </c>
      <c r="H969" s="2355">
        <f>'Part VII-Pro Forma'!H28</f>
        <v>-3500</v>
      </c>
      <c r="I969" s="2355">
        <f>'Part VII-Pro Forma'!I28</f>
        <v>-3500</v>
      </c>
      <c r="J969" s="2355">
        <f>'Part VII-Pro Forma'!J28</f>
        <v>-3500</v>
      </c>
      <c r="K969" s="2355">
        <f>'Part VII-Pro Forma'!K28</f>
        <v>-3500</v>
      </c>
      <c r="M969" s="2176"/>
      <c r="N969" s="2176"/>
    </row>
    <row r="970" spans="1:14">
      <c r="A970" s="877" t="s">
        <v>1249</v>
      </c>
      <c r="B970" s="2355">
        <f>'Part VII-Pro Forma'!B29</f>
        <v>-1613</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6"/>
      <c r="N970" s="2176"/>
    </row>
    <row r="971" spans="1:14">
      <c r="A971" s="877" t="s">
        <v>1207</v>
      </c>
      <c r="B971" s="2355">
        <f>'Part VII-Pro Forma'!B30</f>
        <v>38653.175642271046</v>
      </c>
      <c r="C971" s="2355">
        <f>'Part VII-Pro Forma'!C30</f>
        <v>39720.380150270983</v>
      </c>
      <c r="D971" s="2355">
        <f>'Part VII-Pro Forma'!D30</f>
        <v>39063.206315431031</v>
      </c>
      <c r="E971" s="2355">
        <f>'Part VII-Pro Forma'!E30</f>
        <v>38290.679897904207</v>
      </c>
      <c r="F971" s="2355">
        <f>'Part VII-Pro Forma'!F30</f>
        <v>37395.669572857252</v>
      </c>
      <c r="G971" s="2355">
        <f>'Part VII-Pro Forma'!G30</f>
        <v>36373.881460764547</v>
      </c>
      <c r="H971" s="2355">
        <f>'Part VII-Pro Forma'!H30</f>
        <v>35218.853478468678</v>
      </c>
      <c r="I971" s="2355">
        <f>'Part VII-Pro Forma'!I30</f>
        <v>33924.949505326935</v>
      </c>
      <c r="J971" s="2355">
        <f>'Part VII-Pro Forma'!J30</f>
        <v>32485.353358586595</v>
      </c>
      <c r="K971" s="2355">
        <f>'Part VII-Pro Forma'!K30</f>
        <v>30894.062571951159</v>
      </c>
      <c r="M971" s="2176"/>
      <c r="N971" s="2176"/>
    </row>
    <row r="972" spans="1:14">
      <c r="A972" s="877" t="str">
        <f>IF('Part III-Sources of Funds'!$E$37 = "Neither", "", "DCR Mortgage A")</f>
        <v>DCR Mortgage A</v>
      </c>
      <c r="B972" s="2356">
        <f>IF(B964=0,"",-B963/B964)</f>
        <v>1.4569300165511645</v>
      </c>
      <c r="C972" s="2356">
        <f t="shared" ref="C972:K972" si="280">IF(C964=0,"",-C963/C964)</f>
        <v>1.4512317726554318</v>
      </c>
      <c r="D972" s="2356">
        <f t="shared" si="280"/>
        <v>1.4443707105035817</v>
      </c>
      <c r="E972" s="2356">
        <f t="shared" si="280"/>
        <v>1.4363053380197723</v>
      </c>
      <c r="F972" s="2356">
        <f t="shared" si="280"/>
        <v>1.4269612023571128</v>
      </c>
      <c r="G972" s="2356">
        <f t="shared" si="280"/>
        <v>1.4162934743201359</v>
      </c>
      <c r="H972" s="2356">
        <f t="shared" si="280"/>
        <v>1.4042346881154355</v>
      </c>
      <c r="I972" s="2356">
        <f t="shared" si="280"/>
        <v>1.3907260012085483</v>
      </c>
      <c r="J972" s="2356">
        <f t="shared" si="280"/>
        <v>1.3756962509161392</v>
      </c>
      <c r="K972" s="2356">
        <f t="shared" si="280"/>
        <v>1.3590827699618477</v>
      </c>
      <c r="M972" s="2176"/>
      <c r="N972" s="2176"/>
    </row>
    <row r="973" spans="1:14">
      <c r="A973" s="877"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7"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4192</v>
      </c>
      <c r="B976" s="2356">
        <f>IF(AND(B964=0,B965=0,B966=0,B967=0),"",-B963/(B964+B965+B966+B967))</f>
        <v>1.4569300165511645</v>
      </c>
      <c r="C976" s="2356">
        <f t="shared" ref="C976:K976" si="284">IF(AND(C964=0,C965=0,C966=0,C967=0),"",-C963/(C964+C965+C966+C967))</f>
        <v>1.4512317726554318</v>
      </c>
      <c r="D976" s="2356">
        <f t="shared" si="284"/>
        <v>1.4443707105035817</v>
      </c>
      <c r="E976" s="2356">
        <f t="shared" si="284"/>
        <v>1.4363053380197723</v>
      </c>
      <c r="F976" s="2356">
        <f t="shared" si="284"/>
        <v>1.4269612023571128</v>
      </c>
      <c r="G976" s="2356">
        <f t="shared" si="284"/>
        <v>1.4162934743201359</v>
      </c>
      <c r="H976" s="2356">
        <f t="shared" si="284"/>
        <v>1.4042346881154355</v>
      </c>
      <c r="I976" s="2356">
        <f t="shared" si="284"/>
        <v>1.3907260012085483</v>
      </c>
      <c r="J976" s="2356">
        <f t="shared" si="284"/>
        <v>1.3756962509161392</v>
      </c>
      <c r="K976" s="2356">
        <f t="shared" si="284"/>
        <v>1.3590827699618477</v>
      </c>
      <c r="M976" s="2176"/>
      <c r="N976" s="2176"/>
    </row>
    <row r="977" spans="1:14">
      <c r="A977" s="877" t="s">
        <v>801</v>
      </c>
      <c r="B977" s="2358">
        <f>IF(OR(B961="Choose mgt fee",B961="Choose One!"),"",(B955+B956+B957+B958+B959) / -(B960+B961+B962))</f>
        <v>1.4182215354422778</v>
      </c>
      <c r="C977" s="2358">
        <f t="shared" ref="C977:K977" si="285">IF(OR(C961="Choose mgt fee",C961="Choose One!"),"",(C955+C956+C957+C958+C959) / -(C960+C961+C962))</f>
        <v>1.4044521899978797</v>
      </c>
      <c r="D977" s="2358">
        <f t="shared" si="285"/>
        <v>1.3908151209835207</v>
      </c>
      <c r="E977" s="2358">
        <f t="shared" si="285"/>
        <v>1.3773139125102367</v>
      </c>
      <c r="F977" s="2358">
        <f t="shared" si="285"/>
        <v>1.3639406616369956</v>
      </c>
      <c r="G977" s="2358">
        <f t="shared" si="285"/>
        <v>1.3506990779809642</v>
      </c>
      <c r="H977" s="2358">
        <f t="shared" si="285"/>
        <v>1.3375855618435326</v>
      </c>
      <c r="I977" s="2358">
        <f t="shared" si="285"/>
        <v>1.3246002303067164</v>
      </c>
      <c r="J977" s="2358">
        <f t="shared" si="285"/>
        <v>1.3117400338959717</v>
      </c>
      <c r="K977" s="2358">
        <f t="shared" si="285"/>
        <v>1.2990053203375758</v>
      </c>
      <c r="M977" s="2176"/>
      <c r="N977" s="2176"/>
    </row>
    <row r="978" spans="1:14">
      <c r="A978" s="877" t="s">
        <v>2705</v>
      </c>
      <c r="B978" s="2355">
        <f>'Part VII-Pro Forma'!B37</f>
        <v>1587929.1884689906</v>
      </c>
      <c r="C978" s="2355">
        <f>'Part VII-Pro Forma'!C37</f>
        <v>1575209.1859195118</v>
      </c>
      <c r="D978" s="2355">
        <f>'Part VII-Pro Forma'!D37</f>
        <v>1561805.0776337439</v>
      </c>
      <c r="E978" s="2355">
        <f>'Part VII-Pro Forma'!E37</f>
        <v>1547680.0711144682</v>
      </c>
      <c r="F978" s="2355">
        <f>'Part VII-Pro Forma'!F37</f>
        <v>1532795.3950945481</v>
      </c>
      <c r="G978" s="2355">
        <f>'Part VII-Pro Forma'!G37</f>
        <v>1517110.1931149499</v>
      </c>
      <c r="H978" s="2355">
        <f>'Part VII-Pro Forma'!H37</f>
        <v>1500581.4113791874</v>
      </c>
      <c r="I978" s="2355">
        <f>'Part VII-Pro Forma'!I37</f>
        <v>1483163.6805763692</v>
      </c>
      <c r="J978" s="2355">
        <f>'Part VII-Pro Forma'!J37</f>
        <v>1464809.1913484645</v>
      </c>
      <c r="K978" s="2355">
        <f>'Part VII-Pro Forma'!K37</f>
        <v>1445467.563059964</v>
      </c>
      <c r="M978" s="2176"/>
      <c r="N978" s="2176"/>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1284</v>
      </c>
      <c r="B982" s="2355">
        <f>'Part VII-Pro Forma'!B41</f>
        <v>0</v>
      </c>
      <c r="C982" s="2355">
        <f>'Part VII-Pro Forma'!C41</f>
        <v>0</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7" t="s">
        <v>2489</v>
      </c>
      <c r="B985" s="2355">
        <f>'Part VII-Pro Forma'!B44</f>
        <v>608112.43233626452</v>
      </c>
      <c r="C985" s="2355">
        <f>'Part VII-Pro Forma'!C44</f>
        <v>620274.68098298972</v>
      </c>
      <c r="D985" s="2355">
        <f>'Part VII-Pro Forma'!D44</f>
        <v>632680.17460264952</v>
      </c>
      <c r="E985" s="2355">
        <f>'Part VII-Pro Forma'!E44</f>
        <v>645333.77809470252</v>
      </c>
      <c r="F985" s="2355">
        <f>'Part VII-Pro Forma'!F44</f>
        <v>658240.4536565966</v>
      </c>
      <c r="G985" s="2355">
        <f>'Part VII-Pro Forma'!G44</f>
        <v>671405.26272972836</v>
      </c>
      <c r="H985" s="2355">
        <f>'Part VII-Pro Forma'!H44</f>
        <v>684833.36798432306</v>
      </c>
      <c r="I985" s="2355">
        <f>'Part VII-Pro Forma'!I44</f>
        <v>698530.03534400964</v>
      </c>
      <c r="J985" s="2355">
        <f>'Part VII-Pro Forma'!J44</f>
        <v>712500.63605088973</v>
      </c>
      <c r="K985" s="2355">
        <f>'Part VII-Pro Forma'!K44</f>
        <v>726750.64877190744</v>
      </c>
      <c r="M985" s="2176">
        <f>'Part VII-Pro Forma'!M44</f>
        <v>0</v>
      </c>
      <c r="N985" s="2176"/>
    </row>
    <row r="986" spans="1:14">
      <c r="A986" s="877" t="s">
        <v>1053</v>
      </c>
      <c r="B986" s="2355">
        <f>'Part VII-Pro Forma'!B45</f>
        <v>12162.248646725291</v>
      </c>
      <c r="C986" s="2355">
        <f>'Part VII-Pro Forma'!C45</f>
        <v>12405.493619659794</v>
      </c>
      <c r="D986" s="2355">
        <f>'Part VII-Pro Forma'!D45</f>
        <v>12653.603492052993</v>
      </c>
      <c r="E986" s="2355">
        <f>'Part VII-Pro Forma'!E45</f>
        <v>12906.675561894051</v>
      </c>
      <c r="F986" s="2355">
        <f>'Part VII-Pro Forma'!F45</f>
        <v>13164.809073131933</v>
      </c>
      <c r="G986" s="2355">
        <f>'Part VII-Pro Forma'!G45</f>
        <v>13428.105254594569</v>
      </c>
      <c r="H986" s="2355">
        <f>'Part VII-Pro Forma'!H45</f>
        <v>13696.667359686462</v>
      </c>
      <c r="I986" s="2355">
        <f>'Part VII-Pro Forma'!I45</f>
        <v>13970.600706880194</v>
      </c>
      <c r="J986" s="2355">
        <f>'Part VII-Pro Forma'!J45</f>
        <v>14250.012721017794</v>
      </c>
      <c r="K986" s="2355">
        <f>'Part VII-Pro Forma'!K45</f>
        <v>14535.012975438151</v>
      </c>
      <c r="M986" s="2176"/>
      <c r="N986" s="2176"/>
    </row>
    <row r="987" spans="1:14">
      <c r="A987" s="877" t="s">
        <v>2490</v>
      </c>
      <c r="B987" s="2355">
        <f>'Part VII-Pro Forma'!B46</f>
        <v>-43419.22766880929</v>
      </c>
      <c r="C987" s="2355">
        <f>'Part VII-Pro Forma'!C46</f>
        <v>-44287.612222185468</v>
      </c>
      <c r="D987" s="2355">
        <f>'Part VII-Pro Forma'!D46</f>
        <v>-45173.36446662918</v>
      </c>
      <c r="E987" s="2355">
        <f>'Part VII-Pro Forma'!E46</f>
        <v>-46076.831755961764</v>
      </c>
      <c r="F987" s="2355">
        <f>'Part VII-Pro Forma'!F46</f>
        <v>-46998.368391081</v>
      </c>
      <c r="G987" s="2355">
        <f>'Part VII-Pro Forma'!G46</f>
        <v>-47938.335758902613</v>
      </c>
      <c r="H987" s="2355">
        <f>'Part VII-Pro Forma'!H46</f>
        <v>-48897.102474080668</v>
      </c>
      <c r="I987" s="2355">
        <f>'Part VII-Pro Forma'!I46</f>
        <v>-49875.044523562297</v>
      </c>
      <c r="J987" s="2355">
        <f>'Part VII-Pro Forma'!J46</f>
        <v>-50872.545414033535</v>
      </c>
      <c r="K987" s="2355">
        <f>'Part VII-Pro Forma'!K46</f>
        <v>-51889.996322314197</v>
      </c>
      <c r="M987" s="2176"/>
      <c r="N987" s="2176"/>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638</v>
      </c>
      <c r="B990" s="2355">
        <f>'Part VII-Pro Forma'!B49</f>
        <v>-353326.51529140607</v>
      </c>
      <c r="C990" s="2355">
        <f>'Part VII-Pro Forma'!C49</f>
        <v>-363926.31075014826</v>
      </c>
      <c r="D990" s="2355">
        <f>'Part VII-Pro Forma'!D49</f>
        <v>-374844.10007265268</v>
      </c>
      <c r="E990" s="2355">
        <f>'Part VII-Pro Forma'!E49</f>
        <v>-386089.42307483224</v>
      </c>
      <c r="F990" s="2355">
        <f>'Part VII-Pro Forma'!F49</f>
        <v>-397672.10576707724</v>
      </c>
      <c r="G990" s="2355">
        <f>'Part VII-Pro Forma'!G49</f>
        <v>-409602.26894008956</v>
      </c>
      <c r="H990" s="2355">
        <f>'Part VII-Pro Forma'!H49</f>
        <v>-421890.3370082922</v>
      </c>
      <c r="I990" s="2355">
        <f>'Part VII-Pro Forma'!I49</f>
        <v>-434547.04711854097</v>
      </c>
      <c r="J990" s="2355">
        <f>'Part VII-Pro Forma'!J49</f>
        <v>-447583.45853209717</v>
      </c>
      <c r="K990" s="2355">
        <f>'Part VII-Pro Forma'!K49</f>
        <v>-461010.96228806011</v>
      </c>
      <c r="M990" s="2176"/>
      <c r="N990" s="2176"/>
    </row>
    <row r="991" spans="1:14">
      <c r="A991" s="877" t="s">
        <v>1153</v>
      </c>
      <c r="B991" s="2355">
        <f>'Part VII-Pro Forma'!B50</f>
        <v>-62176</v>
      </c>
      <c r="C991" s="2355">
        <f>'Part VII-Pro Forma'!C50</f>
        <v>-64042</v>
      </c>
      <c r="D991" s="2355">
        <f>'Part VII-Pro Forma'!D50</f>
        <v>-65963</v>
      </c>
      <c r="E991" s="2355">
        <f>'Part VII-Pro Forma'!E50</f>
        <v>-67942</v>
      </c>
      <c r="F991" s="2355">
        <f>'Part VII-Pro Forma'!F50</f>
        <v>-69980</v>
      </c>
      <c r="G991" s="2355">
        <f>'Part VII-Pro Forma'!G50</f>
        <v>-72079</v>
      </c>
      <c r="H991" s="2355">
        <f>'Part VII-Pro Forma'!H50</f>
        <v>-74242</v>
      </c>
      <c r="I991" s="2355">
        <f>'Part VII-Pro Forma'!I50</f>
        <v>-76469</v>
      </c>
      <c r="J991" s="2355">
        <f>'Part VII-Pro Forma'!J50</f>
        <v>-78763</v>
      </c>
      <c r="K991" s="2355">
        <f>'Part VII-Pro Forma'!K50</f>
        <v>-81126</v>
      </c>
      <c r="M991" s="2176"/>
      <c r="N991" s="2176"/>
    </row>
    <row r="992" spans="1:14">
      <c r="A992" s="877" t="s">
        <v>1247</v>
      </c>
      <c r="B992" s="2355">
        <f>'Part VII-Pro Forma'!B51</f>
        <v>-32925.951293930986</v>
      </c>
      <c r="C992" s="2355">
        <f>'Part VII-Pro Forma'!C51</f>
        <v>-33913.729832748912</v>
      </c>
      <c r="D992" s="2355">
        <f>'Part VII-Pro Forma'!D51</f>
        <v>-34931.141727731374</v>
      </c>
      <c r="E992" s="2355">
        <f>'Part VII-Pro Forma'!E51</f>
        <v>-35979.075979563313</v>
      </c>
      <c r="F992" s="2355">
        <f>'Part VII-Pro Forma'!F51</f>
        <v>-37058.448258950222</v>
      </c>
      <c r="G992" s="2355">
        <f>'Part VII-Pro Forma'!G51</f>
        <v>-38170.201706718726</v>
      </c>
      <c r="H992" s="2355">
        <f>'Part VII-Pro Forma'!H51</f>
        <v>-39315.30775792028</v>
      </c>
      <c r="I992" s="2355">
        <f>'Part VII-Pro Forma'!I51</f>
        <v>-40494.766990657889</v>
      </c>
      <c r="J992" s="2355">
        <f>'Part VII-Pro Forma'!J51</f>
        <v>-41709.61000037763</v>
      </c>
      <c r="K992" s="2355">
        <f>'Part VII-Pro Forma'!K51</f>
        <v>-42960.898300388959</v>
      </c>
      <c r="M992" s="2176"/>
      <c r="N992" s="2176"/>
    </row>
    <row r="993" spans="1:14">
      <c r="A993" s="877" t="s">
        <v>1248</v>
      </c>
      <c r="B993" s="2355">
        <f>'Part VII-Pro Forma'!B52</f>
        <v>128426.98672884353</v>
      </c>
      <c r="C993" s="2355">
        <f>'Part VII-Pro Forma'!C52</f>
        <v>126510.52179756688</v>
      </c>
      <c r="D993" s="2355">
        <f>'Part VII-Pro Forma'!D52</f>
        <v>124422.17182768924</v>
      </c>
      <c r="E993" s="2355">
        <f>'Part VII-Pro Forma'!E52</f>
        <v>122153.12284623928</v>
      </c>
      <c r="F993" s="2355">
        <f>'Part VII-Pro Forma'!F52</f>
        <v>119696.34031262001</v>
      </c>
      <c r="G993" s="2355">
        <f>'Part VII-Pro Forma'!G52</f>
        <v>117043.56157861206</v>
      </c>
      <c r="H993" s="2355">
        <f>'Part VII-Pro Forma'!H52</f>
        <v>114185.2881037164</v>
      </c>
      <c r="I993" s="2355">
        <f>'Part VII-Pro Forma'!I52</f>
        <v>111114.77741812868</v>
      </c>
      <c r="J993" s="2355">
        <f>'Part VII-Pro Forma'!J52</f>
        <v>107822.03482539917</v>
      </c>
      <c r="K993" s="2355">
        <f>'Part VII-Pro Forma'!K52</f>
        <v>104297.80483658238</v>
      </c>
      <c r="M993" s="2176"/>
      <c r="N993" s="2176"/>
    </row>
    <row r="994" spans="1:14">
      <c r="A994" s="877" t="str">
        <f>$A964</f>
        <v>Mortgage A</v>
      </c>
      <c r="B994" s="2355">
        <f>'Part VII-Pro Forma'!B53</f>
        <v>-95783.104757729001</v>
      </c>
      <c r="C994" s="2355">
        <f>'Part VII-Pro Forma'!C53</f>
        <v>-95783.104757729001</v>
      </c>
      <c r="D994" s="2355">
        <f>'Part VII-Pro Forma'!D53</f>
        <v>-95783.104757729001</v>
      </c>
      <c r="E994" s="2355">
        <f>'Part VII-Pro Forma'!E53</f>
        <v>-95783.104757729001</v>
      </c>
      <c r="F994" s="2355">
        <f>'Part VII-Pro Forma'!F53</f>
        <v>-95783.104757729001</v>
      </c>
      <c r="G994" s="2355">
        <f>'Part VII-Pro Forma'!G53</f>
        <v>-95783.104757729001</v>
      </c>
      <c r="H994" s="2355">
        <f>'Part VII-Pro Forma'!H53</f>
        <v>-95783.104757729001</v>
      </c>
      <c r="I994" s="2355">
        <f>'Part VII-Pro Forma'!I53</f>
        <v>-95783.104757729001</v>
      </c>
      <c r="J994" s="2355">
        <f>'Part VII-Pro Forma'!J53</f>
        <v>-95783.104757729001</v>
      </c>
      <c r="K994" s="2355">
        <f>'Part VII-Pro Forma'!K53</f>
        <v>-95783.104757729001</v>
      </c>
      <c r="M994" s="2176"/>
      <c r="N994" s="2176"/>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7" t="s">
        <v>1206</v>
      </c>
      <c r="B999" s="2355">
        <f>'Part VII-Pro Forma'!B58</f>
        <v>-3500</v>
      </c>
      <c r="C999" s="2355">
        <f>'Part VII-Pro Forma'!C58</f>
        <v>-3500</v>
      </c>
      <c r="D999" s="2355">
        <f>'Part VII-Pro Forma'!D58</f>
        <v>-3500</v>
      </c>
      <c r="E999" s="2355">
        <f>'Part VII-Pro Forma'!E58</f>
        <v>-3500</v>
      </c>
      <c r="F999" s="2355">
        <f>'Part VII-Pro Forma'!F58</f>
        <v>-3500</v>
      </c>
      <c r="G999" s="2355">
        <f>'Part VII-Pro Forma'!G58</f>
        <v>-3500</v>
      </c>
      <c r="H999" s="2355">
        <f>'Part VII-Pro Forma'!H58</f>
        <v>-3500</v>
      </c>
      <c r="I999" s="2355">
        <f>'Part VII-Pro Forma'!I58</f>
        <v>-3500</v>
      </c>
      <c r="J999" s="2355">
        <f>'Part VII-Pro Forma'!J58</f>
        <v>-3500</v>
      </c>
      <c r="K999" s="2355">
        <f>'Part VII-Pro Forma'!K58</f>
        <v>-3500</v>
      </c>
      <c r="M999" s="2176"/>
      <c r="N999" s="2176"/>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1207</v>
      </c>
      <c r="B1001" s="2355">
        <f>'Part VII-Pro Forma'!B60</f>
        <v>29143.881971114533</v>
      </c>
      <c r="C1001" s="2355">
        <f>'Part VII-Pro Forma'!C60</f>
        <v>27227.417039837877</v>
      </c>
      <c r="D1001" s="2355">
        <f>'Part VII-Pro Forma'!D60</f>
        <v>25139.067069960234</v>
      </c>
      <c r="E1001" s="2355">
        <f>'Part VII-Pro Forma'!E60</f>
        <v>22870.018088510275</v>
      </c>
      <c r="F1001" s="2355">
        <f>'Part VII-Pro Forma'!F60</f>
        <v>20413.235554891013</v>
      </c>
      <c r="G1001" s="2355">
        <f>'Part VII-Pro Forma'!G60</f>
        <v>17760.456820883061</v>
      </c>
      <c r="H1001" s="2355">
        <f>'Part VII-Pro Forma'!H60</f>
        <v>14902.183345987403</v>
      </c>
      <c r="I1001" s="2355">
        <f>'Part VII-Pro Forma'!I60</f>
        <v>11831.672660399679</v>
      </c>
      <c r="J1001" s="2355">
        <f>'Part VII-Pro Forma'!J60</f>
        <v>8538.9300676701678</v>
      </c>
      <c r="K1001" s="2355">
        <f>'Part VII-Pro Forma'!K60</f>
        <v>5014.7000788533769</v>
      </c>
      <c r="M1001" s="2176"/>
      <c r="N1001" s="2176"/>
    </row>
    <row r="1002" spans="1:14">
      <c r="A1002" s="877" t="str">
        <f>$A972</f>
        <v>DCR Mortgage A</v>
      </c>
      <c r="B1002" s="2356">
        <f>IF(B994=0,"",-B993/B994)</f>
        <v>1.3408104388940307</v>
      </c>
      <c r="C1002" s="2356">
        <f t="shared" ref="C1002:K1002" si="287">IF(C994=0,"",-C993/C994)</f>
        <v>1.3208020570805146</v>
      </c>
      <c r="D1002" s="2356">
        <f t="shared" si="287"/>
        <v>1.2989991517021615</v>
      </c>
      <c r="E1002" s="2356">
        <f t="shared" si="287"/>
        <v>1.2753097026371178</v>
      </c>
      <c r="F1002" s="2356">
        <f t="shared" si="287"/>
        <v>1.2496602674905606</v>
      </c>
      <c r="G1002" s="2356">
        <f t="shared" si="287"/>
        <v>1.2219645821114136</v>
      </c>
      <c r="H1002" s="2356">
        <f t="shared" si="287"/>
        <v>1.1921234793185431</v>
      </c>
      <c r="I1002" s="2356">
        <f t="shared" si="287"/>
        <v>1.1600665660105627</v>
      </c>
      <c r="J1002" s="2356">
        <f t="shared" si="287"/>
        <v>1.1256894950118925</v>
      </c>
      <c r="K1002" s="2356">
        <f t="shared" si="287"/>
        <v>1.088895636661499</v>
      </c>
      <c r="M1002" s="2176"/>
      <c r="N1002" s="2176"/>
    </row>
    <row r="1003" spans="1:14">
      <c r="A1003" s="877"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4192</v>
      </c>
      <c r="B1006" s="2356">
        <f>IF(AND(B994=0,B995=0,B996=0,B997=0),"",-B993/(B994+B995+B996+B997))</f>
        <v>1.3408104388940307</v>
      </c>
      <c r="C1006" s="2356">
        <f t="shared" ref="C1006:K1006" si="291">IF(AND(C994=0,C995=0,C996=0,C997=0),"",-C993/(C994+C995+C996+C997))</f>
        <v>1.3208020570805146</v>
      </c>
      <c r="D1006" s="2356">
        <f t="shared" si="291"/>
        <v>1.2989991517021615</v>
      </c>
      <c r="E1006" s="2356">
        <f t="shared" si="291"/>
        <v>1.2753097026371178</v>
      </c>
      <c r="F1006" s="2356">
        <f t="shared" si="291"/>
        <v>1.2496602674905606</v>
      </c>
      <c r="G1006" s="2356">
        <f t="shared" si="291"/>
        <v>1.2219645821114136</v>
      </c>
      <c r="H1006" s="2356">
        <f t="shared" si="291"/>
        <v>1.1921234793185431</v>
      </c>
      <c r="I1006" s="2356">
        <f t="shared" si="291"/>
        <v>1.1600665660105627</v>
      </c>
      <c r="J1006" s="2356">
        <f t="shared" si="291"/>
        <v>1.1256894950118925</v>
      </c>
      <c r="K1006" s="2356">
        <f t="shared" si="291"/>
        <v>1.088895636661499</v>
      </c>
      <c r="M1006" s="2176"/>
      <c r="N1006" s="2176"/>
    </row>
    <row r="1007" spans="1:14">
      <c r="A1007" s="877" t="s">
        <v>801</v>
      </c>
      <c r="B1007" s="2358">
        <f>IF(OR(B991="Choose mgt fee",B991="Choose One!"),"",(B985+B986+B987+B988+B989) / -(B990+B991+B992))</f>
        <v>1.2863934747648398</v>
      </c>
      <c r="C1007" s="2358">
        <f t="shared" ref="C1007:K1007" si="292">IF(OR(C991="Choose mgt fee",C991="Choose One!"),"",(C985+C986+C987+C988+C989) / -(C990+C991+C992))</f>
        <v>1.2739022319159889</v>
      </c>
      <c r="D1007" s="2358">
        <f t="shared" si="292"/>
        <v>1.2615349385343206</v>
      </c>
      <c r="E1007" s="2358">
        <f t="shared" si="292"/>
        <v>1.2492867460635353</v>
      </c>
      <c r="F1007" s="2358">
        <f t="shared" si="292"/>
        <v>1.2371583858467272</v>
      </c>
      <c r="G1007" s="2358">
        <f t="shared" si="292"/>
        <v>1.2251480820723359</v>
      </c>
      <c r="H1007" s="2358">
        <f t="shared" si="292"/>
        <v>1.2132520130022648</v>
      </c>
      <c r="I1007" s="2358">
        <f t="shared" si="292"/>
        <v>1.2014734336580533</v>
      </c>
      <c r="J1007" s="2358">
        <f t="shared" si="292"/>
        <v>1.1898087896568879</v>
      </c>
      <c r="K1007" s="2358">
        <f t="shared" si="292"/>
        <v>1.1782570264941445</v>
      </c>
      <c r="M1007" s="2176"/>
      <c r="N1007" s="2176"/>
    </row>
    <row r="1008" spans="1:14">
      <c r="A1008" s="877" t="s">
        <v>2705</v>
      </c>
      <c r="B1008" s="2355">
        <f>'Part VII-Pro Forma'!B67</f>
        <v>1425085.7055097269</v>
      </c>
      <c r="C1008" s="2355">
        <f>'Part VII-Pro Forma'!C67</f>
        <v>1403607.6732054276</v>
      </c>
      <c r="D1008" s="2355">
        <f>'Part VII-Pro Forma'!D67</f>
        <v>1380974.5118006098</v>
      </c>
      <c r="E1008" s="2355">
        <f>'Part VII-Pro Forma'!E67</f>
        <v>1357124.0962728336</v>
      </c>
      <c r="F1008" s="2355">
        <f>'Part VII-Pro Forma'!F67</f>
        <v>1331990.9603987397</v>
      </c>
      <c r="G1008" s="2355">
        <f>'Part VII-Pro Forma'!G67</f>
        <v>1305506.1170579593</v>
      </c>
      <c r="H1008" s="2355">
        <f>'Part VII-Pro Forma'!H67</f>
        <v>1277596.8688726304</v>
      </c>
      <c r="I1008" s="2355">
        <f>'Part VII-Pro Forma'!I67</f>
        <v>1248186.6086627496</v>
      </c>
      <c r="J1008" s="2355">
        <f>'Part VII-Pro Forma'!J67</f>
        <v>1217194.6091696359</v>
      </c>
      <c r="K1008" s="2355">
        <f>'Part VII-Pro Forma'!K67</f>
        <v>1184535.8014703258</v>
      </c>
      <c r="M1008" s="2176"/>
      <c r="N1008" s="2176"/>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7" t="s">
        <v>2489</v>
      </c>
      <c r="B1015" s="2355">
        <f>'Part VII-Pro Forma'!B74</f>
        <v>741285.6617473457</v>
      </c>
      <c r="C1015" s="2355">
        <f>'Part VII-Pro Forma'!C74</f>
        <v>756111.37498229253</v>
      </c>
      <c r="D1015" s="2355">
        <f>'Part VII-Pro Forma'!D74</f>
        <v>771233.60248193843</v>
      </c>
      <c r="E1015" s="2355">
        <f>'Part VII-Pro Forma'!E74</f>
        <v>786658.27453157713</v>
      </c>
      <c r="F1015" s="2355">
        <f>'Part VII-Pro Forma'!F74</f>
        <v>802391.44002220861</v>
      </c>
      <c r="G1015" s="2355">
        <f>'Part VII-Pro Forma'!G74</f>
        <v>818439.26882265287</v>
      </c>
      <c r="H1015" s="2355">
        <f>'Part VII-Pro Forma'!H74</f>
        <v>834808.05419910594</v>
      </c>
      <c r="I1015" s="2355">
        <f>'Part VII-Pro Forma'!I74</f>
        <v>851504.21528308792</v>
      </c>
      <c r="J1015" s="2355">
        <f>'Part VII-Pro Forma'!J74</f>
        <v>868534.29958874988</v>
      </c>
      <c r="K1015" s="2355">
        <f>'Part VII-Pro Forma'!K74</f>
        <v>885904.98558052478</v>
      </c>
      <c r="M1015" s="2176">
        <f>'Part VII-Pro Forma'!M74</f>
        <v>0</v>
      </c>
      <c r="N1015" s="2176"/>
    </row>
    <row r="1016" spans="1:14">
      <c r="A1016" s="877" t="s">
        <v>1053</v>
      </c>
      <c r="B1016" s="2355">
        <f>'Part VII-Pro Forma'!B75</f>
        <v>14825.713234946916</v>
      </c>
      <c r="C1016" s="2355">
        <f>'Part VII-Pro Forma'!C75</f>
        <v>15122.227499645853</v>
      </c>
      <c r="D1016" s="2355">
        <f>'Part VII-Pro Forma'!D75</f>
        <v>15424.67204963877</v>
      </c>
      <c r="E1016" s="2355">
        <f>'Part VII-Pro Forma'!E75</f>
        <v>15733.165490631543</v>
      </c>
      <c r="F1016" s="2355">
        <f>'Part VII-Pro Forma'!F75</f>
        <v>16047.828800444175</v>
      </c>
      <c r="G1016" s="2355">
        <f>'Part VII-Pro Forma'!G75</f>
        <v>16368.785376453057</v>
      </c>
      <c r="H1016" s="2355">
        <f>'Part VII-Pro Forma'!H75</f>
        <v>16696.161083982122</v>
      </c>
      <c r="I1016" s="2355">
        <f>'Part VII-Pro Forma'!I75</f>
        <v>17030.08430566176</v>
      </c>
      <c r="J1016" s="2355">
        <f>'Part VII-Pro Forma'!J75</f>
        <v>17370.685991775001</v>
      </c>
      <c r="K1016" s="2355">
        <f>'Part VII-Pro Forma'!K75</f>
        <v>17718.099711610495</v>
      </c>
      <c r="M1016" s="2176"/>
      <c r="N1016" s="2176"/>
    </row>
    <row r="1017" spans="1:14">
      <c r="A1017" s="877" t="s">
        <v>2490</v>
      </c>
      <c r="B1017" s="2355">
        <f>'Part VII-Pro Forma'!B76</f>
        <v>-52927.796248760489</v>
      </c>
      <c r="C1017" s="2355">
        <f>'Part VII-Pro Forma'!C76</f>
        <v>-53986.352173735693</v>
      </c>
      <c r="D1017" s="2355">
        <f>'Part VII-Pro Forma'!D76</f>
        <v>-55066.079217210412</v>
      </c>
      <c r="E1017" s="2355">
        <f>'Part VII-Pro Forma'!E76</f>
        <v>-56167.400801554613</v>
      </c>
      <c r="F1017" s="2355">
        <f>'Part VII-Pro Forma'!F76</f>
        <v>-57290.7488175857</v>
      </c>
      <c r="G1017" s="2355">
        <f>'Part VII-Pro Forma'!G76</f>
        <v>-58436.563793937421</v>
      </c>
      <c r="H1017" s="2355">
        <f>'Part VII-Pro Forma'!H76</f>
        <v>-59605.295069816166</v>
      </c>
      <c r="I1017" s="2355">
        <f>'Part VII-Pro Forma'!I76</f>
        <v>-60797.400971212483</v>
      </c>
      <c r="J1017" s="2355">
        <f>'Part VII-Pro Forma'!J76</f>
        <v>-62013.348990636747</v>
      </c>
      <c r="K1017" s="2355">
        <f>'Part VII-Pro Forma'!K76</f>
        <v>-63253.615970449471</v>
      </c>
      <c r="M1017" s="2176"/>
      <c r="N1017" s="2176"/>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638</v>
      </c>
      <c r="B1020" s="2355">
        <f>'Part VII-Pro Forma'!B79</f>
        <v>-474841.29115670186</v>
      </c>
      <c r="C1020" s="2355">
        <f>'Part VII-Pro Forma'!C79</f>
        <v>-489086.52989140287</v>
      </c>
      <c r="D1020" s="2355">
        <f>'Part VII-Pro Forma'!D79</f>
        <v>-503759.125788145</v>
      </c>
      <c r="E1020" s="2355">
        <f>'Part VII-Pro Forma'!E79</f>
        <v>-518871.89956178941</v>
      </c>
      <c r="F1020" s="2355">
        <f>'Part VII-Pro Forma'!F79</f>
        <v>-534438.05654864304</v>
      </c>
      <c r="G1020" s="2355">
        <f>'Part VII-Pro Forma'!G79</f>
        <v>-550471.19824510231</v>
      </c>
      <c r="H1020" s="2355">
        <f>'Part VII-Pro Forma'!H79</f>
        <v>-566985.3341924554</v>
      </c>
      <c r="I1020" s="2355">
        <f>'Part VII-Pro Forma'!I79</f>
        <v>-583994.89421822899</v>
      </c>
      <c r="J1020" s="2355">
        <f>'Part VII-Pro Forma'!J79</f>
        <v>-601514.74104477593</v>
      </c>
      <c r="K1020" s="2355">
        <f>'Part VII-Pro Forma'!K79</f>
        <v>-619560.18327611906</v>
      </c>
      <c r="M1020" s="2176"/>
      <c r="N1020" s="2176"/>
    </row>
    <row r="1021" spans="1:14">
      <c r="A1021" s="877" t="s">
        <v>1153</v>
      </c>
      <c r="B1021" s="2355">
        <f>'Part VII-Pro Forma'!B80</f>
        <v>-83560</v>
      </c>
      <c r="C1021" s="2355">
        <f>'Part VII-Pro Forma'!C80</f>
        <v>-86067</v>
      </c>
      <c r="D1021" s="2355">
        <f>'Part VII-Pro Forma'!D80</f>
        <v>-88649</v>
      </c>
      <c r="E1021" s="2355">
        <f>'Part VII-Pro Forma'!E80</f>
        <v>-91308</v>
      </c>
      <c r="F1021" s="2355">
        <f>'Part VII-Pro Forma'!F80</f>
        <v>-94047</v>
      </c>
      <c r="G1021" s="2355">
        <f>'Part VII-Pro Forma'!G80</f>
        <v>-96869</v>
      </c>
      <c r="H1021" s="2355">
        <f>'Part VII-Pro Forma'!H80</f>
        <v>-99775</v>
      </c>
      <c r="I1021" s="2355">
        <f>'Part VII-Pro Forma'!I80</f>
        <v>-102768</v>
      </c>
      <c r="J1021" s="2355">
        <f>'Part VII-Pro Forma'!J80</f>
        <v>-105851</v>
      </c>
      <c r="K1021" s="2355">
        <f>'Part VII-Pro Forma'!K80</f>
        <v>-109027</v>
      </c>
      <c r="M1021" s="2176"/>
      <c r="N1021" s="2176"/>
    </row>
    <row r="1022" spans="1:14">
      <c r="A1022" s="877" t="s">
        <v>1247</v>
      </c>
      <c r="B1022" s="2355">
        <f>'Part VII-Pro Forma'!B81</f>
        <v>-44249.725249400624</v>
      </c>
      <c r="C1022" s="2355">
        <f>'Part VII-Pro Forma'!C81</f>
        <v>-45577.217006882638</v>
      </c>
      <c r="D1022" s="2355">
        <f>'Part VII-Pro Forma'!D81</f>
        <v>-46944.533517089119</v>
      </c>
      <c r="E1022" s="2355">
        <f>'Part VII-Pro Forma'!E81</f>
        <v>-48352.869522601795</v>
      </c>
      <c r="F1022" s="2355">
        <f>'Part VII-Pro Forma'!F81</f>
        <v>-49803.455608279844</v>
      </c>
      <c r="G1022" s="2355">
        <f>'Part VII-Pro Forma'!G81</f>
        <v>-51297.559276528242</v>
      </c>
      <c r="H1022" s="2355">
        <f>'Part VII-Pro Forma'!H81</f>
        <v>-52836.48605482409</v>
      </c>
      <c r="I1022" s="2355">
        <f>'Part VII-Pro Forma'!I81</f>
        <v>-54421.580636468811</v>
      </c>
      <c r="J1022" s="2355">
        <f>'Part VII-Pro Forma'!J81</f>
        <v>-56054.228055562875</v>
      </c>
      <c r="K1022" s="2355">
        <f>'Part VII-Pro Forma'!K81</f>
        <v>-57735.854897229758</v>
      </c>
      <c r="M1022" s="2176"/>
      <c r="N1022" s="2176"/>
    </row>
    <row r="1023" spans="1:14">
      <c r="A1023" s="877" t="s">
        <v>1248</v>
      </c>
      <c r="B1023" s="2355">
        <f>'Part VII-Pro Forma'!B82</f>
        <v>100532.56232742962</v>
      </c>
      <c r="C1023" s="2355">
        <f>'Part VII-Pro Forma'!C82</f>
        <v>96516.50340991719</v>
      </c>
      <c r="D1023" s="2355">
        <f>'Part VII-Pro Forma'!D82</f>
        <v>92239.536009132717</v>
      </c>
      <c r="E1023" s="2355">
        <f>'Part VII-Pro Forma'!E82</f>
        <v>87691.27013626296</v>
      </c>
      <c r="F1023" s="2355">
        <f>'Part VII-Pro Forma'!F82</f>
        <v>82860.007848144218</v>
      </c>
      <c r="G1023" s="2355">
        <f>'Part VII-Pro Forma'!G82</f>
        <v>77733.732883537945</v>
      </c>
      <c r="H1023" s="2355">
        <f>'Part VII-Pro Forma'!H82</f>
        <v>72302.099965992384</v>
      </c>
      <c r="I1023" s="2355">
        <f>'Part VII-Pro Forma'!I82</f>
        <v>66552.423762839433</v>
      </c>
      <c r="J1023" s="2355">
        <f>'Part VII-Pro Forma'!J82</f>
        <v>60471.667489549327</v>
      </c>
      <c r="K1023" s="2355">
        <f>'Part VII-Pro Forma'!K82</f>
        <v>54046.431148336909</v>
      </c>
      <c r="M1023" s="2176"/>
      <c r="N1023" s="2176"/>
    </row>
    <row r="1024" spans="1:14">
      <c r="A1024" s="877" t="str">
        <f>$A994</f>
        <v>Mortgage A</v>
      </c>
      <c r="B1024" s="2355">
        <f>'Part VII-Pro Forma'!B83</f>
        <v>-95783.104757729001</v>
      </c>
      <c r="C1024" s="2355">
        <f>'Part VII-Pro Forma'!C83</f>
        <v>-95783.104757729001</v>
      </c>
      <c r="D1024" s="2355">
        <f>'Part VII-Pro Forma'!D83</f>
        <v>-95783.104757729001</v>
      </c>
      <c r="E1024" s="2355">
        <f>'Part VII-Pro Forma'!E83</f>
        <v>-95783.104757729001</v>
      </c>
      <c r="F1024" s="2355">
        <f>'Part VII-Pro Forma'!F83</f>
        <v>-95783.104757729001</v>
      </c>
      <c r="G1024" s="2355">
        <f>'Part VII-Pro Forma'!G83</f>
        <v>-95783.104757729001</v>
      </c>
      <c r="H1024" s="2355">
        <f>'Part VII-Pro Forma'!H83</f>
        <v>-95783.104757729001</v>
      </c>
      <c r="I1024" s="2355">
        <f>'Part VII-Pro Forma'!I83</f>
        <v>-95783.104757729001</v>
      </c>
      <c r="J1024" s="2355">
        <f>'Part VII-Pro Forma'!J83</f>
        <v>-95783.104757729001</v>
      </c>
      <c r="K1024" s="2355">
        <f>'Part VII-Pro Forma'!K83</f>
        <v>-95783.104757729001</v>
      </c>
      <c r="M1024" s="2176"/>
      <c r="N1024" s="2176"/>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1206</v>
      </c>
      <c r="B1029" s="2355">
        <f>'Part VII-Pro Forma'!B88</f>
        <v>-3500</v>
      </c>
      <c r="C1029" s="2355">
        <f>'Part VII-Pro Forma'!C88</f>
        <v>-3500</v>
      </c>
      <c r="D1029" s="2355">
        <f>'Part VII-Pro Forma'!D88</f>
        <v>-3500</v>
      </c>
      <c r="E1029" s="2355">
        <f>'Part VII-Pro Forma'!E88</f>
        <v>-3500</v>
      </c>
      <c r="F1029" s="2355">
        <f>'Part VII-Pro Forma'!F88</f>
        <v>-3500</v>
      </c>
      <c r="G1029" s="2355">
        <f>'Part VII-Pro Forma'!G88</f>
        <v>-3500</v>
      </c>
      <c r="H1029" s="2355">
        <f>'Part VII-Pro Forma'!H88</f>
        <v>-3500</v>
      </c>
      <c r="I1029" s="2355">
        <f>'Part VII-Pro Forma'!I88</f>
        <v>-3500</v>
      </c>
      <c r="J1029" s="2355">
        <f>'Part VII-Pro Forma'!J88</f>
        <v>-3500</v>
      </c>
      <c r="K1029" s="2355">
        <f>'Part VII-Pro Forma'!K88</f>
        <v>-3500</v>
      </c>
      <c r="M1029" s="2176"/>
      <c r="N1029" s="2176"/>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1207</v>
      </c>
      <c r="B1031" s="2355">
        <f>'Part VII-Pro Forma'!B90</f>
        <v>1249.4575697006221</v>
      </c>
      <c r="C1031" s="2355">
        <f>'Part VII-Pro Forma'!C90</f>
        <v>-2766.6013478118111</v>
      </c>
      <c r="D1031" s="2355">
        <f>'Part VII-Pro Forma'!D90</f>
        <v>-7043.5687485962844</v>
      </c>
      <c r="E1031" s="2355">
        <f>'Part VII-Pro Forma'!E90</f>
        <v>-11591.834621466041</v>
      </c>
      <c r="F1031" s="2355">
        <f>'Part VII-Pro Forma'!F90</f>
        <v>-16423.096909584783</v>
      </c>
      <c r="G1031" s="2355">
        <f>'Part VII-Pro Forma'!G90</f>
        <v>-21549.371874191056</v>
      </c>
      <c r="H1031" s="2355">
        <f>'Part VII-Pro Forma'!H90</f>
        <v>-26981.004791736617</v>
      </c>
      <c r="I1031" s="2355">
        <f>'Part VII-Pro Forma'!I90</f>
        <v>-32730.680994889568</v>
      </c>
      <c r="J1031" s="2355">
        <f>'Part VII-Pro Forma'!J90</f>
        <v>-38811.437268179674</v>
      </c>
      <c r="K1031" s="2355">
        <f>'Part VII-Pro Forma'!K90</f>
        <v>-45236.673609392092</v>
      </c>
      <c r="M1031" s="2176"/>
      <c r="N1031" s="2176"/>
    </row>
    <row r="1032" spans="1:14">
      <c r="A1032" s="877" t="str">
        <f>$A1002</f>
        <v>DCR Mortgage A</v>
      </c>
      <c r="B1032" s="2356">
        <f>IF(B1024=0,"",-B1023/B1024)</f>
        <v>1.049585546237134</v>
      </c>
      <c r="C1032" s="2356">
        <f t="shared" ref="C1032:K1032" si="294">IF(C1024=0,"",-C1023/C1024)</f>
        <v>1.0076568686517651</v>
      </c>
      <c r="D1032" s="2356">
        <f t="shared" si="294"/>
        <v>0.9630042400738702</v>
      </c>
      <c r="E1032" s="2356">
        <f t="shared" si="294"/>
        <v>0.91551918637495311</v>
      </c>
      <c r="F1032" s="2356">
        <f t="shared" si="294"/>
        <v>0.86507957805009461</v>
      </c>
      <c r="G1032" s="2356">
        <f t="shared" si="294"/>
        <v>0.81155996227263028</v>
      </c>
      <c r="H1032" s="2356">
        <f t="shared" si="294"/>
        <v>0.75485233172250166</v>
      </c>
      <c r="I1032" s="2356">
        <f t="shared" si="294"/>
        <v>0.69482424829697464</v>
      </c>
      <c r="J1032" s="2356">
        <f t="shared" si="294"/>
        <v>0.63133960464639982</v>
      </c>
      <c r="K1032" s="2356">
        <f t="shared" si="294"/>
        <v>0.56425850138226752</v>
      </c>
      <c r="M1032" s="2176"/>
      <c r="N1032" s="2176"/>
    </row>
    <row r="1033" spans="1:14">
      <c r="A1033" s="877"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4192</v>
      </c>
      <c r="B1036" s="2356">
        <f>IF(AND(B1024=0,B1025=0,B1026=0,B1027=0),"",-B1023/(B1024+B1025+B1026+B1027))</f>
        <v>1.049585546237134</v>
      </c>
      <c r="C1036" s="2356">
        <f t="shared" ref="C1036:K1036" si="298">IF(AND(C1024=0,C1025=0,C1026=0,C1027=0),"",-C1023/(C1024+C1025+C1026+C1027))</f>
        <v>1.0076568686517651</v>
      </c>
      <c r="D1036" s="2356">
        <f t="shared" si="298"/>
        <v>0.9630042400738702</v>
      </c>
      <c r="E1036" s="2356">
        <f t="shared" si="298"/>
        <v>0.91551918637495311</v>
      </c>
      <c r="F1036" s="2356">
        <f t="shared" si="298"/>
        <v>0.86507957805009461</v>
      </c>
      <c r="G1036" s="2356">
        <f t="shared" si="298"/>
        <v>0.81155996227263028</v>
      </c>
      <c r="H1036" s="2356">
        <f t="shared" si="298"/>
        <v>0.75485233172250166</v>
      </c>
      <c r="I1036" s="2356">
        <f t="shared" si="298"/>
        <v>0.69482424829697464</v>
      </c>
      <c r="J1036" s="2356">
        <f t="shared" si="298"/>
        <v>0.63133960464639982</v>
      </c>
      <c r="K1036" s="2356">
        <f t="shared" si="298"/>
        <v>0.56425850138226752</v>
      </c>
      <c r="M1036" s="2176"/>
      <c r="N1036" s="2176"/>
    </row>
    <row r="1037" spans="1:14">
      <c r="A1037" s="877" t="s">
        <v>801</v>
      </c>
      <c r="B1037" s="2358">
        <f>IF(OR(B1021="Choose mgt fee",B1021="Choose One!"),"",(B1015+B1016+B1017+B1018+B1019) / -(B1020+B1021+B1022))</f>
        <v>1.1668172119362772</v>
      </c>
      <c r="C1037" s="2358">
        <f t="shared" ref="C1037:K1037" si="299">IF(OR(C1021="Choose mgt fee",C1021="Choose One!"),"",(C1015+C1016+C1017+C1018+C1019) / -(C1020+C1021+C1022))</f>
        <v>1.1554885171907434</v>
      </c>
      <c r="D1037" s="2358">
        <f t="shared" si="299"/>
        <v>1.1442701999697111</v>
      </c>
      <c r="E1037" s="2358">
        <f t="shared" si="299"/>
        <v>1.1331615892982621</v>
      </c>
      <c r="F1037" s="2358">
        <f t="shared" si="299"/>
        <v>1.1221604175259488</v>
      </c>
      <c r="G1037" s="2358">
        <f t="shared" si="299"/>
        <v>1.1112647177262407</v>
      </c>
      <c r="H1037" s="2358">
        <f t="shared" si="299"/>
        <v>1.1004758469348805</v>
      </c>
      <c r="I1037" s="2358">
        <f t="shared" si="299"/>
        <v>1.0897919829957128</v>
      </c>
      <c r="J1037" s="2358">
        <f t="shared" si="299"/>
        <v>1.079211534852583</v>
      </c>
      <c r="K1037" s="2358">
        <f t="shared" si="299"/>
        <v>1.0687331141586394</v>
      </c>
      <c r="M1037" s="2176"/>
      <c r="N1037" s="2176"/>
    </row>
    <row r="1038" spans="1:14">
      <c r="A1038" s="877" t="s">
        <v>2705</v>
      </c>
      <c r="B1038" s="2355">
        <f>'Part VII-Pro Forma'!B97</f>
        <v>1150120.5414746776</v>
      </c>
      <c r="C1038" s="2355">
        <f>'Part VII-Pro Forma'!C97</f>
        <v>1113854.3638642472</v>
      </c>
      <c r="D1038" s="2355">
        <f>'Part VII-Pro Forma'!D97</f>
        <v>1075637.7227975347</v>
      </c>
      <c r="E1038" s="2355">
        <f>'Part VII-Pro Forma'!E97</f>
        <v>1035365.718669868</v>
      </c>
      <c r="F1038" s="2355">
        <f>'Part VII-Pro Forma'!F97</f>
        <v>992927.81017791911</v>
      </c>
      <c r="G1038" s="2355">
        <f>'Part VII-Pro Forma'!G97</f>
        <v>948207.51089850592</v>
      </c>
      <c r="H1038" s="2355">
        <f>'Part VII-Pro Forma'!H97</f>
        <v>901082.06954882911</v>
      </c>
      <c r="I1038" s="2355">
        <f>'Part VII-Pro Forma'!I97</f>
        <v>851422.13305050228</v>
      </c>
      <c r="J1038" s="2355">
        <f>'Part VII-Pro Forma'!J97</f>
        <v>799091.3914725295</v>
      </c>
      <c r="K1038" s="2355">
        <f>'Part VII-Pro Forma'!K97</f>
        <v>743946.20387864613</v>
      </c>
      <c r="M1038" s="2176"/>
      <c r="N1038" s="2176"/>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4156</v>
      </c>
      <c r="N1044" s="2254"/>
    </row>
    <row r="1045" spans="1:14">
      <c r="A1045" s="877" t="s">
        <v>2489</v>
      </c>
      <c r="B1045" s="2355">
        <f>'Part VII-Pro Forma'!B104</f>
        <v>903623.08529213537</v>
      </c>
      <c r="C1045" s="2355">
        <f>'Part VII-Pro Forma'!C104</f>
        <v>921695.54699797777</v>
      </c>
      <c r="D1045" s="2355">
        <f>'Part VII-Pro Forma'!D104</f>
        <v>940129.45793793758</v>
      </c>
      <c r="E1045" s="2355">
        <f>'Part VII-Pro Forma'!E104</f>
        <v>958932.04709669633</v>
      </c>
      <c r="F1045" s="2355">
        <f>'Part VII-Pro Forma'!F104</f>
        <v>978110.68803863018</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7" t="s">
        <v>1053</v>
      </c>
      <c r="B1046" s="2355">
        <f>'Part VII-Pro Forma'!B105</f>
        <v>18072.461705842707</v>
      </c>
      <c r="C1046" s="2355">
        <f>'Part VII-Pro Forma'!C105</f>
        <v>18433.910939959558</v>
      </c>
      <c r="D1046" s="2355">
        <f>'Part VII-Pro Forma'!D105</f>
        <v>18802.589158758754</v>
      </c>
      <c r="E1046" s="2355">
        <f>'Part VII-Pro Forma'!E105</f>
        <v>19178.640941933929</v>
      </c>
      <c r="F1046" s="2355">
        <f>'Part VII-Pro Forma'!F105</f>
        <v>19562.213760772607</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7" t="s">
        <v>2490</v>
      </c>
      <c r="B1047" s="2355">
        <f>'Part VII-Pro Forma'!B106</f>
        <v>-64518.688289858474</v>
      </c>
      <c r="C1047" s="2355">
        <f>'Part VII-Pro Forma'!C106</f>
        <v>-65809.062055655624</v>
      </c>
      <c r="D1047" s="2355">
        <f>'Part VII-Pro Forma'!D106</f>
        <v>-67125.243296768749</v>
      </c>
      <c r="E1047" s="2355">
        <f>'Part VII-Pro Forma'!E106</f>
        <v>-68467.748162704127</v>
      </c>
      <c r="F1047" s="2355">
        <f>'Part VII-Pro Forma'!F106</f>
        <v>-69837.103125958194</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7" t="s">
        <v>638</v>
      </c>
      <c r="B1050" s="2355">
        <f>'Part VII-Pro Forma'!B109</f>
        <v>-638146.98877440265</v>
      </c>
      <c r="C1050" s="2355">
        <f>'Part VII-Pro Forma'!C109</f>
        <v>-657291.39843763493</v>
      </c>
      <c r="D1050" s="2355">
        <f>'Part VII-Pro Forma'!D109</f>
        <v>-677010.14039076376</v>
      </c>
      <c r="E1050" s="2355">
        <f>'Part VII-Pro Forma'!E109</f>
        <v>-697320.44460248679</v>
      </c>
      <c r="F1050" s="2355">
        <f>'Part VII-Pro Forma'!F109</f>
        <v>-718240.05794056121</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7" t="s">
        <v>1153</v>
      </c>
      <c r="B1051" s="2355">
        <f>'Part VII-Pro Forma'!B110</f>
        <v>-112297</v>
      </c>
      <c r="C1051" s="2355">
        <f>'Part VII-Pro Forma'!C110</f>
        <v>-115666</v>
      </c>
      <c r="D1051" s="2355">
        <f>'Part VII-Pro Forma'!D110</f>
        <v>-119136</v>
      </c>
      <c r="E1051" s="2355">
        <f>'Part VII-Pro Forma'!E110</f>
        <v>-122710</v>
      </c>
      <c r="F1051" s="2355">
        <f>'Part VII-Pro Forma'!F110</f>
        <v>-126392</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7" t="s">
        <v>1247</v>
      </c>
      <c r="B1052" s="2355">
        <f>'Part VII-Pro Forma'!B111</f>
        <v>-59467.930544146649</v>
      </c>
      <c r="C1052" s="2355">
        <f>'Part VII-Pro Forma'!C111</f>
        <v>-61251.968460471056</v>
      </c>
      <c r="D1052" s="2355">
        <f>'Part VII-Pro Forma'!D111</f>
        <v>-63089.527514285175</v>
      </c>
      <c r="E1052" s="2355">
        <f>'Part VII-Pro Forma'!E111</f>
        <v>-64982.213339713737</v>
      </c>
      <c r="F1052" s="2355">
        <f>'Part VII-Pro Forma'!F111</f>
        <v>-66931.679739905143</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7" t="s">
        <v>1248</v>
      </c>
      <c r="B1053" s="2355">
        <f>'Part VII-Pro Forma'!B112</f>
        <v>47264.939389570303</v>
      </c>
      <c r="C1053" s="2355">
        <f>'Part VII-Pro Forma'!C112</f>
        <v>40111.028984175726</v>
      </c>
      <c r="D1053" s="2355">
        <f>'Part VII-Pro Forma'!D112</f>
        <v>32571.135894878651</v>
      </c>
      <c r="E1053" s="2355">
        <f>'Part VII-Pro Forma'!E112</f>
        <v>24630.281933725593</v>
      </c>
      <c r="F1053" s="2355">
        <f>'Part VII-Pro Forma'!F112</f>
        <v>16272.060992978193</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7" t="str">
        <f>$A1024</f>
        <v>Mortgage A</v>
      </c>
      <c r="B1054" s="2355">
        <f>'Part VII-Pro Forma'!B113</f>
        <v>-95783.104757729001</v>
      </c>
      <c r="C1054" s="2355">
        <f>'Part VII-Pro Forma'!C113</f>
        <v>-95783.104757729001</v>
      </c>
      <c r="D1054" s="2355">
        <f>'Part VII-Pro Forma'!D113</f>
        <v>-95783.104757729001</v>
      </c>
      <c r="E1054" s="2355">
        <f>'Part VII-Pro Forma'!E113</f>
        <v>-95783.104757729001</v>
      </c>
      <c r="F1054" s="2355">
        <f>'Part VII-Pro Forma'!F113</f>
        <v>-95783.104757729001</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7" t="s">
        <v>1206</v>
      </c>
      <c r="B1059" s="2355">
        <f>'Part VII-Pro Forma'!B118</f>
        <v>-3500</v>
      </c>
      <c r="C1059" s="2355">
        <f>'Part VII-Pro Forma'!C118</f>
        <v>-3500</v>
      </c>
      <c r="D1059" s="2355">
        <f>'Part VII-Pro Forma'!D118</f>
        <v>-3500</v>
      </c>
      <c r="E1059" s="2355">
        <f>'Part VII-Pro Forma'!E118</f>
        <v>-3500</v>
      </c>
      <c r="F1059" s="2355">
        <f>'Part VII-Pro Forma'!F118</f>
        <v>-3500</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7" t="s">
        <v>1207</v>
      </c>
      <c r="B1061" s="2355">
        <f>'Part VII-Pro Forma'!B120</f>
        <v>-52018.165368158698</v>
      </c>
      <c r="C1061" s="2355">
        <f>'Part VII-Pro Forma'!C120</f>
        <v>-59172.075773553275</v>
      </c>
      <c r="D1061" s="2355">
        <f>'Part VII-Pro Forma'!D120</f>
        <v>-66711.96886285035</v>
      </c>
      <c r="E1061" s="2355">
        <f>'Part VII-Pro Forma'!E120</f>
        <v>-74652.822824003408</v>
      </c>
      <c r="F1061" s="2355">
        <f>'Part VII-Pro Forma'!F120</f>
        <v>-83011.043764750808</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7" t="str">
        <f>$A1032</f>
        <v>DCR Mortgage A</v>
      </c>
      <c r="B1062" s="2356">
        <f>IF(B1054=0,"",-B1053/B1054)</f>
        <v>0.49345800085642311</v>
      </c>
      <c r="C1062" s="2356">
        <f t="shared" ref="C1062:F1062" si="300">IF(C1054=0,"",-C1053/C1054)</f>
        <v>0.41876935484218636</v>
      </c>
      <c r="D1062" s="2356">
        <f t="shared" si="300"/>
        <v>0.34005095133701435</v>
      </c>
      <c r="E1062" s="2356">
        <f t="shared" si="300"/>
        <v>0.25714641424523366</v>
      </c>
      <c r="F1062" s="2356">
        <f t="shared" si="300"/>
        <v>0.16988445962506926</v>
      </c>
      <c r="G1062" s="2355"/>
      <c r="H1062" s="2355"/>
      <c r="I1062" s="2355"/>
      <c r="J1062" s="2355"/>
      <c r="K1062" s="2355"/>
      <c r="M1062" s="2176"/>
      <c r="N1062" s="2176"/>
    </row>
    <row r="1063" spans="1:14">
      <c r="A1063" s="877"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4192</v>
      </c>
      <c r="B1066" s="2356">
        <f>IF(AND(B1054=0,B1055=0,B1056=0,B1057=0),"",-B1053/(B1054+B1055+B1056+B1057))</f>
        <v>0.49345800085642311</v>
      </c>
      <c r="C1066" s="2356">
        <f t="shared" ref="C1066:F1066" si="304">IF(AND(C1054=0,C1055=0,C1056=0,C1057=0),"",-C1053/(C1054+C1055+C1056+C1057))</f>
        <v>0.41876935484218636</v>
      </c>
      <c r="D1066" s="2356">
        <f t="shared" si="304"/>
        <v>0.34005095133701435</v>
      </c>
      <c r="E1066" s="2356">
        <f t="shared" si="304"/>
        <v>0.25714641424523366</v>
      </c>
      <c r="F1066" s="2356">
        <f t="shared" si="304"/>
        <v>0.16988445962506926</v>
      </c>
      <c r="G1066" s="2355"/>
      <c r="H1066" s="2355"/>
      <c r="I1066" s="2355"/>
      <c r="J1066" s="2355"/>
      <c r="K1066" s="2355"/>
      <c r="M1066" s="2176"/>
      <c r="N1066" s="2176"/>
    </row>
    <row r="1067" spans="1:14">
      <c r="A1067" s="877" t="s">
        <v>801</v>
      </c>
      <c r="B1067" s="2358">
        <f>IF(OR(B1051="Choose mgt fee",B1051="Choose One!"),"",(B1045+B1046+B1047+B1048+B1049) / -(B1050+B1051+B1052))</f>
        <v>1.0583581229787784</v>
      </c>
      <c r="C1067" s="2358">
        <f>IF(OR(C1051="Choose mgt fee",C1051="Choose One!"),"",(C1045+C1046+C1047+C1048+C1049) / -(C1050+C1051+C1052))</f>
        <v>1.048082688322385</v>
      </c>
      <c r="D1067" s="2358">
        <f>IF(OR(D1051="Choose mgt fee",D1051="Choose One!"),"",(D1045+D1046+D1047+D1048+D1049) / -(D1050+D1051+D1052))</f>
        <v>1.0379071040827392</v>
      </c>
      <c r="E1067" s="2358">
        <f>IF(OR(E1051="Choose mgt fee",E1051="Choose One!"),"",(E1045+E1046+E1047+E1048+E1049) / -(E1050+E1051+E1052))</f>
        <v>1.0278304289918236</v>
      </c>
      <c r="F1067" s="2358">
        <f>IF(OR(F1051="Choose mgt fee",F1051="Choose One!"),"",(F1045+F1046+F1047+F1048+F1049) / -(F1050+F1051+F1052))</f>
        <v>1.0178507111684625</v>
      </c>
      <c r="G1067" s="2355"/>
      <c r="H1067" s="2355"/>
      <c r="I1067" s="2355"/>
      <c r="J1067" s="2355"/>
      <c r="K1067" s="2355"/>
      <c r="M1067" s="2176"/>
      <c r="N1067" s="2176"/>
    </row>
    <row r="1068" spans="1:14">
      <c r="A1068" s="877" t="s">
        <v>2705</v>
      </c>
      <c r="B1068" s="2355">
        <f>'Part VII-Pro Forma'!B127</f>
        <v>685835.20405202382</v>
      </c>
      <c r="C1068" s="2355">
        <f>'Part VII-Pro Forma'!C127</f>
        <v>624598.88501510653</v>
      </c>
      <c r="D1068" s="2355">
        <f>'Part VII-Pro Forma'!D127</f>
        <v>560069.161204139</v>
      </c>
      <c r="E1068" s="2355">
        <f>'Part VII-Pro Forma'!E127</f>
        <v>492068.90709661564</v>
      </c>
      <c r="F1068" s="2355">
        <f>'Part VII-Pro Forma'!F127</f>
        <v>420411.47102524282</v>
      </c>
      <c r="G1068" s="2355"/>
      <c r="H1068" s="2355"/>
      <c r="I1068" s="2355"/>
      <c r="J1068" s="2355"/>
      <c r="K1068" s="2355"/>
      <c r="M1068" s="2176"/>
      <c r="N1068" s="2176"/>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The applicant is applying for a new HUD 221(d)(4) loan to be used as a source of funding during construction and permanent phases.  The applicant also has a letter from HUD stating that if the projext is awarded LIHTCs then it will issue a new PBRA in the form of a 20-year HAP contract.  Please see all back-up information in Tab 1.</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2016-079 The Pines Apartments,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3694</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4164</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146.25">
      <c r="A1119" s="2374" t="str">
        <f>'Part VIII-Threshold Criteria'!A34</f>
        <v>The applicant has not submitted any commitments as "Under Consideration" which need final approval before July 8, 2016.</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4447</v>
      </c>
      <c r="B1124" s="2379"/>
      <c r="C1124" s="2379"/>
      <c r="D1124" s="2379"/>
      <c r="E1124" s="2379"/>
      <c r="F1124" s="2379"/>
      <c r="G1124" s="2219" t="s">
        <v>2821</v>
      </c>
      <c r="H1124" s="2219"/>
      <c r="I1124" s="2368"/>
      <c r="J1124" s="2079"/>
      <c r="K1124" s="2368" t="s">
        <v>4045</v>
      </c>
      <c r="L1124" s="2368"/>
      <c r="M1124" s="2368"/>
      <c r="N1124" s="2368"/>
    </row>
    <row r="1125" spans="1:17" ht="13.5">
      <c r="A1125" s="2379"/>
      <c r="B1125" s="2379"/>
      <c r="C1125" s="2379"/>
      <c r="D1125" s="2379"/>
      <c r="E1125" s="2379"/>
      <c r="F1125" s="2379"/>
      <c r="G1125" s="2219" t="s">
        <v>359</v>
      </c>
      <c r="H1125" s="2219"/>
      <c r="I1125" s="2368"/>
      <c r="J1125" s="2079"/>
      <c r="K1125" s="519" t="s">
        <v>4046</v>
      </c>
      <c r="L1125" s="519"/>
      <c r="M1125" s="519"/>
      <c r="N1125" s="519"/>
      <c r="P1125" s="2380" t="s">
        <v>2849</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2820</v>
      </c>
      <c r="F1127" s="2382" t="s">
        <v>3697</v>
      </c>
      <c r="G1127" s="2382" t="s">
        <v>3696</v>
      </c>
      <c r="H1127" s="2382"/>
      <c r="I1127" s="2382"/>
      <c r="K1127" s="2382" t="s">
        <v>3697</v>
      </c>
      <c r="L1127" s="2382" t="s">
        <v>3696</v>
      </c>
      <c r="M1127" s="2382"/>
      <c r="N1127" s="2382"/>
    </row>
    <row r="1128" spans="1:17" ht="12.75" customHeight="1">
      <c r="A1128" s="2383" t="s">
        <v>3545</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3547</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3556</v>
      </c>
      <c r="F1133" s="2390">
        <f>SUM(F1128:F1132)</f>
        <v>0</v>
      </c>
      <c r="G1133" s="2391"/>
      <c r="H1133" s="2392"/>
      <c r="I1133" s="2393" t="e">
        <f>SUM(I1128:I1132)</f>
        <v>#N/A</v>
      </c>
      <c r="J1133" s="2394"/>
      <c r="K1133" s="2390">
        <f>SUM(K1128:K1132)</f>
        <v>0</v>
      </c>
      <c r="L1133" s="2394"/>
      <c r="M1133" s="2392"/>
      <c r="N1133" s="2393" t="e">
        <f>SUM(N1128:N1132)</f>
        <v>#N/A</v>
      </c>
      <c r="O1133" s="2377"/>
      <c r="P1133" s="2374" t="s">
        <v>4040</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3540</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9614942</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4047</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3556</v>
      </c>
      <c r="F1140" s="2390">
        <f>SUM(F1135:F1139)</f>
        <v>0</v>
      </c>
      <c r="G1140" s="2391"/>
      <c r="H1140" s="2392"/>
      <c r="I1140" s="2393" t="e">
        <f>SUM(I1135:I1139)</f>
        <v>#N/A</v>
      </c>
      <c r="J1140" s="2394"/>
      <c r="K1140" s="2390">
        <f>SUM(K1135:K1139)</f>
        <v>0</v>
      </c>
      <c r="L1140" s="2394"/>
      <c r="M1140" s="2392"/>
      <c r="N1140" s="2393" t="e">
        <f>SUM(N1135:N1139)</f>
        <v>#N/A</v>
      </c>
      <c r="O1140" s="2399"/>
      <c r="P1140" s="519" t="s">
        <v>4038</v>
      </c>
      <c r="Q1140" s="519"/>
    </row>
    <row r="1141" spans="1:17">
      <c r="C1141" s="2079"/>
      <c r="D1141" s="2395"/>
      <c r="E1141" s="2395"/>
      <c r="F1141" s="2396"/>
      <c r="G1141" s="2397"/>
      <c r="I1141" s="2396"/>
      <c r="K1141" s="2396"/>
      <c r="M1141" s="2377"/>
      <c r="N1141" s="2396"/>
      <c r="O1141" s="2399"/>
    </row>
    <row r="1142" spans="1:17">
      <c r="A1142" s="2219" t="s">
        <v>3541</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4039</v>
      </c>
      <c r="Q1143" s="519"/>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79"/>
      <c r="D1147" s="2389" t="s">
        <v>3556</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3542</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10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10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12384982</v>
      </c>
      <c r="Q1150" s="2402"/>
    </row>
    <row r="1151" spans="1:17" ht="12.75" customHeight="1">
      <c r="C1151" s="2079"/>
      <c r="D1151" s="2384" t="s">
        <v>2526</v>
      </c>
      <c r="E1151" s="2369">
        <v>2</v>
      </c>
      <c r="F1151" s="2385">
        <f>'Part VI-Revenues &amp; Expenses'!$L$110</f>
        <v>48</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48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12</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12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2846</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3556</v>
      </c>
      <c r="F1154" s="2390">
        <f>SUM(F1149:F1153)</f>
        <v>70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3557</v>
      </c>
      <c r="B1156" s="2079"/>
      <c r="C1156" s="2079"/>
      <c r="D1156" s="2079"/>
      <c r="E1156" s="2261"/>
      <c r="F1156" s="2406">
        <f>F1133+F1140+F1147+F1154</f>
        <v>70</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78.75">
      <c r="A1158" s="2374" t="str">
        <f>'Part VIII-Threshold Criteria'!A73</f>
        <v>The applicant does not meet or exceed any DCA project Cost Limits.</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Family</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112.5">
      <c r="A1162" s="2374" t="str">
        <f>'Part VIII-Threshold Criteria'!A77</f>
        <v>The applicant is proposing the acquisition and rehabilitation of a Family project.</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4147</v>
      </c>
      <c r="D1166" s="2397"/>
      <c r="E1166" s="2397"/>
      <c r="F1166" s="2397"/>
      <c r="G1166" s="2397"/>
      <c r="H1166" s="2397"/>
      <c r="I1166" s="2397"/>
      <c r="J1166" s="2409" t="s">
        <v>4148</v>
      </c>
      <c r="K1166" s="2397"/>
      <c r="L1166" s="2397"/>
      <c r="M1166" s="2397"/>
      <c r="O1166" s="2374"/>
      <c r="P1166" s="2372" t="str">
        <f>'Part VIII-Threshold Criteria'!P81</f>
        <v>Agree</v>
      </c>
    </row>
    <row r="1167" spans="1:17">
      <c r="B1167" s="2405" t="s">
        <v>2061</v>
      </c>
      <c r="C1167" s="2308" t="s">
        <v>3886</v>
      </c>
      <c r="D1167" s="2308"/>
      <c r="E1167" s="2308"/>
      <c r="F1167" s="2308"/>
      <c r="G1167" s="2308"/>
      <c r="H1167" s="2308"/>
      <c r="I1167" s="2308"/>
      <c r="J1167" s="2308"/>
      <c r="K1167" s="2308"/>
      <c r="L1167" s="2308"/>
      <c r="M1167" s="2308"/>
      <c r="O1167" s="2308"/>
      <c r="P1167" s="2308"/>
      <c r="Q1167" s="2308"/>
    </row>
    <row r="1168" spans="1:17" ht="101.25">
      <c r="A1168" s="2410"/>
      <c r="B1168" s="2345" t="s">
        <v>1803</v>
      </c>
      <c r="C1168" s="2308" t="s">
        <v>3754</v>
      </c>
      <c r="E1168" s="2303"/>
      <c r="F1168" s="2303"/>
      <c r="G1168" s="2303"/>
      <c r="H1168" s="2079"/>
      <c r="I1168" s="519" t="s">
        <v>2809</v>
      </c>
      <c r="J1168" s="2411" t="str">
        <f>'Part VIII-Threshold Criteria'!J83</f>
        <v>resident birthday parties, holiday themed parties, potluck dinners, etc.</v>
      </c>
      <c r="K1168" s="2411"/>
      <c r="L1168" s="2411"/>
      <c r="M1168" s="2411"/>
      <c r="N1168" s="2411"/>
      <c r="O1168" s="2411"/>
      <c r="P1168" s="2411"/>
      <c r="Q1168" s="2411"/>
    </row>
    <row r="1169" spans="1:17" ht="78.75">
      <c r="A1169" s="2410"/>
      <c r="B1169" s="2345" t="s">
        <v>1804</v>
      </c>
      <c r="C1169" s="2308" t="s">
        <v>3884</v>
      </c>
      <c r="E1169" s="2303"/>
      <c r="F1169" s="2303"/>
      <c r="G1169" s="2303"/>
      <c r="H1169" s="2079"/>
      <c r="I1169" s="519" t="s">
        <v>2809</v>
      </c>
      <c r="J1169" s="2411" t="str">
        <f>'Part VIII-Threshold Criteria'!J84</f>
        <v>resident computer training and technology skill education classes.</v>
      </c>
      <c r="K1169" s="2411"/>
      <c r="L1169" s="2411"/>
      <c r="M1169" s="2411"/>
      <c r="N1169" s="2411"/>
      <c r="O1169" s="2411"/>
      <c r="P1169" s="2411"/>
      <c r="Q1169" s="2411"/>
    </row>
    <row r="1170" spans="1:17">
      <c r="A1170" s="2410"/>
      <c r="B1170" s="2345" t="s">
        <v>1805</v>
      </c>
      <c r="C1170" s="2308" t="s">
        <v>3885</v>
      </c>
      <c r="E1170" s="2303"/>
      <c r="F1170" s="2303"/>
      <c r="G1170" s="2303"/>
      <c r="H1170" s="2079"/>
      <c r="I1170" s="519" t="s">
        <v>2809</v>
      </c>
      <c r="J1170" s="2411">
        <f>'Part VIII-Threshold Criteria'!J85</f>
        <v>0</v>
      </c>
      <c r="K1170" s="2411"/>
      <c r="L1170" s="2411"/>
      <c r="M1170" s="2411"/>
      <c r="N1170" s="2411"/>
      <c r="O1170" s="2411"/>
      <c r="P1170" s="2411"/>
      <c r="Q1170" s="2411"/>
    </row>
    <row r="1171" spans="1:17">
      <c r="A1171" s="2410"/>
      <c r="B1171" s="2345" t="s">
        <v>2448</v>
      </c>
      <c r="C1171" s="2308" t="s">
        <v>3558</v>
      </c>
      <c r="E1171" s="2303"/>
      <c r="I1171" s="519" t="s">
        <v>2809</v>
      </c>
      <c r="J1171" s="2411">
        <f>'Part VIII-Threshold Criteria'!J86</f>
        <v>0</v>
      </c>
      <c r="K1171" s="2411"/>
      <c r="L1171" s="2411"/>
      <c r="M1171" s="2411"/>
      <c r="N1171" s="2411"/>
      <c r="O1171" s="2411"/>
      <c r="P1171" s="2411"/>
      <c r="Q1171" s="2411"/>
    </row>
    <row r="1172" spans="1:17">
      <c r="A1172" s="2410"/>
      <c r="B1172" s="2405" t="s">
        <v>779</v>
      </c>
      <c r="C1172" s="2308" t="s">
        <v>3853</v>
      </c>
      <c r="D1172" s="2308"/>
      <c r="E1172" s="2303"/>
      <c r="J1172" s="519"/>
      <c r="K1172" s="519"/>
      <c r="L1172" s="519"/>
      <c r="M1172" s="519"/>
      <c r="N1172" s="519"/>
      <c r="O1172" s="519"/>
      <c r="P1172" s="519"/>
      <c r="Q1172" s="519"/>
    </row>
    <row r="1173" spans="1:17">
      <c r="A1173" s="2410"/>
      <c r="B1173" s="2373"/>
      <c r="C1173" s="504" t="s">
        <v>3887</v>
      </c>
      <c r="D1173" s="2337"/>
      <c r="E1173" s="2337"/>
      <c r="F1173" s="2337"/>
      <c r="G1173" s="2337"/>
      <c r="H1173" s="2337"/>
      <c r="I1173" s="2079"/>
      <c r="J1173" s="2079"/>
      <c r="K1173" s="2345" t="s">
        <v>779</v>
      </c>
      <c r="L1173" s="2368" t="str">
        <f>'Part VIII-Threshold Criteria'!L88</f>
        <v>N/A</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303.75">
      <c r="A1175" s="2374" t="str">
        <f>'Part VIII-Threshold Criteria'!A90</f>
        <v>The proposed Management Agent (Hallmark Management, Inc.) will work with the residents directly and continually identify the needs of the community and strive to provide social and recreational services to meet the specific changing resident needs going forward.</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79"/>
      <c r="J1179" s="2079"/>
      <c r="K1179" s="2079"/>
      <c r="L1179" s="2345" t="s">
        <v>2058</v>
      </c>
      <c r="M1179" s="2368" t="str">
        <f>'Part VIII-Threshold Criteria'!M94</f>
        <v>Gill Group (Market Analyst - David Warren)</v>
      </c>
      <c r="N1179" s="2368"/>
      <c r="O1179" s="2368"/>
      <c r="P1179" s="2079"/>
      <c r="Q1179" s="2372">
        <f>'Part VIII-Threshold Criteria'!Q94</f>
        <v>0</v>
      </c>
    </row>
    <row r="1180" spans="1:17">
      <c r="B1180" s="2373" t="s">
        <v>2061</v>
      </c>
      <c r="C1180" s="519" t="s">
        <v>2113</v>
      </c>
      <c r="D1180" s="2337"/>
      <c r="E1180" s="2337"/>
      <c r="F1180" s="2337"/>
      <c r="L1180" s="2345" t="s">
        <v>2061</v>
      </c>
      <c r="M1180" s="2368" t="str">
        <f>'Part VIII-Threshold Criteria'!M95</f>
        <v>2-4 Months (Currently 96% occupied)</v>
      </c>
      <c r="N1180" s="2368"/>
      <c r="O1180" s="2368"/>
      <c r="P1180" s="2079"/>
      <c r="Q1180" s="2372">
        <f>'Part VIII-Threshold Criteria'!Q95</f>
        <v>0</v>
      </c>
    </row>
    <row r="1181" spans="1:17">
      <c r="B1181" s="2373" t="s">
        <v>779</v>
      </c>
      <c r="C1181" s="519" t="s">
        <v>3018</v>
      </c>
      <c r="D1181" s="2337"/>
      <c r="E1181" s="2337"/>
      <c r="F1181" s="2337"/>
      <c r="L1181" s="2345" t="s">
        <v>779</v>
      </c>
      <c r="M1181" s="2412">
        <f>'Part VIII-Threshold Criteria'!M96</f>
        <v>0.99</v>
      </c>
      <c r="N1181" s="2412"/>
      <c r="O1181" s="2412"/>
      <c r="P1181" s="2413"/>
      <c r="Q1181" s="2372">
        <f>'Part VIII-Threshold Criteria'!Q96</f>
        <v>0</v>
      </c>
    </row>
    <row r="1182" spans="1:17">
      <c r="B1182" s="2373" t="s">
        <v>2193</v>
      </c>
      <c r="C1182" s="519" t="s">
        <v>4048</v>
      </c>
      <c r="D1182" s="2337"/>
      <c r="E1182" s="2337"/>
      <c r="F1182" s="2337"/>
      <c r="L1182" s="2345" t="s">
        <v>2193</v>
      </c>
      <c r="M1182" s="2412">
        <f>'Part VIII-Threshold Criteria'!M97</f>
        <v>4.9000000000000002E-2</v>
      </c>
      <c r="N1182" s="2412"/>
      <c r="O1182" s="2412"/>
      <c r="P1182" s="2413"/>
      <c r="Q1182" s="2372">
        <f>'Part VIII-Threshold Criteria'!Q97</f>
        <v>0</v>
      </c>
    </row>
    <row r="1183" spans="1:17" ht="12.75" customHeight="1">
      <c r="B1183" s="2371" t="s">
        <v>1801</v>
      </c>
      <c r="C1183" s="2374" t="s">
        <v>3717</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f>'Part VIII-Threshold Criteria'!D100</f>
        <v>0</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409.5">
      <c r="A1189" s="2374" t="str">
        <f>'Part VIII-Threshold Criteria'!A104</f>
        <v>There are not any DCA LIHTC projects that were funded in the past two years that are in close proximity to the proposed project.  The property maintains a stabilized occupancy rate and does not need to absorb any additional units.  The overall rental housing market current occupancy rate is 99.00% and the LIHTC rental housing current occupancy rate is 97.0%.  The overall capture rate for the proposed development is reasonable for the LIHTC units.  It is believed per the Market Study in Tab 5 that the proposed project is a viable development.  For further clarification please see the Market Study report in Tab 5.</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Yes</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Yes</v>
      </c>
      <c r="Q1195" s="2372">
        <f>'Part VIII-Threshold Criteria'!Q110</f>
        <v>0</v>
      </c>
    </row>
    <row r="1196" spans="1:17">
      <c r="A1196" s="2414"/>
      <c r="B1196" s="519"/>
      <c r="D1196" s="519" t="s">
        <v>573</v>
      </c>
      <c r="E1196" s="2079"/>
      <c r="F1196" s="2079"/>
      <c r="G1196" s="2079"/>
      <c r="H1196" s="2079"/>
      <c r="I1196" s="2079"/>
      <c r="L1196" s="2345" t="s">
        <v>574</v>
      </c>
      <c r="M1196" s="2368" t="str">
        <f>'Part VIII-Threshold Criteria'!M111</f>
        <v>Gill Group - (Appraisor - David Warren)</v>
      </c>
      <c r="N1196" s="2368"/>
      <c r="O1196" s="2368"/>
      <c r="P1196" s="2079"/>
      <c r="Q1196" s="2372">
        <f>'Part VIII-Threshold Criteria'!Q111</f>
        <v>0</v>
      </c>
    </row>
    <row r="1197" spans="1:17" ht="12.75" customHeight="1">
      <c r="A1197" s="2410"/>
      <c r="B1197" s="2369"/>
      <c r="C1197" s="2415" t="s">
        <v>1803</v>
      </c>
      <c r="D1197" s="2337" t="s">
        <v>3730</v>
      </c>
      <c r="E1197" s="2266"/>
      <c r="F1197" s="2266"/>
      <c r="G1197" s="2266"/>
      <c r="H1197" s="2266"/>
      <c r="I1197" s="2266"/>
      <c r="J1197" s="2266"/>
      <c r="K1197" s="2266"/>
      <c r="L1197" s="2266"/>
      <c r="M1197" s="2266"/>
      <c r="N1197" s="2266"/>
      <c r="O1197" s="2415" t="s">
        <v>1803</v>
      </c>
      <c r="P1197" s="2372" t="str">
        <f>'Part VIII-Threshold Criteria'!P112</f>
        <v>Yes</v>
      </c>
      <c r="Q1197" s="2372">
        <f>'Part VIII-Threshold Criteria'!Q112</f>
        <v>0</v>
      </c>
    </row>
    <row r="1198" spans="1:17" ht="12.75" customHeight="1">
      <c r="A1198" s="2410"/>
      <c r="B1198" s="2369"/>
      <c r="C1198" s="2345" t="s">
        <v>1804</v>
      </c>
      <c r="D1198" s="2337" t="s">
        <v>3731</v>
      </c>
      <c r="E1198" s="2266"/>
      <c r="F1198" s="2266"/>
      <c r="G1198" s="2266"/>
      <c r="H1198" s="2266"/>
      <c r="I1198" s="2266"/>
      <c r="J1198" s="2266"/>
      <c r="K1198" s="2266"/>
      <c r="L1198" s="2266"/>
      <c r="M1198" s="2266"/>
      <c r="N1198" s="2266"/>
      <c r="O1198" s="2345" t="s">
        <v>1804</v>
      </c>
      <c r="P1198" s="2372" t="str">
        <f>'Part VIII-Threshold Criteria'!P113</f>
        <v>Yes</v>
      </c>
      <c r="Q1198" s="2372">
        <f>'Part VIII-Threshold Criteria'!Q113</f>
        <v>0</v>
      </c>
    </row>
    <row r="1199" spans="1:17">
      <c r="A1199" s="2410"/>
      <c r="B1199" s="2369"/>
      <c r="C1199" s="2415" t="s">
        <v>1805</v>
      </c>
      <c r="D1199" s="519" t="s">
        <v>3019</v>
      </c>
      <c r="E1199" s="519"/>
      <c r="F1199" s="519"/>
      <c r="G1199" s="519"/>
      <c r="H1199" s="519"/>
      <c r="I1199" s="519"/>
      <c r="J1199" s="519"/>
      <c r="K1199" s="519"/>
      <c r="L1199" s="519"/>
      <c r="M1199" s="519"/>
      <c r="O1199" s="2415" t="s">
        <v>1805</v>
      </c>
      <c r="P1199" s="2372" t="str">
        <f>'Part VIII-Threshold Criteria'!P114</f>
        <v>Yes</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t="str">
        <f>'Part VIII-Threshold Criteria'!P116</f>
        <v>No</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No</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t="str">
        <f>'Part VIII-Threshold Criteria'!P119</f>
        <v>No</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168.75">
      <c r="A1207" s="2374" t="str">
        <f>'Part VIII-Threshold Criteria'!A122</f>
        <v>The project does not involve DCA Home funds, so the applicant left Sec.B Q 4) blank, as it is N/A.  Please see the Appraisal report in Tab 6.</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4049</v>
      </c>
      <c r="D1213" s="2337"/>
      <c r="E1213" s="2337"/>
      <c r="F1213" s="2337"/>
      <c r="G1213" s="2337"/>
      <c r="H1213" s="2337"/>
      <c r="I1213" s="2079"/>
      <c r="J1213" s="2079"/>
      <c r="K1213" s="2079"/>
      <c r="L1213" s="2345" t="s">
        <v>2058</v>
      </c>
      <c r="M1213" s="2368" t="str">
        <f>'Part VIII-Threshold Criteria'!M128</f>
        <v>The Gill Group, Inc. / Spectrum Environmental Inc.</v>
      </c>
      <c r="N1213" s="2368"/>
      <c r="O1213" s="2368"/>
      <c r="P1213" s="2368"/>
      <c r="Q1213" s="2372">
        <f>'Part VIII-Threshold Criteria'!Q128</f>
        <v>0</v>
      </c>
    </row>
    <row r="1214" spans="1:17">
      <c r="B1214" s="2373" t="s">
        <v>2061</v>
      </c>
      <c r="C1214" s="519" t="s">
        <v>1595</v>
      </c>
      <c r="D1214" s="2337"/>
      <c r="E1214" s="2337"/>
      <c r="F1214" s="2337"/>
      <c r="G1214" s="2337"/>
      <c r="H1214" s="2337"/>
      <c r="I1214" s="2079"/>
      <c r="J1214" s="2079"/>
      <c r="K1214" s="2337"/>
      <c r="L1214" s="2337"/>
      <c r="M1214" s="2303"/>
      <c r="O1214" s="2345" t="s">
        <v>2061</v>
      </c>
      <c r="P1214" s="2372" t="str">
        <f>'Part VIII-Threshold Criteria'!P129</f>
        <v>No</v>
      </c>
      <c r="Q1214" s="2372">
        <f>'Part VIII-Threshold Criteria'!Q129</f>
        <v>0</v>
      </c>
    </row>
    <row r="1215" spans="1:17">
      <c r="B1215" s="2373" t="s">
        <v>779</v>
      </c>
      <c r="C1215" s="519"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79"/>
      <c r="J1216" s="2079"/>
      <c r="K1216" s="2337"/>
      <c r="L1216" s="2345" t="s">
        <v>1803</v>
      </c>
      <c r="M1216" s="2368" t="str">
        <f>'Part VIII-Threshold Criteria'!M131</f>
        <v>The Gill Group, Inc. / Spectrum Environmental Inc.</v>
      </c>
      <c r="N1216" s="2368"/>
      <c r="O1216" s="2368"/>
      <c r="P1216" s="2368"/>
      <c r="Q1216" s="2372">
        <f>'Part VIII-Threshold Criteria'!Q131</f>
        <v>0</v>
      </c>
    </row>
    <row r="1217" spans="2:17">
      <c r="B1217" s="2289"/>
      <c r="C1217" s="2345" t="s">
        <v>1804</v>
      </c>
      <c r="D1217" s="519" t="s">
        <v>3732</v>
      </c>
      <c r="E1217" s="2079"/>
      <c r="F1217" s="2079"/>
      <c r="G1217" s="2079"/>
      <c r="H1217" s="519"/>
      <c r="I1217" s="2079"/>
      <c r="J1217" s="2079"/>
      <c r="K1217" s="2337"/>
      <c r="L1217" s="2303"/>
      <c r="M1217" s="2303"/>
      <c r="O1217" s="2345" t="s">
        <v>1804</v>
      </c>
      <c r="P1217" s="2372" t="str">
        <f>'Part VIII-Threshold Criteria'!P132</f>
        <v>&lt; 65 DNL</v>
      </c>
      <c r="Q1217" s="2372">
        <f>'Part VIII-Threshold Criteria'!Q132</f>
        <v>0</v>
      </c>
    </row>
    <row r="1218" spans="2:17">
      <c r="B1218" s="2289"/>
      <c r="C1218" s="2345" t="s">
        <v>1805</v>
      </c>
      <c r="D1218" s="519" t="s">
        <v>1433</v>
      </c>
      <c r="E1218" s="2079"/>
      <c r="F1218" s="2079"/>
      <c r="G1218" s="2079"/>
      <c r="H1218" s="519"/>
      <c r="I1218" s="2079"/>
      <c r="J1218" s="2079"/>
      <c r="K1218" s="2337"/>
      <c r="L1218" s="2303"/>
      <c r="M1218" s="2303"/>
      <c r="N1218" s="2303"/>
      <c r="O1218" s="2303"/>
    </row>
    <row r="1219" spans="2:17" ht="33.75">
      <c r="B1219" s="2269"/>
      <c r="C1219" s="2345"/>
      <c r="D1219" s="2337" t="str">
        <f>'Part VIII-Threshold Criteria'!D134</f>
        <v>Roadway, Railway and Airport</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9"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79"/>
      <c r="H1223" s="519"/>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79"/>
      <c r="H1224" s="519"/>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79"/>
      <c r="H1225" s="519"/>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79"/>
      <c r="H1227" s="519"/>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79"/>
      <c r="H1228" s="519"/>
      <c r="I1228" s="2079"/>
      <c r="J1228" s="2079"/>
      <c r="O1228" s="2417" t="s">
        <v>2521</v>
      </c>
      <c r="P1228" s="2372">
        <f>'Part VIII-Threshold Criteria'!P143</f>
        <v>0</v>
      </c>
      <c r="Q1228" s="2372">
        <f>'Part VIII-Threshold Criteria'!Q143</f>
        <v>0</v>
      </c>
    </row>
    <row r="1229" spans="2:17">
      <c r="B1229" s="2373"/>
      <c r="C1229" s="2345"/>
      <c r="E1229" s="2417" t="s">
        <v>2522</v>
      </c>
      <c r="F1229" s="519" t="s">
        <v>2727</v>
      </c>
      <c r="G1229" s="2079"/>
      <c r="H1229" s="519"/>
      <c r="I1229" s="2079"/>
      <c r="J1229" s="2079"/>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9" t="s">
        <v>2581</v>
      </c>
      <c r="E1232" s="2337"/>
      <c r="F1232" s="2372" t="str">
        <f>'Part VIII-Threshold Criteria'!F147</f>
        <v>No</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2922</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2923</v>
      </c>
      <c r="L1234" s="2372" t="str">
        <f>'Part VIII-Threshold Criteria'!L149</f>
        <v>No</v>
      </c>
      <c r="M1234" s="2372">
        <f>'Part VIII-Threshold Criteria'!M149</f>
        <v>0</v>
      </c>
      <c r="N1234" s="2345" t="s">
        <v>2925</v>
      </c>
      <c r="O1234" s="519" t="s">
        <v>1610</v>
      </c>
      <c r="P1234" s="2372" t="str">
        <f>'Part VIII-Threshold Criteria'!P149</f>
        <v>No</v>
      </c>
      <c r="Q1234" s="2372">
        <f>'Part VIII-Threshold Criteria'!Q149</f>
        <v>0</v>
      </c>
    </row>
    <row r="1235" spans="1:17">
      <c r="B1235" s="519"/>
      <c r="C1235" s="2345" t="s">
        <v>2448</v>
      </c>
      <c r="D1235" s="519" t="s">
        <v>2926</v>
      </c>
      <c r="E1235" s="2337"/>
      <c r="F1235" s="2372" t="str">
        <f>'Part VIII-Threshold Criteria'!F150</f>
        <v>No</v>
      </c>
      <c r="G1235" s="2372">
        <f>'Part VIII-Threshold Criteria'!G150</f>
        <v>0</v>
      </c>
      <c r="H1235" s="2345" t="s">
        <v>530</v>
      </c>
      <c r="I1235" s="519" t="s">
        <v>2921</v>
      </c>
      <c r="L1235" s="2372" t="str">
        <f>'Part VIII-Threshold Criteria'!L150</f>
        <v>No</v>
      </c>
      <c r="M1235" s="2372">
        <f>'Part VIII-Threshold Criteria'!M150</f>
        <v>0</v>
      </c>
      <c r="O1235" s="2345"/>
    </row>
    <row r="1236" spans="1:17">
      <c r="B1236" s="519"/>
      <c r="C1236" s="2345" t="s">
        <v>3037</v>
      </c>
      <c r="D1236" s="519" t="s">
        <v>2924</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3856</v>
      </c>
      <c r="D1238" s="2337"/>
      <c r="E1238" s="2337"/>
      <c r="F1238" s="2337"/>
      <c r="G1238" s="2337"/>
      <c r="H1238" s="2337"/>
      <c r="I1238" s="2079"/>
      <c r="J1238" s="2079"/>
      <c r="K1238" s="2337"/>
      <c r="L1238" s="2337"/>
      <c r="M1238" s="2303"/>
    </row>
    <row r="1239" spans="1:17">
      <c r="A1239" s="2410"/>
      <c r="B1239" s="2079"/>
      <c r="C1239" s="2345" t="s">
        <v>1803</v>
      </c>
      <c r="D1239" s="519" t="s">
        <v>2927</v>
      </c>
      <c r="E1239" s="2337"/>
      <c r="F1239" s="2337"/>
      <c r="G1239" s="2337"/>
      <c r="H1239" s="2337"/>
      <c r="O1239" s="2345" t="s">
        <v>1803</v>
      </c>
      <c r="P1239" s="2372">
        <f>'Part VIII-Threshold Criteria'!P154</f>
        <v>0</v>
      </c>
      <c r="Q1239" s="2372">
        <f>'Part VIII-Threshold Criteria'!Q154</f>
        <v>0</v>
      </c>
    </row>
    <row r="1240" spans="1:17">
      <c r="A1240" s="2410"/>
      <c r="B1240" s="2369"/>
      <c r="C1240" s="2345" t="s">
        <v>1804</v>
      </c>
      <c r="D1240" s="519" t="s">
        <v>508</v>
      </c>
      <c r="E1240" s="519"/>
      <c r="F1240" s="519"/>
      <c r="G1240" s="519"/>
      <c r="H1240" s="519"/>
      <c r="I1240" s="2079"/>
      <c r="J1240" s="2079"/>
      <c r="K1240" s="519"/>
      <c r="L1240" s="519"/>
      <c r="M1240" s="519"/>
      <c r="O1240" s="2345" t="s">
        <v>1804</v>
      </c>
      <c r="P1240" s="2372">
        <f>'Part VIII-Threshold Criteria'!P155</f>
        <v>0</v>
      </c>
      <c r="Q1240" s="2372">
        <f>'Part VIII-Threshold Criteria'!Q155</f>
        <v>0</v>
      </c>
    </row>
    <row r="1241" spans="1:17">
      <c r="A1241" s="2410"/>
      <c r="B1241" s="2369"/>
      <c r="C1241" s="2345" t="s">
        <v>1805</v>
      </c>
      <c r="D1241" s="519" t="s">
        <v>707</v>
      </c>
      <c r="E1241" s="519"/>
      <c r="F1241" s="519"/>
      <c r="G1241" s="519"/>
      <c r="H1241" s="519"/>
      <c r="I1241" s="2079"/>
      <c r="J1241" s="2079"/>
      <c r="K1241" s="519"/>
      <c r="L1241" s="519"/>
      <c r="M1241" s="519"/>
      <c r="O1241" s="2345" t="s">
        <v>1805</v>
      </c>
      <c r="P1241" s="2372">
        <f>'Part VIII-Threshold Criteria'!P156</f>
        <v>0</v>
      </c>
      <c r="Q1241" s="2372">
        <f>'Part VIII-Threshold Criteria'!Q156</f>
        <v>0</v>
      </c>
    </row>
    <row r="1242" spans="1:17">
      <c r="B1242" s="2373" t="s">
        <v>2021</v>
      </c>
      <c r="C1242" s="519" t="s">
        <v>1819</v>
      </c>
      <c r="D1242" s="2337"/>
      <c r="E1242" s="2337"/>
      <c r="F1242" s="2337"/>
      <c r="G1242" s="2337"/>
      <c r="H1242" s="2337"/>
      <c r="I1242" s="2079"/>
      <c r="J1242" s="2079"/>
      <c r="K1242" s="2337"/>
      <c r="L1242" s="2337"/>
      <c r="M1242" s="2303"/>
      <c r="O1242" s="2345" t="s">
        <v>2021</v>
      </c>
      <c r="P1242" s="2372">
        <f>'Part VIII-Threshold Criteria'!P157</f>
        <v>0</v>
      </c>
      <c r="Q1242" s="2372">
        <f>'Part VIII-Threshold Criteria'!Q157</f>
        <v>0</v>
      </c>
    </row>
    <row r="1243" spans="1:17">
      <c r="A1243" s="2419" t="s">
        <v>3718</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3559</v>
      </c>
      <c r="C1244" s="2374" t="s">
        <v>4448</v>
      </c>
      <c r="D1244" s="2374"/>
      <c r="E1244" s="2374"/>
      <c r="F1244" s="2374"/>
      <c r="G1244" s="2374"/>
      <c r="H1244" s="2374"/>
      <c r="I1244" s="2374"/>
      <c r="J1244" s="2374"/>
      <c r="K1244" s="2374"/>
      <c r="L1244" s="2374"/>
      <c r="M1244" s="2415" t="s">
        <v>3559</v>
      </c>
      <c r="N1244" s="2367" t="str">
        <f>'Part VIII-Threshold Criteria'!N159</f>
        <v>&lt;&lt;Select&gt;&gt;</v>
      </c>
      <c r="O1244" s="2367"/>
      <c r="P1244" s="2367" t="str">
        <f>'Part VIII-Threshold Criteria'!P159</f>
        <v>&lt;&lt;Select&gt;&gt;</v>
      </c>
      <c r="Q1244" s="2367"/>
    </row>
    <row r="1245" spans="1:17">
      <c r="A1245" s="2079"/>
      <c r="B1245" s="2373" t="s">
        <v>640</v>
      </c>
      <c r="C1245" s="2308" t="s">
        <v>1</v>
      </c>
      <c r="D1245" s="2420"/>
      <c r="E1245" s="2420"/>
      <c r="F1245" s="2079"/>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3560</v>
      </c>
      <c r="C1246" s="2308" t="s">
        <v>1469</v>
      </c>
      <c r="D1246" s="2421"/>
      <c r="E1246" s="2421"/>
      <c r="F1246" s="2421"/>
      <c r="G1246" s="2080"/>
      <c r="H1246" s="2080"/>
      <c r="I1246" s="2308"/>
      <c r="J1246" s="2079"/>
      <c r="K1246" s="2080"/>
      <c r="L1246" s="2080"/>
      <c r="M1246" s="2080"/>
      <c r="N1246" s="2079"/>
      <c r="O1246" s="2345" t="s">
        <v>3560</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157.5">
      <c r="A1248" s="2374" t="str">
        <f>'Part VIII-Threshold Criteria'!A163</f>
        <v>The proposed project does not involve HOME funds.  Please see the Environmental Phase I report and other items in Tab 7.</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4165</v>
      </c>
      <c r="D1254" s="519"/>
      <c r="E1254" s="519"/>
      <c r="F1254" s="519"/>
      <c r="G1254" s="519"/>
      <c r="I1254" s="519" t="s">
        <v>2811</v>
      </c>
      <c r="K1254" s="2422">
        <f>'Part VIII-Threshold Criteria'!K169</f>
        <v>43100</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Contract/Option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Hallmark Pines, LP (Site Control Improvements) and Hallmark Pines LH, LLC (Site Control Land)</v>
      </c>
      <c r="L1256" s="2368"/>
      <c r="M1256" s="2368"/>
      <c r="N1256" s="2368"/>
      <c r="O1256" s="2368"/>
      <c r="P1256" s="2368"/>
      <c r="Q1256" s="2372">
        <f>'Part VIII-Threshold Criteria'!Q171</f>
        <v>0</v>
      </c>
    </row>
    <row r="1257" spans="1:17">
      <c r="A1257" s="2289"/>
      <c r="B1257" s="2373" t="s">
        <v>2193</v>
      </c>
      <c r="C1257" s="2397" t="s">
        <v>3023</v>
      </c>
      <c r="D1257" s="2397"/>
      <c r="E1257" s="2397"/>
      <c r="F1257" s="2397"/>
      <c r="G1257" s="2397"/>
      <c r="H1257" s="2397"/>
      <c r="J1257" s="2345"/>
      <c r="K1257" s="2345"/>
      <c r="L1257" s="2345"/>
      <c r="M1257" s="2345"/>
      <c r="N1257" s="2345"/>
      <c r="O1257" s="2345" t="s">
        <v>2193</v>
      </c>
      <c r="P1257" s="2372" t="str">
        <f>'Part VIII-Threshold Criteria'!P172</f>
        <v>Yes</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146.25">
      <c r="A1259" s="2374" t="str">
        <f>'Part VIII-Threshold Criteria'!A174</f>
        <v>Please see site control documentation in the form of a contract, option, and ground lease in Tab 8 and Further Explanation in Tab 45.</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4050</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4051</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112.5">
      <c r="A1268" s="2374" t="str">
        <f>'Part VIII-Threshold Criteria'!A183</f>
        <v>Please see the site map in Tab 9 for documentation verifying legally accessible site access via public roads.</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4449</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3733</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N/Ap</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180">
      <c r="A1284" s="2374" t="str">
        <f>'Part VIII-Threshold Criteria'!A199</f>
        <v>The proposed project is an acquisition and rehabilitation of an existing property.  Please see Tab 10 for further documentation regarding site zoning.</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N/A</v>
      </c>
      <c r="L1289" s="2368"/>
      <c r="M1289" s="2368"/>
      <c r="N1289" s="2368"/>
      <c r="O1289" s="2345" t="s">
        <v>1803</v>
      </c>
      <c r="P1289" s="2372" t="str">
        <f>'Part VIII-Threshold Criteria'!P204</f>
        <v>No</v>
      </c>
      <c r="Q1289" s="2372">
        <f>'Part VIII-Threshold Criteria'!Q204</f>
        <v>0</v>
      </c>
    </row>
    <row r="1290" spans="1:17">
      <c r="A1290" s="2289"/>
      <c r="B1290" s="2369"/>
      <c r="C1290" s="2176"/>
      <c r="D1290" s="2176"/>
      <c r="E1290" s="2176"/>
      <c r="F1290" s="2176"/>
      <c r="H1290" s="2345" t="s">
        <v>1804</v>
      </c>
      <c r="I1290" s="519"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202.5">
      <c r="A1292" s="2374" t="str">
        <f>'Part VIII-Threshold Criteria'!A207</f>
        <v>The project is currently all electric (No Gas) and after the proposed rehabilitation will remain all electric (No Gas).  Electricity is currently on site.  Please see Tab 11 for the Utility Letter.</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The City of St. Marys</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The City of St. Marys</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112.5">
      <c r="A1303" s="2374" t="str">
        <f>'Part VIII-Threshold Criteria'!A218</f>
        <v>Water and Sewer are currently available on site.  Please see the Water &amp; Sewer Letter in Tab 12.</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3062</v>
      </c>
      <c r="D1309" s="2079"/>
      <c r="E1309" s="519"/>
      <c r="F1309" s="519"/>
      <c r="G1309" s="519"/>
      <c r="H1309" s="519"/>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9"/>
      <c r="D1310" s="519" t="s">
        <v>3047</v>
      </c>
      <c r="E1310" s="519"/>
      <c r="F1310" s="519"/>
      <c r="G1310" s="2427" t="str">
        <f>'Part VIII-Threshold Criteria'!G225</f>
        <v>4/28/16 &amp; 5/5/2016</v>
      </c>
      <c r="H1310" s="2427"/>
      <c r="L1310" s="2337" t="s">
        <v>3852</v>
      </c>
      <c r="M1310" s="2427">
        <f>'Part VIII-Threshold Criteria'!M225</f>
        <v>0</v>
      </c>
      <c r="N1310" s="2427"/>
    </row>
    <row r="1311" spans="1:17">
      <c r="B1311" s="2373"/>
      <c r="C1311" s="519"/>
      <c r="D1311" s="504" t="s">
        <v>3049</v>
      </c>
      <c r="E1311" s="519"/>
      <c r="F1311" s="519"/>
      <c r="G1311" s="2368" t="str">
        <f>'Part VIII-Threshold Criteria'!G226</f>
        <v>Tribune &amp; Georgian (Local Newspaper)</v>
      </c>
      <c r="H1311" s="2368"/>
      <c r="I1311" s="2368"/>
      <c r="J1311" s="2368"/>
      <c r="K1311" s="2368"/>
      <c r="L1311" s="2337"/>
      <c r="M1311" s="2368">
        <f>'Part VIII-Threshold Criteria'!M226</f>
        <v>0</v>
      </c>
      <c r="N1311" s="2368"/>
      <c r="O1311" s="2368"/>
      <c r="P1311" s="2368"/>
      <c r="Q1311" s="2368"/>
    </row>
    <row r="1312" spans="1:17">
      <c r="B1312" s="2373"/>
      <c r="C1312" s="519"/>
      <c r="D1312" s="519" t="s">
        <v>3048</v>
      </c>
      <c r="E1312" s="2079"/>
      <c r="G1312" s="2427">
        <f>'Part VIII-Threshold Criteria'!G227</f>
        <v>42502</v>
      </c>
      <c r="H1312" s="2427"/>
      <c r="I1312" s="519"/>
      <c r="J1312" s="2079"/>
      <c r="K1312" s="2079"/>
      <c r="L1312" s="2337"/>
      <c r="M1312" s="2427">
        <f>'Part VIII-Threshold Criteria'!M227</f>
        <v>0</v>
      </c>
      <c r="N1312" s="2427"/>
    </row>
    <row r="1313" spans="1:17">
      <c r="B1313" s="2373" t="s">
        <v>2061</v>
      </c>
      <c r="C1313" s="519" t="s">
        <v>2928</v>
      </c>
      <c r="D1313" s="519"/>
      <c r="E1313" s="519"/>
      <c r="F1313" s="519"/>
      <c r="G1313" s="519"/>
      <c r="H1313" s="519"/>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9" t="s">
        <v>2929</v>
      </c>
      <c r="D1314" s="519"/>
      <c r="E1314" s="519"/>
      <c r="F1314" s="519"/>
      <c r="G1314" s="519"/>
      <c r="H1314" s="519"/>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9" t="s">
        <v>3734</v>
      </c>
      <c r="D1315" s="519"/>
      <c r="E1315" s="519"/>
      <c r="F1315" s="519"/>
      <c r="G1315" s="519"/>
      <c r="H1315" s="519"/>
      <c r="I1315" s="2079"/>
      <c r="J1315" s="2079"/>
      <c r="K1315" s="2079"/>
      <c r="L1315" s="2423"/>
      <c r="M1315" s="2423"/>
      <c r="O1315" s="2345" t="s">
        <v>2193</v>
      </c>
      <c r="P1315" s="2372" t="str">
        <f>'Part VIII-Threshold Criteria'!P230</f>
        <v>Yes</v>
      </c>
      <c r="Q1315" s="2372">
        <f>'Part VIII-Threshold Criteria'!Q230</f>
        <v>0</v>
      </c>
    </row>
    <row r="1316" spans="1:17">
      <c r="B1316" s="2373" t="s">
        <v>1801</v>
      </c>
      <c r="C1316" s="519" t="s">
        <v>150</v>
      </c>
      <c r="D1316" s="519"/>
      <c r="E1316" s="519"/>
      <c r="F1316" s="519"/>
      <c r="G1316" s="519"/>
      <c r="H1316" s="519"/>
      <c r="I1316" s="2079"/>
      <c r="J1316" s="2079"/>
      <c r="K1316" s="2079"/>
      <c r="L1316" s="2079"/>
      <c r="M1316" s="2079"/>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112.5">
      <c r="A1318" s="2374" t="str">
        <f>'Part VIII-Threshold Criteria'!A233</f>
        <v>Please see Tab 13 for all back-up evidence regarding the local community and resident meeting.</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No</v>
      </c>
      <c r="Q1324" s="2372">
        <f>'Part VIII-Threshold Criteria'!Q239</f>
        <v>0</v>
      </c>
    </row>
    <row r="1325" spans="1:17">
      <c r="B1325" s="2373" t="s">
        <v>2058</v>
      </c>
      <c r="C1325" s="519" t="s">
        <v>3062</v>
      </c>
      <c r="D1325" s="2079"/>
      <c r="E1325" s="519"/>
      <c r="F1325" s="519"/>
      <c r="G1325" s="519"/>
      <c r="H1325" s="519"/>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79"/>
      <c r="K1326" s="2345" t="s">
        <v>1543</v>
      </c>
      <c r="L1326" s="2368" t="str">
        <f>'Part VIII-Threshold Criteria'!L241</f>
        <v>Room</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2061</v>
      </c>
      <c r="C1330" s="519" t="s">
        <v>2596</v>
      </c>
      <c r="D1330" s="519"/>
      <c r="E1330" s="519"/>
      <c r="F1330" s="519"/>
      <c r="G1330" s="519"/>
      <c r="H1330" s="519"/>
      <c r="I1330" s="519"/>
      <c r="J1330" s="519"/>
      <c r="K1330" s="2079"/>
      <c r="L1330" s="2079"/>
      <c r="M1330" s="2079"/>
      <c r="N1330" s="2079"/>
      <c r="O1330" s="2345" t="s">
        <v>2061</v>
      </c>
      <c r="P1330" s="2372" t="str">
        <f>'Part VIII-Threshold Criteria'!P245</f>
        <v>Agree</v>
      </c>
      <c r="Q1330" s="2372">
        <f>'Part VIII-Threshold Criteria'!Q245</f>
        <v>0</v>
      </c>
    </row>
    <row r="1331" spans="1:17">
      <c r="B1331" s="2373"/>
      <c r="C1331" s="519" t="s">
        <v>4450</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804</v>
      </c>
      <c r="J1332" s="2074" t="s">
        <v>805</v>
      </c>
      <c r="L1332" s="519" t="s">
        <v>2831</v>
      </c>
      <c r="M1332" s="2079"/>
      <c r="N1332" s="2079"/>
      <c r="O1332" s="2429"/>
      <c r="P1332" s="2204" t="s">
        <v>804</v>
      </c>
      <c r="Q1332" s="2074" t="s">
        <v>805</v>
      </c>
    </row>
    <row r="1333" spans="1:17">
      <c r="A1333" s="2079"/>
      <c r="B1333" s="2372"/>
      <c r="C1333" s="2345" t="s">
        <v>1803</v>
      </c>
      <c r="D1333" s="2374" t="str">
        <f>'Part VIII-Threshold Criteria'!D248</f>
        <v>Playground</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56.25">
      <c r="A1334" s="2079"/>
      <c r="B1334" s="2372"/>
      <c r="C1334" s="2345" t="s">
        <v>1804</v>
      </c>
      <c r="D1334" s="2374" t="str">
        <f>'Part VIII-Threshold Criteria'!D249</f>
        <v>Equipped Computer Center (With free resident Wi-Fi)</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9" t="s">
        <v>1431</v>
      </c>
      <c r="D1336" s="519"/>
      <c r="E1336" s="519"/>
      <c r="F1336" s="519"/>
      <c r="G1336" s="519"/>
      <c r="H1336" s="519"/>
      <c r="I1336" s="519"/>
      <c r="J1336" s="519"/>
      <c r="K1336" s="2079"/>
      <c r="L1336" s="519"/>
      <c r="M1336" s="519"/>
      <c r="O1336" s="2345" t="s">
        <v>779</v>
      </c>
      <c r="P1336" s="2372" t="str">
        <f>'Part VIII-Threshold Criteria'!P251</f>
        <v>Agree</v>
      </c>
      <c r="Q1336" s="2372">
        <f>'Part VIII-Threshold Criteria'!Q251</f>
        <v>0</v>
      </c>
    </row>
    <row r="1337" spans="1:17">
      <c r="B1337" s="2373"/>
      <c r="C1337" s="2345" t="s">
        <v>1803</v>
      </c>
      <c r="D1337" s="519" t="s">
        <v>3723</v>
      </c>
      <c r="E1337" s="519"/>
      <c r="F1337" s="519"/>
      <c r="G1337" s="519"/>
      <c r="H1337" s="519"/>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2932</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79"/>
      <c r="J1342" s="2079"/>
      <c r="K1342" s="2079"/>
      <c r="L1342" s="2079"/>
      <c r="M1342" s="2079"/>
      <c r="O1342" s="2345" t="s">
        <v>2918</v>
      </c>
      <c r="P1342" s="2372" t="str">
        <f>'Part VIII-Threshold Criteria'!P257</f>
        <v>Yes</v>
      </c>
      <c r="Q1342" s="2372">
        <f>'Part VIII-Threshold Criteria'!Q257</f>
        <v>0</v>
      </c>
    </row>
    <row r="1343" spans="1:17">
      <c r="B1343" s="2373"/>
      <c r="C1343" s="2345"/>
      <c r="D1343" s="519" t="s">
        <v>1546</v>
      </c>
      <c r="E1343" s="519"/>
      <c r="F1343" s="519"/>
      <c r="G1343" s="519"/>
      <c r="H1343" s="519"/>
      <c r="I1343" s="2079"/>
      <c r="J1343" s="2079"/>
      <c r="K1343" s="2079"/>
      <c r="L1343" s="2079"/>
      <c r="M1343" s="2079"/>
      <c r="O1343" s="2345" t="s">
        <v>2919</v>
      </c>
      <c r="P1343" s="2372" t="str">
        <f>'Part VIII-Threshold Criteria'!P258</f>
        <v>Yes</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2193</v>
      </c>
      <c r="C1345" s="519" t="s">
        <v>4096</v>
      </c>
      <c r="D1345" s="519"/>
      <c r="E1345" s="519"/>
      <c r="F1345" s="519"/>
      <c r="G1345" s="519"/>
      <c r="H1345" s="519"/>
      <c r="I1345" s="519"/>
      <c r="J1345" s="519"/>
      <c r="K1345" s="2079"/>
      <c r="L1345" s="519"/>
      <c r="M1345" s="519"/>
      <c r="O1345" s="2345" t="s">
        <v>2193</v>
      </c>
      <c r="P1345" s="2372" t="str">
        <f>'Part VIII-Threshold Criteria'!P260</f>
        <v>N/A</v>
      </c>
      <c r="Q1345" s="2372">
        <f>'Part VIII-Threshold Criteria'!Q260</f>
        <v>0</v>
      </c>
    </row>
    <row r="1346" spans="1:17">
      <c r="B1346" s="2373"/>
      <c r="C1346" s="2345" t="s">
        <v>1803</v>
      </c>
      <c r="D1346" s="519" t="s">
        <v>1302</v>
      </c>
      <c r="E1346" s="2079"/>
      <c r="F1346" s="2079"/>
      <c r="G1346" s="519"/>
      <c r="H1346" s="2308"/>
      <c r="I1346" s="2079"/>
      <c r="J1346" s="2308"/>
      <c r="K1346" s="2079"/>
      <c r="L1346" s="2308"/>
      <c r="M1346" s="2308"/>
      <c r="O1346" s="2345" t="s">
        <v>1803</v>
      </c>
      <c r="P1346" s="2372">
        <f>'Part VIII-Threshold Criteria'!P261</f>
        <v>0</v>
      </c>
      <c r="Q1346" s="2372">
        <f>'Part VIII-Threshold Criteria'!Q261</f>
        <v>0</v>
      </c>
    </row>
    <row r="1347" spans="1:17">
      <c r="B1347" s="2373"/>
      <c r="C1347" s="2345" t="s">
        <v>1804</v>
      </c>
      <c r="D1347" s="519" t="s">
        <v>151</v>
      </c>
      <c r="E1347" s="2079"/>
      <c r="F1347" s="2079"/>
      <c r="G1347" s="2308"/>
      <c r="H1347" s="2308"/>
      <c r="I1347" s="2079"/>
      <c r="J1347" s="2308"/>
      <c r="K1347" s="2079"/>
      <c r="L1347" s="2308"/>
      <c r="M1347" s="2308"/>
      <c r="O1347" s="2345" t="s">
        <v>1804</v>
      </c>
      <c r="P1347" s="2372">
        <f>'Part VIII-Threshold Criteria'!P262</f>
        <v>0</v>
      </c>
      <c r="Q1347" s="2372">
        <f>'Part VIII-Threshold Criteria'!Q262</f>
        <v>0</v>
      </c>
    </row>
    <row r="1348" spans="1:17">
      <c r="B1348" s="2373"/>
      <c r="C1348" s="2345" t="s">
        <v>1805</v>
      </c>
      <c r="D1348" s="2308" t="s">
        <v>4052</v>
      </c>
      <c r="E1348" s="2079"/>
      <c r="F1348" s="2079"/>
      <c r="G1348" s="2308"/>
      <c r="H1348" s="2308"/>
      <c r="I1348" s="2079"/>
      <c r="J1348" s="2308"/>
      <c r="K1348" s="2079"/>
      <c r="L1348" s="2308"/>
      <c r="M1348" s="2308"/>
      <c r="O1348" s="2345" t="s">
        <v>2454</v>
      </c>
      <c r="P1348" s="2372">
        <f>'Part VIII-Threshold Criteria'!P263</f>
        <v>0</v>
      </c>
      <c r="Q1348" s="2372">
        <f>'Part VIII-Threshold Criteria'!Q263</f>
        <v>0</v>
      </c>
    </row>
    <row r="1349" spans="1:17">
      <c r="B1349" s="519"/>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135">
      <c r="A1351" s="2374" t="str">
        <f>'Part VIII-Threshold Criteria'!A266</f>
        <v>Further details on the amenities the applicant is proposing can be found in the documentation in Tab 15 and Tab 16.</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79"/>
      <c r="E1357" s="519"/>
      <c r="F1357" s="519"/>
      <c r="G1357" s="519"/>
      <c r="H1357" s="519"/>
      <c r="I1357" s="2079"/>
      <c r="J1357" s="2079"/>
      <c r="K1357" s="2345" t="s">
        <v>2058</v>
      </c>
      <c r="L1357" s="2368" t="str">
        <f>'Part VIII-Threshold Criteria'!L272</f>
        <v>Substantial Gut Rehab</v>
      </c>
      <c r="M1357" s="2368"/>
      <c r="N1357" s="2368"/>
      <c r="O1357" s="2368"/>
      <c r="P1357" s="2368" t="str">
        <f>'Part VIII-Threshold Criteria'!P272</f>
        <v>&lt;&lt;Select&gt;&gt;</v>
      </c>
      <c r="Q1357" s="2368"/>
    </row>
    <row r="1358" spans="1:17">
      <c r="B1358" s="2373" t="s">
        <v>2061</v>
      </c>
      <c r="C1358" s="519" t="s">
        <v>2934</v>
      </c>
      <c r="D1358" s="519"/>
      <c r="E1358" s="519"/>
      <c r="F1358" s="519"/>
      <c r="G1358" s="519"/>
      <c r="H1358" s="519"/>
      <c r="I1358" s="2079"/>
      <c r="J1358" s="2079"/>
      <c r="K1358" s="2345" t="s">
        <v>2061</v>
      </c>
      <c r="L1358" s="2430">
        <f>'Part VIII-Threshold Criteria'!L273</f>
        <v>42496</v>
      </c>
      <c r="M1358" s="2430"/>
      <c r="N1358" s="2430"/>
      <c r="O1358" s="2430"/>
      <c r="P1358" s="2430">
        <f>'Part VIII-Threshold Criteria'!P273</f>
        <v>0</v>
      </c>
      <c r="Q1358" s="2430"/>
    </row>
    <row r="1359" spans="1:17">
      <c r="B1359" s="2373" t="s">
        <v>779</v>
      </c>
      <c r="C1359" s="519" t="s">
        <v>2019</v>
      </c>
      <c r="D1359" s="519"/>
      <c r="E1359" s="519"/>
      <c r="F1359" s="519"/>
      <c r="G1359" s="519"/>
      <c r="H1359" s="519"/>
      <c r="I1359" s="2079"/>
      <c r="J1359" s="2079"/>
      <c r="K1359" s="2345" t="s">
        <v>779</v>
      </c>
      <c r="L1359" s="2368" t="str">
        <f>'Part VIII-Threshold Criteria'!L274</f>
        <v>Gill Group, Inc. - (Nathan M. Gillete)</v>
      </c>
      <c r="M1359" s="2368"/>
      <c r="N1359" s="2368"/>
      <c r="O1359" s="2368"/>
      <c r="P1359" s="2368">
        <f>'Part VIII-Threshold Criteria'!P274</f>
        <v>0</v>
      </c>
      <c r="Q1359" s="2368"/>
    </row>
    <row r="1360" spans="1:17">
      <c r="B1360" s="2373" t="s">
        <v>2193</v>
      </c>
      <c r="C1360" s="519" t="s">
        <v>2631</v>
      </c>
      <c r="D1360" s="519"/>
      <c r="E1360" s="519"/>
      <c r="F1360" s="519"/>
      <c r="G1360" s="519"/>
      <c r="H1360" s="519"/>
      <c r="I1360" s="2079"/>
      <c r="J1360" s="2079"/>
      <c r="K1360" s="2079"/>
      <c r="L1360" s="2079"/>
      <c r="M1360" s="2079"/>
      <c r="O1360" s="2345" t="s">
        <v>2193</v>
      </c>
      <c r="P1360" s="2372" t="str">
        <f>'Part VIII-Threshold Criteria'!P275</f>
        <v>Yes</v>
      </c>
      <c r="Q1360" s="2372">
        <f>'Part VIII-Threshold Criteria'!Q275</f>
        <v>0</v>
      </c>
    </row>
    <row r="1361" spans="1:17" ht="12.75" customHeight="1">
      <c r="B1361" s="2371" t="s">
        <v>1801</v>
      </c>
      <c r="C1361" s="2374" t="s">
        <v>4451</v>
      </c>
      <c r="D1361" s="2374"/>
      <c r="E1361" s="2374"/>
      <c r="F1361" s="2374"/>
      <c r="G1361" s="2374"/>
      <c r="H1361" s="2374"/>
      <c r="I1361" s="2374"/>
      <c r="J1361" s="2374"/>
      <c r="K1361" s="2374"/>
      <c r="L1361" s="2374"/>
      <c r="M1361" s="2374"/>
      <c r="N1361" s="2374"/>
      <c r="O1361" s="2415" t="s">
        <v>1801</v>
      </c>
      <c r="P1361" s="2372" t="str">
        <f>'Part VIII-Threshold Criteria'!P276</f>
        <v>Agree</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180">
      <c r="A1363" s="2374" t="str">
        <f>'Part VIII-Threshold Criteria'!A278</f>
        <v>The Physical Needs Assessment and Capital Reserve Study are in Tab 15.  The inspector visited the site on April 18, 2016 (effective date of reporting).</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67.5">
      <c r="A1372" s="2374" t="str">
        <f>'Part VIII-Threshold Criteria'!A287</f>
        <v>Please see the Concept Site and Development Plan in Tab 16.</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2936</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2937</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112.5">
      <c r="A1380" s="2374" t="str">
        <f>'Part VIII-Threshold Criteria'!A295</f>
        <v>The applicant agrees to section A &amp; B as outlined above for Building Sustainability.</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3735</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3719</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4053</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4054</v>
      </c>
      <c r="E1388" s="2374"/>
      <c r="F1388" s="2374"/>
      <c r="G1388" s="2374"/>
      <c r="H1388" s="2374"/>
      <c r="I1388" s="2374"/>
      <c r="J1388" s="2374"/>
      <c r="K1388" s="2374"/>
      <c r="L1388" s="2374"/>
      <c r="M1388" s="2374"/>
      <c r="N1388" s="2374"/>
      <c r="O1388" s="2345" t="s">
        <v>4056</v>
      </c>
      <c r="P1388" s="2372" t="str">
        <f>'Part VIII-Threshold Criteria'!P303</f>
        <v>Yes</v>
      </c>
      <c r="Q1388" s="2372">
        <f>'Part VIII-Threshold Criteria'!Q303</f>
        <v>0</v>
      </c>
    </row>
    <row r="1389" spans="1:17" ht="12.75" customHeight="1">
      <c r="A1389" s="2079"/>
      <c r="B1389" s="2371"/>
      <c r="C1389" s="2415"/>
      <c r="D1389" s="2374" t="s">
        <v>4055</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4058</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4059</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4057</v>
      </c>
      <c r="E1393" s="2374"/>
      <c r="F1393" s="2374"/>
      <c r="G1393" s="2374"/>
      <c r="H1393" s="2374"/>
      <c r="I1393" s="2374"/>
      <c r="J1393" s="2374"/>
      <c r="K1393" s="2374"/>
      <c r="L1393" s="2374"/>
      <c r="M1393" s="2374"/>
      <c r="N1393" s="2374"/>
      <c r="O1393" s="2415" t="s">
        <v>4062</v>
      </c>
      <c r="P1393" s="2372" t="str">
        <f>'Part VIII-Threshold Criteria'!P308</f>
        <v>Yes</v>
      </c>
      <c r="Q1393" s="2372">
        <f>'Part VIII-Threshold Criteria'!Q308</f>
        <v>0</v>
      </c>
    </row>
    <row r="1394" spans="1:17" ht="12.75" customHeight="1">
      <c r="A1394" s="2414"/>
      <c r="B1394" s="2371"/>
      <c r="C1394" s="2415" t="s">
        <v>1804</v>
      </c>
      <c r="D1394" s="2374" t="s">
        <v>4130</v>
      </c>
      <c r="E1394" s="2374"/>
      <c r="F1394" s="2374"/>
      <c r="G1394" s="2374"/>
      <c r="H1394" s="2374"/>
      <c r="I1394" s="2374"/>
      <c r="J1394" s="2374"/>
      <c r="K1394" s="2374"/>
      <c r="L1394" s="2374"/>
      <c r="M1394" s="2374"/>
      <c r="N1394" s="2374"/>
      <c r="O1394" s="2415" t="s">
        <v>4063</v>
      </c>
      <c r="P1394" s="2372" t="str">
        <f>'Part VIII-Threshold Criteria'!P309</f>
        <v>Yes</v>
      </c>
      <c r="Q1394" s="2372">
        <f>'Part VIII-Threshold Criteria'!Q309</f>
        <v>0</v>
      </c>
    </row>
    <row r="1395" spans="1:17" ht="12.75" customHeight="1">
      <c r="A1395" s="2414"/>
      <c r="B1395" s="2371"/>
      <c r="C1395" s="2415" t="s">
        <v>1805</v>
      </c>
      <c r="D1395" s="2374" t="s">
        <v>4060</v>
      </c>
      <c r="E1395" s="2374"/>
      <c r="F1395" s="2374"/>
      <c r="G1395" s="2374"/>
      <c r="H1395" s="2374"/>
      <c r="I1395" s="2374"/>
      <c r="J1395" s="2374"/>
      <c r="K1395" s="2374"/>
      <c r="L1395" s="2374"/>
      <c r="M1395" s="2374"/>
      <c r="N1395" s="2374"/>
      <c r="O1395" s="2415" t="s">
        <v>4064</v>
      </c>
      <c r="P1395" s="2372" t="str">
        <f>'Part VIII-Threshold Criteria'!P310</f>
        <v>Yes</v>
      </c>
      <c r="Q1395" s="2372">
        <f>'Part VIII-Threshold Criteria'!Q310</f>
        <v>0</v>
      </c>
    </row>
    <row r="1396" spans="1:17" ht="12.75" customHeight="1">
      <c r="A1396" s="2414"/>
      <c r="B1396" s="2371"/>
      <c r="C1396" s="2415" t="s">
        <v>2448</v>
      </c>
      <c r="D1396" s="2374" t="s">
        <v>4061</v>
      </c>
      <c r="E1396" s="2374"/>
      <c r="F1396" s="2374"/>
      <c r="G1396" s="2374"/>
      <c r="H1396" s="2374"/>
      <c r="I1396" s="2374"/>
      <c r="J1396" s="2374"/>
      <c r="K1396" s="2374"/>
      <c r="L1396" s="2374"/>
      <c r="M1396" s="2374"/>
      <c r="N1396" s="2374"/>
      <c r="O1396" s="2415" t="s">
        <v>4065</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225">
      <c r="A1398" s="2374" t="str">
        <f>'Part VIII-Threshold Criteria'!A313</f>
        <v>The applicant agrees to comply with all accessible standards and engage a third party (non-related) DCA qualified consultant to monitor accessibility requirements and confirm compliance.</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Yes</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4452</v>
      </c>
      <c r="D1404" s="2308"/>
      <c r="E1404" s="2308"/>
      <c r="F1404" s="2308"/>
      <c r="G1404" s="2308"/>
      <c r="H1404" s="2308"/>
      <c r="I1404" s="2308"/>
      <c r="J1404" s="2308"/>
      <c r="K1404" s="2308"/>
      <c r="L1404" s="2308"/>
      <c r="M1404" s="2308"/>
      <c r="N1404" s="2415"/>
    </row>
    <row r="1405" spans="1:17" ht="12.75" customHeight="1">
      <c r="A1405" s="2410"/>
      <c r="C1405" s="2374" t="s">
        <v>3020</v>
      </c>
      <c r="D1405" s="2374"/>
      <c r="E1405" s="2374"/>
      <c r="F1405" s="2374"/>
      <c r="G1405" s="2374"/>
      <c r="H1405" s="2374"/>
      <c r="I1405" s="2374"/>
      <c r="J1405" s="2374"/>
      <c r="K1405" s="2374"/>
      <c r="L1405" s="2374"/>
      <c r="M1405" s="2374"/>
      <c r="N1405" s="2374"/>
      <c r="O1405" s="2415" t="s">
        <v>2058</v>
      </c>
      <c r="P1405" s="2372" t="str">
        <f>'Part VIII-Threshold Criteria'!P320</f>
        <v>Yes</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Rehab of bldgs w/out existing brick/stone over 40% (&amp; ineligible for historic credits) will replace &amp; upgrade existing exterior finish surfaces on all wall faces w/brick or product w/40 yr warranty</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4453</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t="str">
        <f>'Part VIII-Threshold Criteria'!D326</f>
        <v>N/A</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t="str">
        <f>'Part VIII-Threshold Criteria'!D327</f>
        <v>N/A</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101.25">
      <c r="A1415" s="2374" t="str">
        <f>'Part VIII-Threshold Criteria'!A330</f>
        <v>A copy of the approved Architectural Standards Waiver is included in Tab 19.</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3025</v>
      </c>
      <c r="C1418" s="2249"/>
      <c r="D1418" s="2377"/>
      <c r="E1418" s="2377"/>
      <c r="F1418" s="2377"/>
      <c r="G1418" s="2377"/>
      <c r="H1418" s="2377"/>
      <c r="O1418" s="2370" t="s">
        <v>1938</v>
      </c>
      <c r="P1418" s="2277">
        <f>'Part VIII-Threshold Criteria'!P333</f>
        <v>0</v>
      </c>
      <c r="Q1418" s="2277"/>
    </row>
    <row r="1419" spans="1:17">
      <c r="B1419" s="504" t="s">
        <v>3026</v>
      </c>
      <c r="P1419" s="2372" t="str">
        <f>'Part VIII-Threshold Criteria'!P334</f>
        <v>Yes</v>
      </c>
      <c r="Q1419" s="2372">
        <f>'Part VIII-Threshold Criteria'!Q334</f>
        <v>0</v>
      </c>
    </row>
    <row r="1420" spans="1:17">
      <c r="B1420" s="504" t="s">
        <v>2431</v>
      </c>
      <c r="P1420" s="2372" t="str">
        <f>'Part VIII-Threshold Criteria'!P335</f>
        <v>No</v>
      </c>
      <c r="Q1420" s="2372">
        <f>'Part VIII-Threshold Criteria'!Q335</f>
        <v>0</v>
      </c>
    </row>
    <row r="1421" spans="1:17">
      <c r="B1421" s="504" t="s">
        <v>3027</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258.75">
      <c r="A1424" s="2374" t="str">
        <f>'Part VIII-Threshold Criteria'!A339</f>
        <v>The applicant was deemed Qualified - Complete on their pre-application determination request.  The Qualification of Project Team Determination is in Tab 20.  The applicant also provided other information in Tab 20.</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4089</v>
      </c>
      <c r="D1428" s="2374"/>
      <c r="E1428" s="2374"/>
      <c r="F1428" s="2374"/>
      <c r="G1428" s="2374"/>
      <c r="H1428" s="2374"/>
      <c r="I1428" s="2374"/>
      <c r="J1428" s="2374"/>
      <c r="K1428" s="2374"/>
      <c r="L1428" s="2374"/>
      <c r="M1428" s="2374"/>
      <c r="N1428" s="2374"/>
      <c r="O1428" s="2415" t="s">
        <v>2058</v>
      </c>
      <c r="P1428" s="2372" t="str">
        <f>'Part VIII-Threshold Criteria'!P343</f>
        <v>No</v>
      </c>
      <c r="Q1428" s="2372">
        <f>'Part VIII-Threshold Criteria'!Q343</f>
        <v>0</v>
      </c>
    </row>
    <row r="1429" spans="1:17" ht="12.75" customHeight="1">
      <c r="B1429" s="2371" t="s">
        <v>2061</v>
      </c>
      <c r="C1429" s="2374" t="s">
        <v>4090</v>
      </c>
      <c r="D1429" s="2374"/>
      <c r="E1429" s="2374"/>
      <c r="F1429" s="2374"/>
      <c r="G1429" s="2374"/>
      <c r="H1429" s="2374"/>
      <c r="I1429" s="2374"/>
      <c r="J1429" s="2374"/>
      <c r="K1429" s="2374"/>
      <c r="L1429" s="2374"/>
      <c r="M1429" s="2374"/>
      <c r="N1429" s="2374"/>
      <c r="O1429" s="2415" t="s">
        <v>2061</v>
      </c>
      <c r="P1429" s="2372">
        <f>'Part VIII-Threshold Criteria'!P344</f>
        <v>0</v>
      </c>
      <c r="Q1429" s="2372">
        <f>'Part VIII-Threshold Criteria'!Q344</f>
        <v>0</v>
      </c>
    </row>
    <row r="1430" spans="1:17" ht="12.75" customHeight="1">
      <c r="B1430" s="2371" t="s">
        <v>779</v>
      </c>
      <c r="C1430" s="2374" t="s">
        <v>3736</v>
      </c>
      <c r="D1430" s="2374"/>
      <c r="E1430" s="2374"/>
      <c r="F1430" s="2374"/>
      <c r="G1430" s="2374"/>
      <c r="H1430" s="2374"/>
      <c r="I1430" s="2374"/>
      <c r="J1430" s="2374"/>
      <c r="K1430" s="2374"/>
      <c r="L1430" s="2374"/>
      <c r="M1430" s="2374"/>
      <c r="N1430" s="2374"/>
      <c r="O1430" s="2415" t="s">
        <v>779</v>
      </c>
      <c r="P1430" s="2372" t="str">
        <f>'Part VIII-Threshold Criteria'!P345</f>
        <v>No</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80">
      <c r="A1432" s="2374" t="str">
        <f>'Part VIII-Threshold Criteria'!A347</f>
        <v>The compliance history summary was submitted at pre-application in the Performance Workbook and is included in Tab 20 of this application.</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79"/>
      <c r="J1437" s="2345" t="s">
        <v>2058</v>
      </c>
      <c r="K1437" s="2368" t="str">
        <f>'Part VIII-Threshold Criteria'!K352</f>
        <v>N/A</v>
      </c>
      <c r="L1437" s="2368"/>
      <c r="M1437" s="2368"/>
      <c r="N1437" s="2368"/>
      <c r="O1437" s="2368"/>
      <c r="P1437" s="2368"/>
      <c r="Q1437" s="2372">
        <f>'Part VIII-Threshold Criteria'!Q352</f>
        <v>0</v>
      </c>
    </row>
    <row r="1438" spans="1:17" ht="12.75" customHeight="1">
      <c r="B1438" s="2371" t="s">
        <v>2061</v>
      </c>
      <c r="C1438" s="2337" t="s">
        <v>3890</v>
      </c>
      <c r="D1438" s="2337"/>
      <c r="E1438" s="2337"/>
      <c r="F1438" s="2337"/>
      <c r="G1438" s="2337"/>
      <c r="H1438" s="2337"/>
      <c r="I1438" s="2337"/>
      <c r="J1438" s="2337"/>
      <c r="K1438" s="2337"/>
      <c r="L1438" s="2337"/>
      <c r="M1438" s="2337"/>
      <c r="N1438" s="2337"/>
      <c r="O1438" s="2415" t="s">
        <v>2061</v>
      </c>
      <c r="P1438" s="2372">
        <f>'Part VIII-Threshold Criteria'!P353</f>
        <v>0</v>
      </c>
      <c r="Q1438" s="2372">
        <f>'Part VIII-Threshold Criteria'!Q353</f>
        <v>0</v>
      </c>
    </row>
    <row r="1439" spans="1:17" ht="12.75" customHeight="1">
      <c r="B1439" s="2371" t="s">
        <v>779</v>
      </c>
      <c r="C1439" s="2374" t="s">
        <v>3891</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f>'Part VIII-Threshold Criteria'!P355</f>
        <v>0</v>
      </c>
      <c r="Q1440" s="2372">
        <f>'Part VIII-Threshold Criteria'!Q355</f>
        <v>0</v>
      </c>
    </row>
    <row r="1441" spans="1:17" ht="12.75" customHeight="1">
      <c r="A1441" s="2414"/>
      <c r="B1441" s="2371" t="s">
        <v>1801</v>
      </c>
      <c r="C1441" s="2374" t="s">
        <v>3892</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3893</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2021</v>
      </c>
      <c r="C1444" s="2374" t="s">
        <v>3894</v>
      </c>
      <c r="D1444" s="2374"/>
      <c r="E1444" s="2374"/>
      <c r="F1444" s="2374"/>
      <c r="G1444" s="2374"/>
      <c r="H1444" s="2374"/>
      <c r="I1444" s="2374"/>
      <c r="J1444" s="2374"/>
      <c r="K1444" s="2374"/>
      <c r="L1444" s="2374"/>
      <c r="M1444" s="2374"/>
      <c r="N1444" s="2374"/>
      <c r="O1444" s="2415" t="s">
        <v>2021</v>
      </c>
      <c r="P1444" s="2372">
        <f>'Part VIII-Threshold Criteria'!P359</f>
        <v>0</v>
      </c>
      <c r="Q1444" s="2372">
        <f>'Part VIII-Threshold Criteria'!Q359</f>
        <v>0</v>
      </c>
    </row>
    <row r="1445" spans="1:17" ht="12.75" customHeight="1">
      <c r="B1445" s="2371" t="s">
        <v>3559</v>
      </c>
      <c r="C1445" s="2382" t="s">
        <v>3895</v>
      </c>
      <c r="D1445" s="2382"/>
      <c r="E1445" s="2382"/>
      <c r="F1445" s="2382"/>
      <c r="G1445" s="2382"/>
      <c r="H1445" s="2382"/>
      <c r="I1445" s="2382"/>
      <c r="J1445" s="2382"/>
      <c r="K1445" s="2382"/>
      <c r="L1445" s="2382"/>
      <c r="M1445" s="2382"/>
      <c r="N1445" s="2382"/>
      <c r="O1445" s="2415" t="s">
        <v>3559</v>
      </c>
      <c r="P1445" s="2372">
        <f>'Part VIII-Threshold Criteria'!P360</f>
        <v>0</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45">
      <c r="A1447" s="2374" t="str">
        <f>'Part VIII-Threshold Criteria'!A362</f>
        <v>N/A - The applicant is a for-profit entity.</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9" t="s">
        <v>1071</v>
      </c>
      <c r="E1452" s="2368" t="str">
        <f>'Part VIII-Threshold Criteria'!E367</f>
        <v>N/A</v>
      </c>
      <c r="F1452" s="2368"/>
      <c r="G1452" s="2368"/>
      <c r="H1452" s="2368"/>
      <c r="I1452" s="2368"/>
      <c r="J1452" s="519" t="s">
        <v>2765</v>
      </c>
      <c r="K1452" s="519"/>
      <c r="L1452" s="519"/>
      <c r="M1452" s="2368" t="str">
        <f>'Part VIII-Threshold Criteria'!M367</f>
        <v>N/A</v>
      </c>
      <c r="N1452" s="2368"/>
      <c r="O1452" s="2368"/>
      <c r="P1452" s="2368"/>
      <c r="Q1452" s="2368"/>
    </row>
    <row r="1453" spans="1:17">
      <c r="B1453" s="2373" t="s">
        <v>2061</v>
      </c>
      <c r="C1453" s="519" t="s">
        <v>3720</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3737</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4150</v>
      </c>
      <c r="G1455" s="2303"/>
      <c r="H1455" s="2303"/>
      <c r="I1455" s="2303"/>
      <c r="J1455" s="2308" t="s">
        <v>4151</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90">
      <c r="A1457" s="2374" t="str">
        <f>'Part VIII-Threshold Criteria'!A372</f>
        <v>N/A - The applicant is not eligible and does not involve a CHDO and/or HOME Loan.</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Yes</v>
      </c>
      <c r="Q1462" s="2372">
        <f>'Part VIII-Threshold Criteria'!Q377</f>
        <v>0</v>
      </c>
    </row>
    <row r="1463" spans="1:17">
      <c r="A1463" s="2410"/>
      <c r="B1463" s="2373" t="s">
        <v>2061</v>
      </c>
      <c r="C1463" s="519" t="s">
        <v>3896</v>
      </c>
      <c r="D1463" s="2374"/>
      <c r="E1463" s="2374"/>
      <c r="O1463" s="2345" t="s">
        <v>2061</v>
      </c>
      <c r="P1463" s="2372" t="str">
        <f>'Part VIII-Threshold Criteria'!P378</f>
        <v>No</v>
      </c>
      <c r="Q1463" s="2372">
        <f>'Part VIII-Threshold Criteria'!Q378</f>
        <v>0</v>
      </c>
    </row>
    <row r="1464" spans="1:17">
      <c r="A1464" s="2410"/>
      <c r="B1464" s="2373" t="s">
        <v>779</v>
      </c>
      <c r="C1464" s="519" t="s">
        <v>3897</v>
      </c>
      <c r="D1464" s="2374"/>
      <c r="E1464" s="2374"/>
      <c r="O1464" s="2345" t="s">
        <v>779</v>
      </c>
      <c r="P1464" s="2372" t="str">
        <f>'Part VIII-Threshold Criteria'!P379</f>
        <v>No</v>
      </c>
      <c r="Q1464" s="2372">
        <f>'Part VIII-Threshold Criteria'!Q379</f>
        <v>0</v>
      </c>
    </row>
    <row r="1465" spans="1:17">
      <c r="A1465" s="2410"/>
      <c r="B1465" s="2373" t="s">
        <v>2193</v>
      </c>
      <c r="C1465" s="519" t="s">
        <v>3898</v>
      </c>
      <c r="E1465" s="2397"/>
      <c r="O1465" s="2345" t="s">
        <v>2193</v>
      </c>
      <c r="P1465" s="2372" t="str">
        <f>'Part VIII-Threshold Criteria'!P380</f>
        <v>No</v>
      </c>
      <c r="Q1465" s="2372">
        <f>'Part VIII-Threshold Criteria'!Q380</f>
        <v>0</v>
      </c>
    </row>
    <row r="1466" spans="1:17">
      <c r="B1466" s="2373" t="s">
        <v>1801</v>
      </c>
      <c r="C1466" s="519" t="s">
        <v>2157</v>
      </c>
      <c r="E1466" s="2397"/>
      <c r="G1466" s="2345" t="s">
        <v>1801</v>
      </c>
      <c r="H1466" s="2337" t="str">
        <f>'Part VIII-Threshold Criteria'!H381</f>
        <v>N/A</v>
      </c>
      <c r="I1466" s="2337"/>
      <c r="J1466" s="2337"/>
      <c r="K1466" s="2337"/>
      <c r="L1466" s="2337"/>
      <c r="M1466" s="2337"/>
      <c r="N1466" s="2337"/>
      <c r="O1466" s="2337"/>
      <c r="P1466" s="2372" t="str">
        <f>'Part VIII-Threshold Criteria'!P381</f>
        <v>No</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90">
      <c r="A1468" s="2374" t="str">
        <f>'Part VIII-Threshold Criteria'!A383</f>
        <v>Please see the legal opinion regarding acquisition credit eligibility in Tab 24.</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9" t="s">
        <v>782</v>
      </c>
      <c r="D1473" s="2079"/>
      <c r="E1473" s="2079"/>
      <c r="F1473" s="2079"/>
      <c r="G1473" s="2079"/>
      <c r="H1473" s="2079"/>
      <c r="I1473" s="2079"/>
      <c r="J1473" s="2079"/>
      <c r="K1473" s="2079"/>
      <c r="L1473" s="2079"/>
      <c r="M1473" s="2079"/>
      <c r="N1473" s="2079"/>
      <c r="O1473" s="2345" t="s">
        <v>2058</v>
      </c>
      <c r="P1473" s="2372" t="str">
        <f>'Part VIII-Threshold Criteria'!P388</f>
        <v>Yes</v>
      </c>
      <c r="Q1473" s="2372">
        <f>'Part VIII-Threshold Criteria'!Q388</f>
        <v>0</v>
      </c>
    </row>
    <row r="1474" spans="1:17">
      <c r="A1474" s="2079"/>
      <c r="B1474" s="2373" t="s">
        <v>2061</v>
      </c>
      <c r="C1474" s="519" t="s">
        <v>3741</v>
      </c>
      <c r="D1474" s="2079"/>
      <c r="E1474" s="2079"/>
      <c r="F1474" s="2079"/>
      <c r="G1474" s="2079"/>
      <c r="H1474" s="2079"/>
      <c r="I1474" s="2079"/>
      <c r="J1474" s="2079"/>
      <c r="K1474" s="2079"/>
      <c r="L1474" s="2079"/>
      <c r="M1474" s="2079"/>
      <c r="N1474" s="2079"/>
      <c r="O1474" s="2345" t="s">
        <v>1502</v>
      </c>
      <c r="P1474" s="2372" t="str">
        <f>'Part VIII-Threshold Criteria'!P389</f>
        <v>Yes</v>
      </c>
      <c r="Q1474" s="2372">
        <f>'Part VIII-Threshold Criteria'!Q389</f>
        <v>0</v>
      </c>
    </row>
    <row r="1475" spans="1:17">
      <c r="A1475" s="2079"/>
      <c r="B1475" s="2373"/>
      <c r="C1475" s="519" t="s">
        <v>1540</v>
      </c>
      <c r="D1475" s="519"/>
      <c r="E1475" s="519"/>
      <c r="F1475" s="519"/>
      <c r="G1475" s="519"/>
      <c r="H1475" s="519"/>
      <c r="I1475" s="519"/>
      <c r="J1475" s="519"/>
      <c r="K1475" s="519"/>
      <c r="L1475" s="519"/>
      <c r="M1475" s="519"/>
      <c r="N1475" s="2079"/>
    </row>
    <row r="1476" spans="1:17">
      <c r="A1476" s="2079"/>
      <c r="B1476" s="2373"/>
      <c r="C1476" s="519" t="s">
        <v>1804</v>
      </c>
      <c r="D1476" s="519" t="s">
        <v>3738</v>
      </c>
      <c r="E1476" s="519"/>
      <c r="F1476" s="519"/>
      <c r="G1476" s="519"/>
      <c r="H1476" s="519"/>
      <c r="I1476" s="519"/>
      <c r="J1476" s="519"/>
      <c r="K1476" s="519"/>
      <c r="L1476" s="519"/>
      <c r="M1476" s="519"/>
      <c r="N1476" s="2079"/>
      <c r="O1476" s="2345" t="s">
        <v>1804</v>
      </c>
      <c r="P1476" s="2372" t="str">
        <f>'Part VIII-Threshold Criteria'!P391</f>
        <v>No</v>
      </c>
      <c r="Q1476" s="2372">
        <f>'Part VIII-Threshold Criteria'!Q391</f>
        <v>0</v>
      </c>
    </row>
    <row r="1477" spans="1:17">
      <c r="A1477" s="2079"/>
      <c r="B1477" s="2373"/>
      <c r="C1477" s="519" t="s">
        <v>3857</v>
      </c>
      <c r="D1477" s="519" t="s">
        <v>3858</v>
      </c>
      <c r="E1477" s="519"/>
      <c r="F1477" s="519"/>
      <c r="G1477" s="519"/>
      <c r="H1477" s="519"/>
      <c r="I1477" s="519"/>
      <c r="J1477" s="519"/>
      <c r="K1477" s="519"/>
      <c r="L1477" s="519"/>
      <c r="M1477" s="519"/>
      <c r="N1477" s="2079"/>
      <c r="O1477" s="2345" t="s">
        <v>1805</v>
      </c>
      <c r="P1477" s="2372" t="str">
        <f>'Part VIII-Threshold Criteria'!P392</f>
        <v>Yes</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t="str">
        <f>'Part VIII-Threshold Criteria'!P393</f>
        <v>Yes</v>
      </c>
      <c r="Q1478" s="2372">
        <f>'Part VIII-Threshold Criteria'!Q393</f>
        <v>0</v>
      </c>
    </row>
    <row r="1479" spans="1:17">
      <c r="A1479" s="2079"/>
      <c r="B1479" s="2373" t="s">
        <v>2193</v>
      </c>
      <c r="C1479" s="2308" t="s">
        <v>2938</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2281</v>
      </c>
      <c r="D1480" s="519"/>
      <c r="E1480" s="2079"/>
      <c r="F1480" s="2308"/>
      <c r="G1480" s="2269" t="str">
        <f>'Part VIII-Threshold Criteria'!G395</f>
        <v>0</v>
      </c>
      <c r="H1480" s="2262">
        <f>'Part VIII-Threshold Criteria'!H395</f>
        <v>0</v>
      </c>
      <c r="J1480" s="519" t="s">
        <v>2284</v>
      </c>
      <c r="K1480" s="2308"/>
      <c r="N1480" s="2269" t="str">
        <f>'Part VIII-Threshold Criteria'!N395</f>
        <v>0</v>
      </c>
      <c r="O1480" s="2262">
        <f>'Part VIII-Threshold Criteria'!O395</f>
        <v>0</v>
      </c>
    </row>
    <row r="1481" spans="1:17">
      <c r="A1481" s="2079"/>
      <c r="B1481" s="2373"/>
      <c r="C1481" s="519" t="s">
        <v>2282</v>
      </c>
      <c r="D1481" s="519"/>
      <c r="E1481" s="2079"/>
      <c r="F1481" s="2308"/>
      <c r="G1481" s="2269" t="str">
        <f>'Part VIII-Threshold Criteria'!G396</f>
        <v>0</v>
      </c>
      <c r="H1481" s="2262">
        <f>'Part VIII-Threshold Criteria'!H396</f>
        <v>0</v>
      </c>
      <c r="J1481" s="519" t="s">
        <v>2285</v>
      </c>
      <c r="K1481" s="2308"/>
      <c r="N1481" s="2269" t="str">
        <f>'Part VIII-Threshold Criteria'!N396</f>
        <v>0</v>
      </c>
      <c r="O1481" s="2262">
        <f>'Part VIII-Threshold Criteria'!O396</f>
        <v>0</v>
      </c>
    </row>
    <row r="1482" spans="1:17">
      <c r="A1482" s="2079"/>
      <c r="B1482" s="2373"/>
      <c r="C1482" s="519" t="s">
        <v>2283</v>
      </c>
      <c r="D1482" s="519"/>
      <c r="E1482" s="2079"/>
      <c r="F1482" s="2308"/>
      <c r="G1482" s="2269" t="str">
        <f>'Part VIII-Threshold Criteria'!G397</f>
        <v>3</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4" t="s">
        <v>2286</v>
      </c>
      <c r="D1484" s="2308"/>
      <c r="E1484" s="2308"/>
      <c r="F1484" s="2308"/>
      <c r="G1484" s="2372" t="str">
        <f>'Part VIII-Threshold Criteria'!G399</f>
        <v>Yes</v>
      </c>
      <c r="H1484" s="2372">
        <f>'Part VIII-Threshold Criteria'!H399</f>
        <v>0</v>
      </c>
      <c r="J1484" s="504" t="s">
        <v>1225</v>
      </c>
      <c r="K1484" s="2308"/>
      <c r="N1484" s="2372" t="str">
        <f>'Part VIII-Threshold Criteria'!N399</f>
        <v>Yes</v>
      </c>
      <c r="O1484" s="2372">
        <f>'Part VIII-Threshold Criteria'!O399</f>
        <v>0</v>
      </c>
    </row>
    <row r="1485" spans="1:17">
      <c r="A1485" s="2079"/>
      <c r="B1485" s="2373"/>
      <c r="C1485" s="504" t="s">
        <v>1224</v>
      </c>
      <c r="D1485" s="2308"/>
      <c r="E1485" s="2308"/>
      <c r="F1485" s="2308"/>
      <c r="G1485" s="2372" t="str">
        <f>'Part VIII-Threshold Criteria'!G400</f>
        <v>Yes</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202.5">
      <c r="A1487" s="2374" t="str">
        <f>'Part VIII-Threshold Criteria'!A402</f>
        <v>Please see all relocation documentation in Tab 25 for more information.  It is anticipated that (0) tenants will be permanently displaced because of the proposed project.</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2939</v>
      </c>
      <c r="C1491" s="2078"/>
      <c r="D1491" s="2368"/>
      <c r="E1491" s="2377"/>
      <c r="F1491" s="2377"/>
      <c r="G1491" s="2377"/>
      <c r="H1491" s="2377"/>
      <c r="O1491" s="2370" t="s">
        <v>1938</v>
      </c>
      <c r="P1491" s="2277">
        <f>'Part VIII-Threshold Criteria'!P406</f>
        <v>0</v>
      </c>
      <c r="Q1491" s="2277"/>
    </row>
    <row r="1492" spans="1:17">
      <c r="A1492" s="2249"/>
      <c r="B1492" s="2368" t="s">
        <v>3561</v>
      </c>
      <c r="C1492" s="2078"/>
      <c r="D1492" s="2368"/>
      <c r="E1492" s="2377"/>
      <c r="F1492" s="2377"/>
      <c r="G1492" s="2377"/>
      <c r="H1492" s="2377"/>
    </row>
    <row r="1493" spans="1:17" ht="12.75" customHeight="1">
      <c r="A1493" s="2414"/>
      <c r="B1493" s="2371" t="s">
        <v>2058</v>
      </c>
      <c r="C1493" s="2374" t="s">
        <v>3562</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3739</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3740</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3563</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3564</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3565</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3742</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101.25">
      <c r="A1501" s="2374" t="str">
        <f>'Part VIII-Threshold Criteria'!A416</f>
        <v>The applicant agrees to submit an (AFFH) Plan as outlined in the selections above.</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101.25">
      <c r="A1507" s="2374" t="str">
        <f>'Part VIII-Threshold Criteria'!A422</f>
        <v>The applicant agrees to all the applicable guidelines for optimal utilization of resources.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2016-079 The Pines Apartments,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4044</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57</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2902</v>
      </c>
      <c r="C1525" s="2078"/>
      <c r="D1525" s="2078"/>
      <c r="E1525" s="2078"/>
      <c r="F1525" s="2078"/>
      <c r="G1525" s="2079"/>
      <c r="H1525" s="2336" t="s">
        <v>4454</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4066</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2881</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4455</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3906</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3905</v>
      </c>
      <c r="B1532" s="2368"/>
      <c r="C1532" s="2368"/>
      <c r="D1532" s="2368"/>
      <c r="E1532" s="2345" t="s">
        <v>527</v>
      </c>
      <c r="F1532" s="2258">
        <f>SUM(F1533:F1544)</f>
        <v>0</v>
      </c>
      <c r="G1532" s="2411" t="s">
        <v>3899</v>
      </c>
      <c r="H1532" s="2411"/>
      <c r="I1532" s="2411"/>
      <c r="J1532" s="2258">
        <f>SUM(J1533:J1544)</f>
        <v>0</v>
      </c>
      <c r="K1532" s="2368" t="s">
        <v>3566</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3056</v>
      </c>
      <c r="K1535" s="2151">
        <f>'Part IX A-Scoring Criteria'!K18</f>
        <v>3</v>
      </c>
      <c r="L1535" s="2151"/>
      <c r="M1535" s="2151"/>
      <c r="N1535" s="2151"/>
      <c r="O1535" s="2433" t="s">
        <v>3056</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3056</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3901</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3902</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3903</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3904</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3907</v>
      </c>
      <c r="C1546" s="2443"/>
      <c r="D1546" s="2443"/>
      <c r="E1546" s="519"/>
      <c r="F1546" s="2443"/>
      <c r="G1546" s="2330"/>
      <c r="H1546" s="519"/>
      <c r="I1546" s="2452" t="s">
        <v>3766</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9"/>
      <c r="F1548" s="2443"/>
      <c r="G1548" s="2330"/>
      <c r="H1548" s="2220" t="s">
        <v>3908</v>
      </c>
      <c r="I1548" s="2220"/>
      <c r="J1548" s="2454">
        <f>'Part VI-Revenues &amp; Expenses'!$O$60</f>
        <v>70</v>
      </c>
      <c r="K1548" s="2456"/>
      <c r="L1548" s="2443"/>
      <c r="M1548" s="2258"/>
      <c r="N1548" s="2080"/>
      <c r="O1548" s="2443"/>
      <c r="P1548" s="2443"/>
      <c r="Q1548" s="2080"/>
      <c r="R1548" s="2453"/>
      <c r="S1548" s="2443"/>
    </row>
    <row r="1549" spans="1:19" ht="15" customHeight="1">
      <c r="A1549" s="2289"/>
      <c r="B1549" s="2337" t="s">
        <v>3909</v>
      </c>
      <c r="C1549" s="2337"/>
      <c r="D1549" s="2337"/>
      <c r="E1549" s="2337"/>
      <c r="F1549" s="2337"/>
      <c r="G1549" s="2411"/>
      <c r="H1549" s="2457" t="s">
        <v>3910</v>
      </c>
      <c r="I1549" s="2457" t="s">
        <v>3911</v>
      </c>
      <c r="J1549" s="2411"/>
      <c r="K1549" s="519" t="s">
        <v>3568</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4067</v>
      </c>
      <c r="I1550" s="2337"/>
      <c r="J1550" s="2459"/>
      <c r="K1550" s="2457" t="s">
        <v>3910</v>
      </c>
      <c r="L1550" s="2457" t="s">
        <v>3911</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3567</v>
      </c>
      <c r="E1551" s="2465"/>
      <c r="F1551" s="2465"/>
      <c r="G1551" s="2465"/>
      <c r="H1551" s="2466">
        <f>'Part IX A-Scoring Criteria'!H34</f>
        <v>15</v>
      </c>
      <c r="I1551" s="2466">
        <f>'Part IX A-Scoring Criteria'!I34</f>
        <v>0</v>
      </c>
      <c r="J1551" s="2465"/>
      <c r="K1551" s="2467">
        <f>IF(OR('Part VI-Revenues &amp; Expenses'!$O$60="", 'Part VI-Revenues &amp; Expenses'!$O$60=0),0,H1551/'Part VI-Revenues &amp; Expenses'!$O$60)</f>
        <v>0.21428571428571427</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3529</v>
      </c>
      <c r="B1552" s="2463" t="s">
        <v>2064</v>
      </c>
      <c r="C1552" s="2464">
        <v>0.2</v>
      </c>
      <c r="D1552" s="2397" t="s">
        <v>3567</v>
      </c>
      <c r="E1552" s="2465"/>
      <c r="F1552" s="2465"/>
      <c r="G1552" s="2465"/>
      <c r="H1552" s="2466">
        <f>'Part IX A-Scoring Criteria'!H35</f>
        <v>15</v>
      </c>
      <c r="I1552" s="2466">
        <f>'Part IX A-Scoring Criteria'!I35</f>
        <v>0</v>
      </c>
      <c r="J1552" s="2465"/>
      <c r="K1552" s="2467">
        <f>IF(OR('Part VI-Revenues &amp; Expenses'!$O$60="", 'Part VI-Revenues &amp; Expenses'!$O$60=0),0,H1552/'Part VI-Revenues &amp; Expenses'!$O$60)</f>
        <v>0.21428571428571427</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4456</v>
      </c>
      <c r="C1554" s="2465"/>
      <c r="D1554" s="2465"/>
      <c r="E1554" s="2426"/>
      <c r="F1554" s="2465"/>
      <c r="G1554" s="2465"/>
      <c r="H1554" s="2337" t="s">
        <v>4072</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4071</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3529</v>
      </c>
      <c r="B1556" s="2463" t="s">
        <v>2064</v>
      </c>
      <c r="C1556" s="2468" t="s">
        <v>4074</v>
      </c>
      <c r="D1556" s="2465"/>
      <c r="E1556" s="2469">
        <v>3</v>
      </c>
      <c r="F1556" s="2468" t="s">
        <v>4073</v>
      </c>
      <c r="G1556" s="2465"/>
      <c r="H1556" s="2465"/>
      <c r="I1556" s="2435" t="s">
        <v>4075</v>
      </c>
      <c r="J1556" s="2465"/>
      <c r="K1556" s="2470">
        <f>O1630</f>
        <v>2</v>
      </c>
      <c r="L1556" s="2470">
        <f>P1630</f>
        <v>0</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2824</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2810</v>
      </c>
      <c r="R1562" s="2453"/>
      <c r="S1562" s="2443"/>
    </row>
    <row r="1563" spans="1:19" ht="15">
      <c r="A1563" s="2289" t="s">
        <v>2061</v>
      </c>
      <c r="B1563" s="2277" t="s">
        <v>3630</v>
      </c>
      <c r="C1563" s="2078"/>
      <c r="D1563" s="2078"/>
      <c r="E1563" s="2443"/>
      <c r="F1563" s="2074" t="s">
        <v>3651</v>
      </c>
      <c r="G1563" s="2443"/>
      <c r="H1563" s="2068"/>
      <c r="I1563" s="2074" t="s">
        <v>3652</v>
      </c>
      <c r="J1563" s="2443"/>
      <c r="K1563" s="2443"/>
      <c r="L1563" s="2474" t="s">
        <v>3631</v>
      </c>
      <c r="M1563" s="2080">
        <v>1</v>
      </c>
      <c r="N1563" s="2345" t="s">
        <v>2061</v>
      </c>
      <c r="O1563" s="2439">
        <f>'Part IX A-Scoring Criteria'!O46</f>
        <v>1</v>
      </c>
      <c r="P1563" s="2439">
        <f>'Part IX A-Scoring Criteria'!P46</f>
        <v>0</v>
      </c>
      <c r="Q1563" s="2312" t="s">
        <v>2810</v>
      </c>
      <c r="R1563" s="2453"/>
      <c r="S1563" s="2443"/>
    </row>
    <row r="1564" spans="1:19" ht="15" customHeight="1">
      <c r="A1564" s="2289"/>
      <c r="B1564" s="2220" t="s">
        <v>4076</v>
      </c>
      <c r="C1564" s="2220"/>
      <c r="D1564" s="2220"/>
      <c r="E1564" s="2220"/>
      <c r="F1564" s="2074" t="str">
        <f>'Part IX A-Scoring Criteria'!F47</f>
        <v>Elementary, middle, or high school</v>
      </c>
      <c r="G1564" s="2074"/>
      <c r="H1564" s="2074"/>
      <c r="I1564" s="2074" t="str">
        <f>'Part IX A-Scoring Criteria'!I47</f>
        <v>St. Mary's Middle School</v>
      </c>
      <c r="J1564" s="2074"/>
      <c r="K1564" s="2074"/>
      <c r="L1564" s="2475">
        <f>'Part IX A-Scoring Criteria'!L47</f>
        <v>0.7</v>
      </c>
      <c r="M1564" s="2080"/>
      <c r="N1564" s="2473"/>
      <c r="O1564" s="2473"/>
      <c r="P1564" s="2473"/>
      <c r="Q1564" s="2312"/>
      <c r="R1564" s="2453"/>
      <c r="S1564" s="2443"/>
    </row>
    <row r="1565" spans="1:19" ht="15">
      <c r="A1565" s="2289"/>
      <c r="B1565" s="2220"/>
      <c r="C1565" s="2220"/>
      <c r="D1565" s="2220"/>
      <c r="E1565" s="2220"/>
      <c r="F1565" s="2074" t="str">
        <f>'Part IX A-Scoring Criteria'!F48</f>
        <v>Restaurants</v>
      </c>
      <c r="G1565" s="2074"/>
      <c r="H1565" s="2074"/>
      <c r="I1565" s="2074" t="str">
        <f>'Part IX A-Scoring Criteria'!I48</f>
        <v xml:space="preserve">Wendy's </v>
      </c>
      <c r="J1565" s="2074"/>
      <c r="K1565" s="2074"/>
      <c r="L1565" s="2475">
        <f>'Part IX A-Scoring Criteria'!L48</f>
        <v>0.7</v>
      </c>
      <c r="M1565" s="2080"/>
      <c r="N1565" s="2473"/>
      <c r="O1565" s="2473"/>
      <c r="P1565" s="2473"/>
      <c r="Q1565" s="2312"/>
      <c r="R1565" s="2453"/>
      <c r="S1565" s="2443"/>
    </row>
    <row r="1566" spans="1:19" ht="15">
      <c r="A1566" s="2289"/>
      <c r="B1566" s="2220"/>
      <c r="C1566" s="2220"/>
      <c r="D1566" s="2220"/>
      <c r="E1566" s="2220"/>
      <c r="F1566" s="2074" t="str">
        <f>'Part IX A-Scoring Criteria'!F49</f>
        <v>Post Office</v>
      </c>
      <c r="G1566" s="2074"/>
      <c r="H1566" s="2074"/>
      <c r="I1566" s="2074" t="str">
        <f>'Part IX A-Scoring Criteria'!I49</f>
        <v>US Post office</v>
      </c>
      <c r="J1566" s="2074"/>
      <c r="K1566" s="2074"/>
      <c r="L1566" s="2475">
        <f>'Part IX A-Scoring Criteria'!L49</f>
        <v>0.7</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213.75">
      <c r="A1569" s="2374" t="str">
        <f>'Part IX A-Scoring Criteria'!A52</f>
        <v>The area has (9) desirable activities within (1) mile and qualifies for the bonus desirable activity point.  Please see the supplied certification form and back-up documentation in Tab 27.</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2</v>
      </c>
      <c r="P1573" s="2439">
        <f>'Part IX A-Scoring Criteria'!P56</f>
        <v>0</v>
      </c>
      <c r="Q1573" s="2258" t="s">
        <v>456</v>
      </c>
      <c r="R1573" s="2443"/>
      <c r="S1573" s="2443"/>
    </row>
    <row r="1574" spans="1:19" ht="15">
      <c r="A1574" s="2440"/>
      <c r="B1574" s="519" t="s">
        <v>4457</v>
      </c>
      <c r="C1574" s="2443"/>
      <c r="D1574" s="2472"/>
      <c r="E1574" s="2443"/>
      <c r="F1574" s="2443"/>
      <c r="G1574" s="2443"/>
      <c r="H1574" s="2452"/>
      <c r="I1574" s="2336"/>
      <c r="J1574" s="2261"/>
      <c r="K1574" s="2261"/>
      <c r="L1574" s="2443"/>
      <c r="M1574" s="2258"/>
      <c r="N1574" s="2345"/>
      <c r="O1574" s="2477" t="s">
        <v>3919</v>
      </c>
      <c r="P1574" s="2477" t="s">
        <v>3920</v>
      </c>
      <c r="Q1574" s="2258"/>
      <c r="R1574" s="2443"/>
      <c r="S1574" s="2443"/>
    </row>
    <row r="1575" spans="1:19" ht="15">
      <c r="A1575" s="2440"/>
      <c r="B1575" s="2478" t="s">
        <v>2062</v>
      </c>
      <c r="C1575" s="504" t="s">
        <v>3913</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3914</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3915</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3916</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4" t="s">
        <v>3917</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4" t="s">
        <v>3918</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Rural</v>
      </c>
      <c r="K1582" s="2443"/>
      <c r="M1582" s="2258"/>
      <c r="N1582" s="2258"/>
      <c r="O1582" s="2258"/>
      <c r="P1582" s="2258"/>
      <c r="Q1582" s="2258"/>
      <c r="R1582" s="2443"/>
      <c r="S1582" s="2443"/>
    </row>
    <row r="1583" spans="1:19" ht="15" customHeight="1">
      <c r="A1583" s="2410" t="s">
        <v>2058</v>
      </c>
      <c r="B1583" s="2181" t="s">
        <v>4458</v>
      </c>
      <c r="C1583" s="2181"/>
      <c r="D1583" s="2181"/>
      <c r="E1583" s="2181"/>
      <c r="F1583" s="2181"/>
      <c r="G1583" s="2181"/>
      <c r="H1583" s="2181"/>
      <c r="I1583" s="2220" t="s">
        <v>4459</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4460</v>
      </c>
      <c r="C1584" s="2483"/>
      <c r="D1584" s="2483"/>
      <c r="E1584" s="2483"/>
      <c r="F1584" s="2483"/>
      <c r="G1584" s="2483"/>
      <c r="H1584" s="2483"/>
      <c r="I1584" s="1306" t="str">
        <f>'Part IX A-Scoring Criteria'!I67</f>
        <v>Coastal Regional Coaches of Georgia</v>
      </c>
      <c r="J1584" s="1306"/>
      <c r="K1584" s="1306"/>
      <c r="L1584" s="2484">
        <f>'Part IX A-Scoring Criteria'!L67</f>
        <v>8665436744</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4461</v>
      </c>
      <c r="C1585" s="2483"/>
      <c r="D1585" s="2483"/>
      <c r="E1585" s="2483"/>
      <c r="F1585" s="2483"/>
      <c r="G1585" s="2483"/>
      <c r="H1585" s="2483"/>
      <c r="I1585" s="2151" t="str">
        <f>'Part IX A-Scoring Criteria'!I68</f>
        <v>http://www.coastalregionalcoaches.com/CRC/Home.html</v>
      </c>
      <c r="J1585" s="2151"/>
      <c r="K1585" s="2151"/>
      <c r="L1585" s="2151"/>
      <c r="M1585" s="2480">
        <v>3</v>
      </c>
      <c r="N1585" s="2473" t="s">
        <v>779</v>
      </c>
      <c r="O1585" s="2439">
        <f>'Part IX A-Scoring Criteria'!O68</f>
        <v>0</v>
      </c>
      <c r="P1585" s="2439">
        <f>'Part IX A-Scoring Criteria'!P68</f>
        <v>0</v>
      </c>
      <c r="Q1585" s="2481" t="str">
        <f>IF(OR($O1585=$M1585,$O1585=0,$O1585=""),"","* * Check Score! * *")</f>
        <v/>
      </c>
      <c r="R1585" s="2312" t="s">
        <v>2810</v>
      </c>
      <c r="S1585" s="2482"/>
    </row>
    <row r="1586" spans="1:19" ht="15">
      <c r="A1586" s="2289" t="s">
        <v>2193</v>
      </c>
      <c r="B1586" s="2261" t="s">
        <v>4462</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4463</v>
      </c>
      <c r="C1587" s="2443"/>
      <c r="D1587" s="2443"/>
      <c r="E1587" s="2472"/>
      <c r="F1587" s="2443"/>
      <c r="G1587" s="2443"/>
      <c r="H1587" s="2443"/>
      <c r="I1587" s="2151" t="str">
        <f>'Part IX A-Scoring Criteria'!I70</f>
        <v>http://www.coastalregionalcoaches.com/CRC/Coastal_Region_Map.html</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4464</v>
      </c>
      <c r="C1589" s="2277"/>
      <c r="D1589" s="2277"/>
      <c r="E1589" s="2277"/>
      <c r="F1589" s="2277"/>
      <c r="G1589" s="2277"/>
      <c r="H1589" s="2277"/>
      <c r="I1589" s="2277"/>
      <c r="J1589" s="2277"/>
      <c r="K1589" s="2277"/>
      <c r="L1589" s="2277"/>
      <c r="M1589" s="2080">
        <v>2</v>
      </c>
      <c r="N1589" s="2473" t="s">
        <v>1802</v>
      </c>
      <c r="O1589" s="2439">
        <f>'Part IX A-Scoring Criteria'!O72</f>
        <v>2</v>
      </c>
      <c r="P1589" s="2439">
        <f>'Part IX A-Scoring Criteria'!P72</f>
        <v>0</v>
      </c>
      <c r="Q1589" s="2453" t="str">
        <f>IF(OR($O1589=$M1589,$O1589=0,$O1589=""),"","* * Check Score! * *")</f>
        <v/>
      </c>
      <c r="R1589" s="2312" t="s">
        <v>2810</v>
      </c>
      <c r="S1589" s="2458"/>
    </row>
    <row r="1590" spans="1:19" ht="15">
      <c r="A1590" s="519" t="s">
        <v>4166</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213.75">
      <c r="A1592" s="2374" t="str">
        <f>'Part IX A-Scoring Criteria'!A75</f>
        <v>The applicant has selected an on-call service that will pick-up residents on-site at The Pines Apartments.  Please see the supplied information and back-up documentation in Tab 28.</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61" t="s">
        <v>2714</v>
      </c>
      <c r="C1597" s="2443"/>
      <c r="D1597" s="2472"/>
      <c r="E1597" s="519"/>
      <c r="F1597" s="2443"/>
      <c r="G1597" s="2443"/>
      <c r="H1597" s="2443"/>
      <c r="I1597" s="2443"/>
      <c r="J1597" s="2443"/>
      <c r="K1597" s="519" t="str">
        <f>'Part IX A-Scoring Criteria'!K80</f>
        <v>N/A</v>
      </c>
      <c r="L1597" s="519"/>
      <c r="M1597" s="519"/>
      <c r="N1597" s="2443"/>
      <c r="O1597" s="2443"/>
      <c r="P1597" s="2345"/>
      <c r="Q1597" s="2258"/>
      <c r="R1597" s="2443"/>
      <c r="S1597" s="2443"/>
    </row>
    <row r="1598" spans="1:19" ht="15">
      <c r="A1598" s="2410" t="s">
        <v>2061</v>
      </c>
      <c r="B1598" s="561" t="s">
        <v>3653</v>
      </c>
      <c r="C1598" s="2443"/>
      <c r="D1598" s="2472"/>
      <c r="E1598" s="519"/>
      <c r="F1598" s="2443"/>
      <c r="G1598" s="2443"/>
      <c r="H1598" s="2443"/>
      <c r="I1598" s="2443"/>
      <c r="J1598" s="2443"/>
      <c r="K1598" s="519" t="str">
        <f>'Part IX A-Scoring Criteria'!K81</f>
        <v>N/A</v>
      </c>
      <c r="L1598" s="519"/>
      <c r="M1598" s="519"/>
      <c r="N1598" s="2443"/>
      <c r="O1598" s="2425" t="s">
        <v>2597</v>
      </c>
      <c r="P1598" s="2425" t="s">
        <v>2597</v>
      </c>
      <c r="Q1598" s="2258"/>
      <c r="R1598" s="2443"/>
      <c r="S1598" s="2443"/>
    </row>
    <row r="1599" spans="1:19" ht="15">
      <c r="A1599" s="2289" t="s">
        <v>779</v>
      </c>
      <c r="B1599" s="561" t="s">
        <v>3745</v>
      </c>
      <c r="C1599" s="2443"/>
      <c r="D1599" s="2472"/>
      <c r="E1599" s="519"/>
      <c r="F1599" s="2443"/>
      <c r="G1599" s="2443"/>
      <c r="H1599" s="2443"/>
      <c r="I1599" s="2443"/>
      <c r="J1599" s="2443"/>
      <c r="K1599" s="2443"/>
      <c r="L1599" s="2443"/>
      <c r="M1599" s="2443"/>
      <c r="N1599" s="2473" t="s">
        <v>779</v>
      </c>
      <c r="O1599" s="2372" t="str">
        <f>'Part IX A-Scoring Criteria'!O82</f>
        <v>No</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4465</v>
      </c>
      <c r="H1604" s="2443"/>
      <c r="I1604" s="2492" t="str">
        <f>'Part IX A-Scoring Criteria'!I87</f>
        <v>Earth Craft House Multifamily</v>
      </c>
      <c r="J1604" s="2492"/>
      <c r="K1604" s="2492"/>
      <c r="L1604" s="2443"/>
      <c r="M1604" s="2258"/>
      <c r="N1604" s="2487"/>
      <c r="O1604" s="2080"/>
      <c r="P1604" s="2080"/>
      <c r="Q1604" s="2491"/>
    </row>
    <row r="1605" spans="1:19" s="2489" customFormat="1" ht="12.6" customHeight="1">
      <c r="A1605" s="2488"/>
      <c r="B1605" s="2493" t="s">
        <v>2912</v>
      </c>
      <c r="G1605" s="2494"/>
      <c r="H1605" s="2472"/>
      <c r="I1605" s="2368" t="str">
        <f>'Part I-Project Information'!$H$90</f>
        <v>Rural</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4466</v>
      </c>
      <c r="C1607" s="2496"/>
      <c r="D1607" s="2496"/>
      <c r="E1607" s="2496"/>
      <c r="F1607" s="2497"/>
      <c r="G1607" s="551" t="s">
        <v>4078</v>
      </c>
      <c r="H1607" s="2498">
        <f>'Part IX A-Scoring Criteria'!H90</f>
        <v>42523</v>
      </c>
      <c r="I1607" s="2499" t="str">
        <f>'Part IX A-Scoring Criteria'!I90</f>
        <v>Martin H. Petersen ("Pete")</v>
      </c>
      <c r="J1607" s="2499"/>
      <c r="K1607" s="2499" t="str">
        <f>'Part IX A-Scoring Criteria'!K90</f>
        <v>The Hallmark Companies, Inc. / Hallmark Pines, LP</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4078</v>
      </c>
      <c r="H1608" s="2498">
        <f>'Part IX A-Scoring Criteria'!H91</f>
        <v>42523</v>
      </c>
      <c r="I1608" s="2499" t="str">
        <f>'Part IX A-Scoring Criteria'!I91</f>
        <v>William A. Glisson ("Billy")</v>
      </c>
      <c r="J1608" s="2499"/>
      <c r="K1608" s="2499" t="str">
        <f>'Part IX A-Scoring Criteria'!K91</f>
        <v>The Hallmark Companies, Inc. / Hallmark Pines, LP</v>
      </c>
      <c r="L1608" s="2499"/>
      <c r="M1608" s="2499"/>
    </row>
    <row r="1609" spans="1:19" s="2489" customFormat="1" ht="12.6" customHeight="1">
      <c r="A1609" s="2488"/>
      <c r="B1609" s="2504" t="s">
        <v>4173</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4467</v>
      </c>
      <c r="G1610" s="2494"/>
      <c r="H1610" s="2472"/>
      <c r="I1610" s="2312" t="s">
        <v>4180</v>
      </c>
      <c r="J1610" s="2505">
        <f>'Part IX A-Scoring Criteria'!J93</f>
        <v>42513</v>
      </c>
      <c r="K1610" s="2312" t="s">
        <v>4178</v>
      </c>
      <c r="L1610" s="2505">
        <f>'Part IX A-Scoring Criteria'!L93</f>
        <v>42513</v>
      </c>
      <c r="M1610" s="2258"/>
      <c r="N1610" s="2487"/>
      <c r="O1610" s="2372" t="str">
        <f>'Part IX A-Scoring Criteria'!O93</f>
        <v>Yes</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2058</v>
      </c>
      <c r="B1612" s="2507" t="s">
        <v>2408</v>
      </c>
      <c r="D1612" s="2508"/>
      <c r="H1612" s="877"/>
      <c r="I1612" s="877"/>
      <c r="J1612" s="877"/>
      <c r="K1612" s="877"/>
      <c r="L1612" s="877"/>
      <c r="M1612" s="2080">
        <v>3</v>
      </c>
      <c r="N1612" s="2500" t="s">
        <v>2058</v>
      </c>
      <c r="O1612" s="2509" t="s">
        <v>2597</v>
      </c>
      <c r="P1612" s="2509" t="s">
        <v>2597</v>
      </c>
    </row>
    <row r="1613" spans="1:19" s="2489" customFormat="1" ht="12.6" customHeight="1">
      <c r="B1613" s="551" t="s">
        <v>4171</v>
      </c>
      <c r="D1613" s="2494"/>
      <c r="H1613" s="2443"/>
      <c r="I1613" s="2443"/>
      <c r="J1613" s="2443"/>
      <c r="K1613" s="2443"/>
      <c r="L1613" s="2443"/>
      <c r="M1613" s="2258"/>
      <c r="O1613" s="2372" t="str">
        <f>'Part IX A-Scoring Criteria'!O96</f>
        <v>No</v>
      </c>
      <c r="P1613" s="2372">
        <f>'Part IX A-Scoring Criteria'!P96</f>
        <v>0</v>
      </c>
      <c r="Q1613" s="2491"/>
    </row>
    <row r="1614" spans="1:19" s="546" customFormat="1" ht="11.45" customHeight="1">
      <c r="B1614" s="2510" t="s">
        <v>2062</v>
      </c>
      <c r="C1614" s="2511" t="s">
        <v>2715</v>
      </c>
      <c r="E1614" s="1304"/>
      <c r="H1614" s="877"/>
      <c r="I1614" s="877"/>
      <c r="J1614" s="877"/>
      <c r="K1614" s="877"/>
      <c r="L1614" s="877"/>
      <c r="M1614" s="877"/>
    </row>
    <row r="1615" spans="1:19" s="546" customFormat="1" ht="11.25" customHeight="1">
      <c r="A1615" s="2512" t="str">
        <f>IF(AND(O1615="",$I$87="Earth Craft Communities"), "X","")</f>
        <v/>
      </c>
      <c r="B1615" s="2513"/>
      <c r="C1615" s="2514" t="s">
        <v>4172</v>
      </c>
      <c r="D1615" s="2514"/>
      <c r="E1615" s="2514"/>
      <c r="F1615" s="2514"/>
      <c r="G1615" s="2514"/>
      <c r="H1615" s="2397"/>
      <c r="I1615" s="2397"/>
      <c r="J1615" s="2397"/>
      <c r="K1615" s="2397"/>
      <c r="L1615" s="2505" t="str">
        <f>'Part IX A-Scoring Criteria'!L98</f>
        <v>N/A</v>
      </c>
      <c r="M1615" s="2294"/>
    </row>
    <row r="1616" spans="1:19" s="546" customFormat="1" ht="11.45" customHeight="1">
      <c r="B1616" s="2510" t="s">
        <v>2064</v>
      </c>
      <c r="C1616" s="2511" t="s">
        <v>3923</v>
      </c>
      <c r="E1616" s="1304"/>
      <c r="H1616" s="877"/>
      <c r="I1616" s="877"/>
      <c r="J1616" s="877"/>
      <c r="K1616" s="877"/>
      <c r="L1616" s="877"/>
      <c r="M1616" s="2485"/>
    </row>
    <row r="1617" spans="1:19" s="546" customFormat="1" ht="11.25" customHeight="1">
      <c r="A1617" s="2512" t="str">
        <f>IF(AND(O1617="",$I$87="LEED-ND"), "X","")</f>
        <v/>
      </c>
      <c r="B1617" s="2515" t="s">
        <v>2520</v>
      </c>
      <c r="C1617" s="2514" t="s">
        <v>4177</v>
      </c>
      <c r="D1617" s="2514"/>
      <c r="E1617" s="2514"/>
      <c r="F1617" s="2514"/>
      <c r="G1617" s="2514"/>
      <c r="H1617" s="2397"/>
      <c r="I1617" s="877"/>
      <c r="J1617" s="877"/>
      <c r="K1617" s="2397"/>
      <c r="L1617" s="2505" t="str">
        <f>'Part IX A-Scoring Criteria'!L100</f>
        <v>N/A</v>
      </c>
      <c r="M1617" s="2294"/>
    </row>
    <row r="1618" spans="1:19" s="546" customFormat="1" ht="11.25" customHeight="1">
      <c r="A1618" s="2512" t="str">
        <f>IF(AND(O1618="",$I$87="LEED-ND"), "X","")</f>
        <v/>
      </c>
      <c r="B1618" s="2515" t="s">
        <v>2521</v>
      </c>
      <c r="C1618" s="2514" t="s">
        <v>4174</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6" customFormat="1" ht="11.45" customHeight="1">
      <c r="A1619" s="2506" t="s">
        <v>2061</v>
      </c>
      <c r="B1619" s="2507" t="s">
        <v>323</v>
      </c>
      <c r="D1619" s="2508"/>
      <c r="E1619" s="2508"/>
      <c r="F1619" s="2508"/>
      <c r="H1619" s="877"/>
      <c r="I1619" s="877"/>
      <c r="J1619" s="877"/>
      <c r="K1619" s="877"/>
      <c r="L1619" s="877"/>
      <c r="M1619" s="2080">
        <v>2</v>
      </c>
      <c r="N1619" s="2473" t="s">
        <v>2061</v>
      </c>
      <c r="O1619" s="2425" t="s">
        <v>2597</v>
      </c>
      <c r="P1619" s="2425" t="s">
        <v>2597</v>
      </c>
    </row>
    <row r="1620" spans="1:19" s="2489" customFormat="1" ht="11.25" customHeight="1">
      <c r="A1620" s="1347" t="str">
        <f>IF(AND(O1620="",OR($I$87="Earth Craft House Single Family",$I$87="Earth Craft House Multifamily",$I$87="Earth Craft House Renovation",$I$87="EF Green Communities",$I$87="LEED for Homes",$I$87="NAHB Natl Green Bdlg Stds",$I$87="EnergyStar v3")), "X","")</f>
        <v/>
      </c>
      <c r="B1620" s="2516" t="s">
        <v>2062</v>
      </c>
      <c r="C1620" s="2517" t="s">
        <v>2840</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7" t="str">
        <f>IF(AND(O1621="",OR($I$87="Earth Craft House Single Family",$I$87="Earth Craft House Multifamily",$I$87="Earth Craft House Renovation",$I$87="EF Green Communities",$I$87="LEED for Homes",$I$87="NAHB Natl Green Bdlg Stds",$I$87="EnergyStar v3")), "X","")</f>
        <v/>
      </c>
      <c r="B1621" s="2516" t="s">
        <v>2064</v>
      </c>
      <c r="C1621" s="2517" t="s">
        <v>2837</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7" t="str">
        <f>IF(AND(O1622="",OR($I$87="Earth Craft House Single Family",$I$87="Earth Craft House Multifamily",$I$87="Earth Craft House Renovation",$I$87="EF Green Communities",$I$87="LEED for Homes",$I$87="NAHB Natl Green Bdlg Stds",$I$87="EnergyStar v3")), "X","")</f>
        <v/>
      </c>
      <c r="B1622" s="2516" t="s">
        <v>2622</v>
      </c>
      <c r="C1622" s="2517" t="s">
        <v>2838</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7" t="str">
        <f>IF(AND(O1623="",OR($I$87="Earth Craft House Single Family",$I$87="Earth Craft House Multifamily",$I$87="Earth Craft House Renovation",$I$87="EF Green Communities",$I$87="LEED for Homes",$I$87="NAHB Natl Green Bdlg Stds",$I$87="EnergyStar v3")), "X","")</f>
        <v/>
      </c>
      <c r="B1623" s="2516" t="s">
        <v>1270</v>
      </c>
      <c r="C1623" s="2517" t="s">
        <v>2839</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202.5">
      <c r="A1626" s="2374" t="str">
        <f>'Part IX A-Scoring Criteria'!A109</f>
        <v>The applicant will be seeking the EarthCraft Multi-Family Certification for the project.  The applicable scoring sheet and other back-up information is located in Tab 30.</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4" t="s">
        <v>3924</v>
      </c>
      <c r="I1630" s="2458"/>
      <c r="J1630" s="2458"/>
      <c r="K1630" s="2458"/>
      <c r="L1630" s="2458"/>
      <c r="M1630" s="2258">
        <v>8</v>
      </c>
      <c r="N1630" s="2080"/>
      <c r="O1630" s="2439">
        <f>'Part IX A-Scoring Criteria'!O113</f>
        <v>2</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3927</v>
      </c>
      <c r="B1632" s="2277" t="s">
        <v>3925</v>
      </c>
      <c r="C1632" s="2458"/>
      <c r="D1632" s="2452"/>
      <c r="E1632" s="2452"/>
      <c r="F1632" s="2458"/>
      <c r="G1632" s="2458"/>
      <c r="H1632" s="2074"/>
      <c r="I1632" s="2458"/>
      <c r="J1632" s="2458"/>
      <c r="K1632" s="2458"/>
      <c r="L1632" s="2458"/>
      <c r="M1632" s="2253">
        <v>3</v>
      </c>
      <c r="N1632" s="2458"/>
      <c r="O1632" s="2439">
        <f>'Part IX A-Scoring Criteria'!O115</f>
        <v>1</v>
      </c>
      <c r="P1632" s="2258">
        <f>'Part IX A-Scoring Criteria'!P115</f>
        <v>0</v>
      </c>
      <c r="Q1632" s="2258"/>
      <c r="R1632" s="2443"/>
      <c r="S1632" s="2458"/>
    </row>
    <row r="1633" spans="1:19">
      <c r="A1633" s="2519"/>
      <c r="B1633" s="2261" t="s">
        <v>2912</v>
      </c>
      <c r="C1633" s="2259"/>
      <c r="D1633" s="2259"/>
      <c r="E1633" s="2277" t="str">
        <f>'Part I-Project Information'!$H$90</f>
        <v>Rural</v>
      </c>
      <c r="O1633" s="2425" t="s">
        <v>2597</v>
      </c>
      <c r="P1633" s="2425" t="s">
        <v>2597</v>
      </c>
    </row>
    <row r="1634" spans="1:19" ht="12.75" customHeight="1">
      <c r="A1634" s="2519"/>
      <c r="B1634" s="2520" t="s">
        <v>2062</v>
      </c>
      <c r="C1634" s="504" t="s">
        <v>2785</v>
      </c>
      <c r="M1634" s="2253"/>
      <c r="O1634" s="2372" t="str">
        <f>'Part IX A-Scoring Criteria'!O117</f>
        <v>Yes</v>
      </c>
      <c r="P1634" s="2372">
        <f>'Part IX A-Scoring Criteria'!P117</f>
        <v>0</v>
      </c>
      <c r="Q1634" s="2521" t="str">
        <f>IF(AND(O1634="Yes",O1637="Yes"),"Only 1 or 4 can be 'Yes'!","")</f>
        <v/>
      </c>
      <c r="R1634" s="2521"/>
    </row>
    <row r="1635" spans="1:19" ht="12.75" customHeight="1">
      <c r="B1635" s="2520" t="s">
        <v>2064</v>
      </c>
      <c r="C1635" s="504" t="s">
        <v>2853</v>
      </c>
      <c r="D1635" s="2522">
        <f>'Part IX A-Scoring Criteria'!D118</f>
        <v>0.2</v>
      </c>
      <c r="E1635" s="504" t="s">
        <v>2854</v>
      </c>
      <c r="G1635" s="504" t="s">
        <v>2474</v>
      </c>
      <c r="K1635" s="519" t="s">
        <v>2852</v>
      </c>
      <c r="L1635" s="2523">
        <f>'Part IX A-Scoring Criteria'!L118</f>
        <v>0.15670000000000001</v>
      </c>
      <c r="M1635" s="2368" t="str">
        <f>IF(L1635&gt;D1635,"CHECK ACTUAL PERCENT!!!","")</f>
        <v/>
      </c>
      <c r="N1635" s="2417"/>
      <c r="O1635" s="2255"/>
      <c r="P1635" s="2255"/>
      <c r="Q1635" s="2521"/>
      <c r="R1635" s="2521"/>
    </row>
    <row r="1636" spans="1:19" ht="12.75" customHeight="1">
      <c r="B1636" s="2520" t="s">
        <v>2622</v>
      </c>
      <c r="C1636" s="504" t="s">
        <v>2475</v>
      </c>
      <c r="G1636" s="504" t="s">
        <v>2476</v>
      </c>
      <c r="K1636" s="2468" t="s">
        <v>2844</v>
      </c>
      <c r="L1636" s="2468" t="str">
        <f>'Part IX A-Scoring Criteria'!L119</f>
        <v>Middle</v>
      </c>
      <c r="N1636" s="2253"/>
      <c r="O1636" s="2255"/>
      <c r="P1636" s="2255"/>
      <c r="Q1636" s="2521"/>
      <c r="R1636" s="2521"/>
    </row>
    <row r="1637" spans="1:19" ht="12.75" customHeight="1">
      <c r="B1637" s="2520" t="s">
        <v>1270</v>
      </c>
      <c r="C1637" s="2382" t="s">
        <v>4468</v>
      </c>
      <c r="D1637" s="2382"/>
      <c r="E1637" s="2382"/>
      <c r="F1637" s="2382"/>
      <c r="G1637" s="2382"/>
      <c r="H1637" s="2382"/>
      <c r="I1637" s="2382"/>
      <c r="J1637" s="2382"/>
      <c r="K1637" s="2382"/>
      <c r="L1637" s="2382"/>
      <c r="M1637" s="2382"/>
      <c r="O1637" s="2372" t="str">
        <f>'Part IX A-Scoring Criteria'!O120</f>
        <v>N/a</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3926</v>
      </c>
      <c r="C1639" s="504"/>
      <c r="G1639" s="504"/>
      <c r="K1639" s="2425" t="s">
        <v>3910</v>
      </c>
      <c r="L1639" s="2425" t="s">
        <v>3911</v>
      </c>
      <c r="M1639" s="2253">
        <v>3</v>
      </c>
      <c r="N1639" s="2253"/>
      <c r="O1639" s="2525">
        <f>'Part IX A-Scoring Criteria'!O122</f>
        <v>1</v>
      </c>
      <c r="P1639" s="2525">
        <f>'Part IX A-Scoring Criteria'!P122</f>
        <v>0</v>
      </c>
    </row>
    <row r="1640" spans="1:19" ht="12.75" customHeight="1">
      <c r="A1640" s="2315"/>
      <c r="B1640" s="2382" t="s">
        <v>3930</v>
      </c>
      <c r="C1640" s="2382"/>
      <c r="D1640" s="2382"/>
      <c r="E1640" s="2382"/>
      <c r="F1640" s="2382"/>
      <c r="G1640" s="2382"/>
      <c r="H1640" s="2382"/>
      <c r="I1640" s="2382"/>
      <c r="J1640" s="2382"/>
      <c r="K1640" s="2372" t="str">
        <f>'Part IX A-Scoring Criteria'!K123</f>
        <v>C2</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3928</v>
      </c>
      <c r="C1642" s="504"/>
      <c r="G1642" s="2468" t="s">
        <v>3929</v>
      </c>
      <c r="H1642" s="2526">
        <f>'Part VI-Revenues &amp; Expenses'!$O$59</f>
        <v>0</v>
      </c>
      <c r="I1642" s="2425" t="s">
        <v>3945</v>
      </c>
      <c r="J1642" s="2526">
        <f>'Part VI-Revenues &amp; Expenses'!$O$62</f>
        <v>70</v>
      </c>
      <c r="K1642" s="2425" t="s">
        <v>3946</v>
      </c>
      <c r="L1642" s="2527">
        <f>IF(J1642=0,0,H1642/J1642)</f>
        <v>0</v>
      </c>
      <c r="M1642" s="2253">
        <v>2</v>
      </c>
      <c r="N1642" s="2253"/>
      <c r="O1642" s="2525">
        <f>'Part IX A-Scoring Criteria'!O125</f>
        <v>0</v>
      </c>
      <c r="P1642" s="2525">
        <f>'Part IX A-Scoring Criteria'!P125</f>
        <v>0</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3569</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4079</v>
      </c>
      <c r="E1648" s="2079"/>
      <c r="G1648" s="2220" t="str">
        <f>'Part IX A-Scoring Criteria'!G131</f>
        <v>N/A</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3055</v>
      </c>
      <c r="C1650" s="2443"/>
      <c r="D1650" s="2079"/>
      <c r="E1650" s="2443"/>
      <c r="F1650" s="2443"/>
      <c r="G1650" s="2443"/>
      <c r="H1650" s="2443"/>
      <c r="I1650" s="2443"/>
      <c r="J1650" s="2443"/>
      <c r="K1650" s="2443"/>
      <c r="L1650" s="2443"/>
      <c r="M1650" s="2443"/>
      <c r="N1650" s="2345"/>
      <c r="O1650" s="2372" t="str">
        <f>'Part IX A-Scoring Criteria'!O133</f>
        <v>N/a</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4469</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3710</v>
      </c>
      <c r="D1653" s="2458"/>
      <c r="E1653" s="2308"/>
      <c r="F1653" s="2443"/>
      <c r="G1653" s="504" t="s">
        <v>3711</v>
      </c>
      <c r="H1653" s="2443"/>
      <c r="I1653" s="2443"/>
      <c r="J1653" s="2443"/>
      <c r="K1653" s="2443"/>
      <c r="L1653" s="2529">
        <f>'Part IX A-Scoring Criteria'!L136</f>
        <v>0</v>
      </c>
      <c r="M1653" s="2529"/>
      <c r="N1653" s="2345" t="s">
        <v>2520</v>
      </c>
      <c r="O1653" s="2372" t="str">
        <f>'Part IX A-Scoring Criteria'!O136</f>
        <v>N/a</v>
      </c>
      <c r="P1653" s="2372">
        <f>'Part IX A-Scoring Criteria'!P136</f>
        <v>0</v>
      </c>
      <c r="Q1653" s="2443"/>
      <c r="R1653" s="2443"/>
      <c r="S1653" s="2443"/>
    </row>
    <row r="1654" spans="1:19" ht="15" customHeight="1">
      <c r="A1654" s="2255"/>
      <c r="B1654" s="2345" t="s">
        <v>2521</v>
      </c>
      <c r="C1654" s="2374" t="s">
        <v>4470</v>
      </c>
      <c r="D1654" s="2374"/>
      <c r="E1654" s="2374"/>
      <c r="F1654" s="2374"/>
      <c r="G1654" s="504" t="s">
        <v>3575</v>
      </c>
      <c r="H1654" s="2443"/>
      <c r="I1654" s="2443"/>
      <c r="J1654" s="2443"/>
      <c r="K1654" s="2443"/>
      <c r="L1654" s="2529">
        <f>'Part IX A-Scoring Criteria'!L137</f>
        <v>0</v>
      </c>
      <c r="M1654" s="2529"/>
      <c r="N1654" s="2345" t="s">
        <v>2521</v>
      </c>
      <c r="O1654" s="2372" t="str">
        <f>'Part IX A-Scoring Criteria'!O137</f>
        <v>N/a</v>
      </c>
      <c r="P1654" s="2372">
        <f>'Part IX A-Scoring Criteria'!P137</f>
        <v>0</v>
      </c>
      <c r="Q1654" s="2443"/>
      <c r="R1654" s="2443"/>
      <c r="S1654" s="2443"/>
    </row>
    <row r="1655" spans="1:19" ht="15">
      <c r="A1655" s="2255"/>
      <c r="B1655" s="2345"/>
      <c r="C1655" s="2374"/>
      <c r="D1655" s="2374"/>
      <c r="E1655" s="2374"/>
      <c r="F1655" s="2374"/>
      <c r="G1655" s="504" t="s">
        <v>3053</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4" t="s">
        <v>2948</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4" t="s">
        <v>2949</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4083</v>
      </c>
      <c r="H1658" s="2382"/>
      <c r="I1658" s="504" t="s">
        <v>1778</v>
      </c>
      <c r="J1658" s="519" t="str">
        <f>'Part IX A-Scoring Criteria'!J141</f>
        <v>&lt;&lt;Select entity type&gt;&gt;</v>
      </c>
      <c r="K1658" s="519"/>
      <c r="L1658" s="519" t="str">
        <f>'Part IX A-Scoring Criteria'!L141</f>
        <v>&lt;&lt;Select entity type&gt;&gt;</v>
      </c>
      <c r="M1658" s="519"/>
      <c r="N1658" s="2443"/>
      <c r="O1658" s="2443"/>
      <c r="P1658" s="2443"/>
      <c r="Q1658" s="2443"/>
      <c r="R1658" s="2443"/>
      <c r="S1658" s="2443"/>
    </row>
    <row r="1659" spans="1:19" ht="15">
      <c r="A1659" s="2255"/>
      <c r="B1659" s="2345"/>
      <c r="C1659" s="2468"/>
      <c r="D1659" s="2458"/>
      <c r="E1659" s="2308"/>
      <c r="F1659" s="2443"/>
      <c r="G1659" s="2382"/>
      <c r="H1659" s="2382"/>
      <c r="I1659" s="504" t="s">
        <v>4082</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3933</v>
      </c>
      <c r="D1660" s="2374"/>
      <c r="E1660" s="2374"/>
      <c r="F1660" s="2374"/>
      <c r="G1660" s="504" t="s">
        <v>3054</v>
      </c>
      <c r="L1660" s="2529">
        <f>'Part IX A-Scoring Criteria'!L143</f>
        <v>0</v>
      </c>
      <c r="M1660" s="2529"/>
      <c r="N1660" s="2345" t="s">
        <v>2522</v>
      </c>
      <c r="O1660" s="2372" t="str">
        <f>'Part IX A-Scoring Criteria'!O143</f>
        <v>N/a</v>
      </c>
      <c r="P1660" s="2372">
        <f>'Part IX A-Scoring Criteria'!P143</f>
        <v>0</v>
      </c>
    </row>
    <row r="1661" spans="1:19" ht="13.5">
      <c r="B1661" s="2345"/>
      <c r="C1661" s="2374"/>
      <c r="D1661" s="2374"/>
      <c r="E1661" s="2374"/>
      <c r="F1661" s="2374"/>
      <c r="G1661" s="504" t="s">
        <v>4471</v>
      </c>
      <c r="L1661" s="2529">
        <f>'Part IX A-Scoring Criteria'!L144</f>
        <v>0</v>
      </c>
      <c r="M1661" s="2529"/>
    </row>
    <row r="1662" spans="1:19" ht="13.5" customHeight="1">
      <c r="B1662" s="2345" t="s">
        <v>2523</v>
      </c>
      <c r="C1662" s="519" t="s">
        <v>3934</v>
      </c>
      <c r="D1662" s="504"/>
      <c r="G1662" s="2312"/>
      <c r="K1662" s="2308"/>
      <c r="L1662" s="2530" t="str">
        <f>'Part IX A-Scoring Criteria'!L145</f>
        <v>&lt;&lt;Enter page nbr(s) from Plan here&gt;&gt;</v>
      </c>
      <c r="M1662" s="2530"/>
      <c r="N1662" s="2345" t="s">
        <v>2523</v>
      </c>
      <c r="O1662" s="2372" t="str">
        <f>'Part IX A-Scoring Criteria'!O145</f>
        <v>N/a</v>
      </c>
      <c r="P1662" s="2372">
        <f>'Part IX A-Scoring Criteria'!P145</f>
        <v>0</v>
      </c>
    </row>
    <row r="1663" spans="1:19" ht="12.75" customHeight="1">
      <c r="B1663" s="2345" t="s">
        <v>2524</v>
      </c>
      <c r="C1663" s="519" t="s">
        <v>2951</v>
      </c>
      <c r="K1663" s="2308"/>
      <c r="L1663" s="2530" t="str">
        <f>'Part IX A-Scoring Criteria'!L146</f>
        <v>&lt;&lt;Enter page nbr(s) from Plan here&gt;&gt;</v>
      </c>
      <c r="M1663" s="2530"/>
      <c r="N1663" s="2345" t="s">
        <v>2524</v>
      </c>
      <c r="O1663" s="2372" t="str">
        <f>'Part IX A-Scoring Criteria'!O146</f>
        <v>N/a</v>
      </c>
      <c r="P1663" s="2372">
        <f>'Part IX A-Scoring Criteria'!P146</f>
        <v>0</v>
      </c>
    </row>
    <row r="1664" spans="1:19" ht="12.75" customHeight="1">
      <c r="B1664" s="2345" t="s">
        <v>3578</v>
      </c>
      <c r="C1664" s="519" t="s">
        <v>3572</v>
      </c>
      <c r="K1664" s="2308"/>
      <c r="L1664" s="2530" t="str">
        <f>'Part IX A-Scoring Criteria'!L147</f>
        <v>&lt;&lt;Enter page nbr(s) from Plan here&gt;&gt;</v>
      </c>
      <c r="M1664" s="2530"/>
      <c r="N1664" s="2345" t="s">
        <v>3578</v>
      </c>
      <c r="O1664" s="2372" t="str">
        <f>'Part IX A-Scoring Criteria'!O147</f>
        <v>N/a</v>
      </c>
      <c r="P1664" s="2372">
        <f>'Part IX A-Scoring Criteria'!P147</f>
        <v>0</v>
      </c>
    </row>
    <row r="1665" spans="1:21" ht="12.75" customHeight="1">
      <c r="B1665" s="2345" t="s">
        <v>3579</v>
      </c>
      <c r="C1665" s="519" t="s">
        <v>3570</v>
      </c>
      <c r="K1665" s="2308"/>
      <c r="L1665" s="2530" t="str">
        <f>'Part IX A-Scoring Criteria'!L148</f>
        <v>&lt;&lt;Enter page nbr(s) from Plan here&gt;&gt;</v>
      </c>
      <c r="M1665" s="2530"/>
      <c r="N1665" s="2345" t="s">
        <v>3579</v>
      </c>
      <c r="O1665" s="2372" t="str">
        <f>'Part IX A-Scoring Criteria'!O148</f>
        <v>N/a</v>
      </c>
      <c r="P1665" s="2372">
        <f>'Part IX A-Scoring Criteria'!P148</f>
        <v>0</v>
      </c>
    </row>
    <row r="1666" spans="1:21" ht="12.75" customHeight="1">
      <c r="B1666" s="2345" t="s">
        <v>2541</v>
      </c>
      <c r="C1666" s="519" t="s">
        <v>2952</v>
      </c>
      <c r="K1666" s="2308"/>
      <c r="L1666" s="2530" t="str">
        <f>'Part IX A-Scoring Criteria'!L149</f>
        <v>&lt;&lt;Enter page nbr(s) from Plan here&gt;&gt;</v>
      </c>
      <c r="M1666" s="2530"/>
      <c r="N1666" s="2345" t="s">
        <v>2541</v>
      </c>
      <c r="O1666" s="2372" t="str">
        <f>'Part IX A-Scoring Criteria'!O149</f>
        <v>N/a</v>
      </c>
      <c r="P1666" s="2372">
        <f>'Part IX A-Scoring Criteria'!P149</f>
        <v>0</v>
      </c>
    </row>
    <row r="1667" spans="1:21" ht="12.75" customHeight="1">
      <c r="B1667" s="2345" t="s">
        <v>2542</v>
      </c>
      <c r="C1667" s="519" t="s">
        <v>2953</v>
      </c>
      <c r="D1667" s="504"/>
      <c r="K1667" s="2308"/>
      <c r="L1667" s="2530" t="str">
        <f>'Part IX A-Scoring Criteria'!L150</f>
        <v>&lt;&lt;Enter page nbr(s) from Plan here&gt;&gt;</v>
      </c>
      <c r="M1667" s="2530"/>
      <c r="N1667" s="2345" t="s">
        <v>2542</v>
      </c>
      <c r="O1667" s="2372" t="str">
        <f>'Part IX A-Scoring Criteria'!O150</f>
        <v>N/a</v>
      </c>
      <c r="P1667" s="2372">
        <f>'Part IX A-Scoring Criteria'!P150</f>
        <v>0</v>
      </c>
    </row>
    <row r="1668" spans="1:21">
      <c r="B1668" s="2345" t="s">
        <v>2543</v>
      </c>
      <c r="C1668" s="519" t="s">
        <v>3935</v>
      </c>
      <c r="K1668" s="2308"/>
      <c r="M1668" s="2255"/>
      <c r="N1668" s="2345" t="s">
        <v>2543</v>
      </c>
      <c r="O1668" s="2372" t="str">
        <f>'Part IX A-Scoring Criteria'!O151</f>
        <v>N/a</v>
      </c>
      <c r="P1668" s="2372">
        <f>'Part IX A-Scoring Criteria'!P151</f>
        <v>0</v>
      </c>
    </row>
    <row r="1669" spans="1:21">
      <c r="B1669" s="2345"/>
      <c r="C1669" s="519"/>
      <c r="K1669" s="2308"/>
      <c r="M1669" s="2255"/>
      <c r="N1669" s="2255"/>
      <c r="O1669" s="2255"/>
      <c r="P1669" s="2255"/>
    </row>
    <row r="1670" spans="1:21">
      <c r="A1670" s="2289" t="s">
        <v>2058</v>
      </c>
      <c r="B1670" s="2277" t="s">
        <v>3571</v>
      </c>
      <c r="G1670" s="2468" t="s">
        <v>3699</v>
      </c>
      <c r="K1670" s="2308"/>
      <c r="L1670" s="2531" t="str">
        <f>'Part IX A-Scoring Criteria'!L153</f>
        <v>Enter page nbr(s) here</v>
      </c>
      <c r="M1670" s="2080">
        <v>3</v>
      </c>
      <c r="N1670" s="2345" t="s">
        <v>2058</v>
      </c>
      <c r="O1670" s="2372">
        <f>'Part IX A-Scoring Criteria'!O153</f>
        <v>0</v>
      </c>
      <c r="P1670" s="2372">
        <f>'Part IX A-Scoring Criteria'!P153</f>
        <v>0</v>
      </c>
    </row>
    <row r="1671" spans="1:21">
      <c r="A1671" s="2373"/>
      <c r="G1671" s="2468" t="s">
        <v>3862</v>
      </c>
      <c r="L1671" s="2532" t="str">
        <f>'Part I-Project Information'!$O$28</f>
        <v>106.01</v>
      </c>
      <c r="M1671" s="2532"/>
    </row>
    <row r="1672" spans="1:21">
      <c r="A1672" s="2373"/>
      <c r="B1672" s="2468"/>
      <c r="D1672" s="2425"/>
      <c r="G1672" s="2468" t="s">
        <v>3577</v>
      </c>
      <c r="K1672" s="2308"/>
      <c r="L1672" s="2468" t="str">
        <f>'Part I-Project Information'!$N$29</f>
        <v>No</v>
      </c>
    </row>
    <row r="1673" spans="1:21">
      <c r="A1673" s="2373"/>
      <c r="B1673" s="2468"/>
      <c r="D1673" s="2425"/>
      <c r="E1673" s="2468"/>
      <c r="G1673" s="2308" t="s">
        <v>3573</v>
      </c>
      <c r="K1673" s="2308"/>
      <c r="L1673" s="2308" t="str">
        <f>'Part IV-Uses of Funds'!$H$151</f>
        <v>&lt;&lt;Select&gt;&gt;</v>
      </c>
    </row>
    <row r="1674" spans="1:21">
      <c r="A1674" s="2289" t="s">
        <v>2061</v>
      </c>
      <c r="B1674" s="2277" t="s">
        <v>3574</v>
      </c>
      <c r="D1674" s="2079"/>
      <c r="M1674" s="2253">
        <v>2</v>
      </c>
    </row>
    <row r="1675" spans="1:21" ht="13.5">
      <c r="A1675" s="2373"/>
      <c r="B1675" s="504" t="s">
        <v>3576</v>
      </c>
      <c r="N1675" s="2345" t="s">
        <v>2061</v>
      </c>
      <c r="O1675" s="2372" t="str">
        <f>'Part IX A-Scoring Criteria'!O158</f>
        <v>N/a</v>
      </c>
      <c r="P1675" s="2372">
        <f>'Part IX A-Scoring Criteria'!P158</f>
        <v>0</v>
      </c>
      <c r="Q1675" s="2312"/>
    </row>
    <row r="1676" spans="1:21">
      <c r="A1676" s="2289" t="s">
        <v>779</v>
      </c>
      <c r="B1676" s="2277" t="s">
        <v>2916</v>
      </c>
      <c r="C1676" s="2277"/>
      <c r="D1676" s="2079"/>
      <c r="M1676" s="2080"/>
      <c r="N1676" s="2253"/>
      <c r="O1676" s="2369"/>
      <c r="P1676" s="2369"/>
    </row>
    <row r="1677" spans="1:21" ht="12.75" customHeight="1">
      <c r="B1677" s="2533"/>
      <c r="C1677" s="2374" t="s">
        <v>4472</v>
      </c>
      <c r="D1677" s="2374"/>
      <c r="E1677" s="2374"/>
      <c r="F1677" s="2374"/>
      <c r="G1677" s="2374"/>
      <c r="H1677" s="2374"/>
      <c r="I1677" s="2374"/>
      <c r="J1677" s="2374"/>
      <c r="K1677" s="2374"/>
      <c r="L1677" s="2374"/>
      <c r="M1677" s="2480">
        <v>10</v>
      </c>
      <c r="N1677" s="2415" t="s">
        <v>779</v>
      </c>
      <c r="O1677" s="2372" t="str">
        <f>'Part IX A-Scoring Criteria'!O160</f>
        <v>N/a</v>
      </c>
      <c r="P1677" s="2372">
        <f>'Part IX A-Scoring Criteria'!P160</f>
        <v>0</v>
      </c>
      <c r="R1677" s="2426" t="s">
        <v>3943</v>
      </c>
      <c r="S1677" s="2426"/>
      <c r="T1677" s="2534" t="s">
        <v>3943</v>
      </c>
      <c r="U1677" s="2534"/>
    </row>
    <row r="1678" spans="1:21" ht="13.5">
      <c r="A1678" s="2289" t="s">
        <v>2193</v>
      </c>
      <c r="B1678" s="2277" t="s">
        <v>3937</v>
      </c>
      <c r="C1678" s="2277"/>
      <c r="D1678" s="2079"/>
      <c r="I1678" s="2535" t="s">
        <v>4312</v>
      </c>
      <c r="J1678" s="2536" t="s">
        <v>4313</v>
      </c>
      <c r="K1678" s="2537" t="s">
        <v>4080</v>
      </c>
      <c r="L1678" s="2537"/>
      <c r="M1678" s="2080">
        <v>4</v>
      </c>
      <c r="N1678" s="2345" t="s">
        <v>2193</v>
      </c>
      <c r="O1678" s="2525">
        <f>'Part IX A-Scoring Criteria'!O161</f>
        <v>0</v>
      </c>
      <c r="P1678" s="2525">
        <f>'Part IX A-Scoring Criteria'!P161</f>
        <v>0</v>
      </c>
      <c r="R1678" s="504" t="s">
        <v>3421</v>
      </c>
      <c r="S1678" s="2425" t="s">
        <v>268</v>
      </c>
      <c r="T1678" s="547" t="s">
        <v>3421</v>
      </c>
      <c r="U1678" s="2509" t="s">
        <v>268</v>
      </c>
    </row>
    <row r="1679" spans="1:21">
      <c r="B1679" s="2520" t="s">
        <v>2062</v>
      </c>
      <c r="C1679" s="2423" t="s">
        <v>3939</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4311</v>
      </c>
      <c r="D1680" s="2423"/>
      <c r="E1680" s="2423"/>
      <c r="F1680" s="2423"/>
      <c r="G1680" s="2423"/>
      <c r="H1680" s="2423"/>
      <c r="I1680" s="2538" t="str">
        <f>'Part IX A-Scoring Criteria'!I163</f>
        <v>Yes</v>
      </c>
      <c r="J1680" s="2538" t="str">
        <f>'Part IX A-Scoring Criteria'!J163</f>
        <v>No</v>
      </c>
      <c r="K1680" s="2372">
        <f>'Part IX A-Scoring Criteria'!K163</f>
        <v>0</v>
      </c>
      <c r="L1680" s="2372">
        <f>'Part IX A-Scoring Criteria'!L163</f>
        <v>0</v>
      </c>
      <c r="M1680" s="2480"/>
      <c r="N1680" s="2540" t="s">
        <v>2064</v>
      </c>
      <c r="O1680" s="2372" t="str">
        <f>'Part IX A-Scoring Criteria'!O163</f>
        <v>Yes</v>
      </c>
      <c r="P1680" s="2372">
        <f>'Part IX A-Scoring Criteria'!P163</f>
        <v>0</v>
      </c>
      <c r="R1680" s="2425">
        <f t="shared" ref="R1680:S1683" si="305">IF(O1680="Yes",1,0)</f>
        <v>1</v>
      </c>
      <c r="S1680" s="2425">
        <f t="shared" si="305"/>
        <v>0</v>
      </c>
      <c r="T1680" s="2509">
        <f t="shared" ref="T1680:U1683" si="306">IF(K1680="Yes",1,0)</f>
        <v>0</v>
      </c>
      <c r="U1680" s="2509">
        <f t="shared" si="306"/>
        <v>0</v>
      </c>
    </row>
    <row r="1681" spans="1:21">
      <c r="B1681" s="2520" t="s">
        <v>2622</v>
      </c>
      <c r="C1681" s="2423" t="s">
        <v>3942</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3941</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480"/>
      <c r="N1682" s="2540" t="s">
        <v>1270</v>
      </c>
      <c r="O1682" s="2372" t="str">
        <f>'Part IX A-Scoring Criteria'!O165</f>
        <v>No</v>
      </c>
      <c r="P1682" s="2372">
        <f>'Part IX A-Scoring Criteria'!P165</f>
        <v>0</v>
      </c>
      <c r="R1682" s="2425">
        <f t="shared" si="305"/>
        <v>0</v>
      </c>
      <c r="S1682" s="2425">
        <f t="shared" si="305"/>
        <v>0</v>
      </c>
      <c r="T1682" s="2509">
        <f t="shared" si="306"/>
        <v>0</v>
      </c>
      <c r="U1682" s="2509">
        <f t="shared" si="306"/>
        <v>0</v>
      </c>
    </row>
    <row r="1683" spans="1:21">
      <c r="B1683" s="2520" t="s">
        <v>1271</v>
      </c>
      <c r="C1683" s="2541" t="s">
        <v>4367</v>
      </c>
      <c r="D1683" s="2423"/>
      <c r="E1683" s="2423"/>
      <c r="F1683" s="2423"/>
      <c r="G1683" s="2423"/>
      <c r="H1683" s="2423"/>
      <c r="I1683" s="2542">
        <f>'Part IX A-Scoring Criteria'!I166</f>
        <v>0</v>
      </c>
      <c r="J1683" s="2542">
        <f>'Part IX A-Scoring Criteria'!J166</f>
        <v>0</v>
      </c>
      <c r="K1683" s="2372">
        <f>'Part IX A-Scoring Criteria'!K166</f>
        <v>0</v>
      </c>
      <c r="L1683" s="2372">
        <f>'Part IX A-Scoring Criteria'!L166</f>
        <v>0</v>
      </c>
      <c r="M1683" s="2480"/>
      <c r="N1683" s="2540" t="s">
        <v>1271</v>
      </c>
      <c r="O1683" s="2372" t="str">
        <f>'Part IX A-Scoring Criteria'!O166</f>
        <v>No</v>
      </c>
      <c r="P1683" s="2372">
        <f>'Part IX A-Scoring Criteria'!P166</f>
        <v>0</v>
      </c>
      <c r="R1683" s="2425">
        <f t="shared" si="305"/>
        <v>0</v>
      </c>
      <c r="S1683" s="2425">
        <f t="shared" si="305"/>
        <v>0</v>
      </c>
      <c r="T1683" s="2509">
        <f t="shared" si="306"/>
        <v>0</v>
      </c>
      <c r="U1683" s="2509">
        <f t="shared" si="306"/>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90">
      <c r="A1685" s="2374" t="str">
        <f>'Part IX A-Scoring Criteria'!A168</f>
        <v>This scoring section is N/A and the applicant is claiming (0) points in scoring section 8.</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3601</v>
      </c>
      <c r="I1689" s="2443"/>
      <c r="J1689" s="2443"/>
      <c r="K1689" s="2261"/>
      <c r="L1689" s="2443"/>
      <c r="M1689" s="2258">
        <v>4</v>
      </c>
      <c r="N1689" s="2080"/>
      <c r="O1689" s="2439">
        <f>'Part IX A-Scoring Criteria'!O172</f>
        <v>2</v>
      </c>
      <c r="P1689" s="2439">
        <f>'Part IX A-Scoring Criteria'!P172</f>
        <v>0</v>
      </c>
      <c r="Q1689" s="2258" t="s">
        <v>456</v>
      </c>
      <c r="R1689" s="2443"/>
      <c r="S1689" s="2443"/>
    </row>
    <row r="1690" spans="1:21">
      <c r="A1690" s="2373"/>
      <c r="B1690" s="2468"/>
      <c r="D1690" s="2425"/>
      <c r="E1690" s="2468"/>
      <c r="H1690" s="2368" t="s">
        <v>2912</v>
      </c>
      <c r="I1690" s="504"/>
      <c r="J1690" s="2368" t="str">
        <f>'Part I-Project Information'!$H$90</f>
        <v>Rural</v>
      </c>
      <c r="K1690" s="2368"/>
    </row>
    <row r="1691" spans="1:21" ht="13.5">
      <c r="A1691" s="2269" t="s">
        <v>2058</v>
      </c>
      <c r="B1691" s="2277" t="s">
        <v>2312</v>
      </c>
      <c r="D1691" s="2079"/>
      <c r="E1691" s="2079"/>
      <c r="F1691" s="2079"/>
      <c r="H1691" s="2368" t="s">
        <v>4129</v>
      </c>
      <c r="I1691" s="504"/>
      <c r="J1691" s="2368" t="str">
        <f>'Part I-Project Information'!$O$24</f>
        <v>No</v>
      </c>
      <c r="K1691" s="2368"/>
      <c r="L1691" s="2544" t="str">
        <f>'Part I-Project Information'!$O$25</f>
        <v>N/A</v>
      </c>
      <c r="M1691" s="2080">
        <v>3</v>
      </c>
      <c r="N1691" s="2345" t="s">
        <v>2058</v>
      </c>
      <c r="O1691" s="2439">
        <f>'Part IX A-Scoring Criteria'!O174</f>
        <v>0</v>
      </c>
      <c r="P1691" s="2439">
        <f>'Part IX A-Scoring Criteria'!P174</f>
        <v>0</v>
      </c>
      <c r="Q1691" s="2312" t="s">
        <v>2810</v>
      </c>
    </row>
    <row r="1692" spans="1:21" ht="12.75" customHeight="1">
      <c r="A1692" s="504"/>
      <c r="B1692" s="2545" t="s">
        <v>2062</v>
      </c>
      <c r="C1692" s="2374" t="s">
        <v>3944</v>
      </c>
      <c r="D1692" s="2176"/>
      <c r="E1692" s="2176"/>
      <c r="F1692" s="2176"/>
      <c r="G1692" s="2176"/>
      <c r="H1692" s="2176"/>
      <c r="I1692" s="2176"/>
      <c r="J1692" s="2176"/>
      <c r="K1692" s="2176"/>
      <c r="L1692" s="2176"/>
      <c r="M1692" s="2480"/>
      <c r="N1692" s="2460" t="s">
        <v>2062</v>
      </c>
      <c r="O1692" s="2372" t="str">
        <f>'Part IX A-Scoring Criteria'!O175</f>
        <v>N/a</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t="str">
        <f>'Part IX A-Scoring Criteria'!J176</f>
        <v>N/A</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t="str">
        <f>'Part IX A-Scoring Criteria'!J177</f>
        <v>N/A</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0"/>
      <c r="N1695" s="2473" t="s">
        <v>2064</v>
      </c>
      <c r="O1695" s="2372" t="str">
        <f>'Part IX A-Scoring Criteria'!O178</f>
        <v>N/a</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0"/>
      <c r="N1696" s="2473" t="s">
        <v>2622</v>
      </c>
      <c r="O1696" s="2372" t="str">
        <f>'Part IX A-Scoring Criteria'!O179</f>
        <v>N/a</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0"/>
      <c r="N1697" s="2473" t="s">
        <v>1270</v>
      </c>
      <c r="O1697" s="2372" t="str">
        <f>'Part IX A-Scoring Criteria'!O180</f>
        <v>N/a</v>
      </c>
      <c r="P1697" s="2372">
        <f>'Part IX A-Scoring Criteria'!P180</f>
        <v>0</v>
      </c>
      <c r="Q1697" s="519"/>
      <c r="R1697" s="519"/>
      <c r="S1697" s="519"/>
    </row>
    <row r="1698" spans="1:19">
      <c r="A1698" s="2269" t="s">
        <v>2061</v>
      </c>
      <c r="B1698" s="2277" t="s">
        <v>3947</v>
      </c>
      <c r="C1698" s="2079"/>
      <c r="D1698" s="2079"/>
      <c r="E1698" s="2079"/>
      <c r="F1698" s="2079"/>
      <c r="G1698" s="2079"/>
      <c r="H1698" s="2543" t="s">
        <v>3602</v>
      </c>
      <c r="I1698" s="2079"/>
      <c r="J1698" s="2079"/>
      <c r="K1698" s="2079"/>
      <c r="L1698" s="2079"/>
      <c r="M1698" s="2080">
        <v>3</v>
      </c>
      <c r="N1698" s="2345" t="s">
        <v>2061</v>
      </c>
      <c r="O1698" s="2439">
        <f>'Part IX A-Scoring Criteria'!O181</f>
        <v>0</v>
      </c>
      <c r="P1698" s="2439">
        <f>'Part IX A-Scoring Criteria'!P181</f>
        <v>0</v>
      </c>
      <c r="Q1698" s="2079"/>
      <c r="R1698" s="2079"/>
      <c r="S1698" s="2079"/>
    </row>
    <row r="1699" spans="1:19">
      <c r="A1699" s="2269"/>
      <c r="B1699" s="2261" t="s">
        <v>3949</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4473</v>
      </c>
      <c r="D1700" s="2079"/>
      <c r="E1700" s="2079"/>
      <c r="F1700" s="2079"/>
      <c r="G1700" s="2079"/>
      <c r="H1700" s="2079"/>
      <c r="I1700" s="2079"/>
      <c r="J1700" s="2079"/>
      <c r="K1700" s="2079"/>
      <c r="L1700" s="2079"/>
      <c r="M1700" s="2080">
        <v>3</v>
      </c>
      <c r="N1700" s="2540" t="s">
        <v>2062</v>
      </c>
      <c r="O1700" s="2439">
        <f>'Part IX A-Scoring Criteria'!O183</f>
        <v>0</v>
      </c>
      <c r="P1700" s="2439">
        <f>'Part IX A-Scoring Criteria'!P183</f>
        <v>0</v>
      </c>
      <c r="Q1700" s="2074" t="s">
        <v>2810</v>
      </c>
      <c r="R1700" s="2079"/>
      <c r="S1700" s="2079"/>
    </row>
    <row r="1701" spans="1:19">
      <c r="A1701" s="2372" t="s">
        <v>1403</v>
      </c>
      <c r="B1701" s="2533" t="s">
        <v>2064</v>
      </c>
      <c r="C1701" s="2419" t="s">
        <v>4474</v>
      </c>
      <c r="D1701" s="2079"/>
      <c r="E1701" s="2079"/>
      <c r="F1701" s="2079"/>
      <c r="G1701" s="2308"/>
      <c r="H1701" s="2543"/>
      <c r="I1701" s="2308"/>
      <c r="M1701" s="2253">
        <v>2</v>
      </c>
      <c r="N1701" s="2540" t="s">
        <v>2064</v>
      </c>
      <c r="O1701" s="2439">
        <f>'Part IX A-Scoring Criteria'!O184</f>
        <v>0</v>
      </c>
      <c r="P1701" s="2439">
        <f>'Part IX A-Scoring Criteria'!P184</f>
        <v>0</v>
      </c>
      <c r="Q1701" s="2074" t="s">
        <v>2810</v>
      </c>
    </row>
    <row r="1702" spans="1:19">
      <c r="A1702" s="2269" t="s">
        <v>779</v>
      </c>
      <c r="B1702" s="2277" t="s">
        <v>3948</v>
      </c>
      <c r="C1702" s="2079"/>
      <c r="D1702" s="2079"/>
      <c r="E1702" s="2079"/>
      <c r="F1702" s="2079"/>
      <c r="G1702" s="2079"/>
      <c r="H1702" s="2543" t="s">
        <v>3956</v>
      </c>
      <c r="I1702" s="2079"/>
      <c r="J1702" s="2079"/>
      <c r="K1702" s="2079"/>
      <c r="L1702" s="2079"/>
      <c r="M1702" s="2080">
        <v>4</v>
      </c>
      <c r="N1702" s="2345" t="s">
        <v>779</v>
      </c>
      <c r="O1702" s="2439">
        <f>'Part IX A-Scoring Criteria'!O185</f>
        <v>2</v>
      </c>
      <c r="P1702" s="2439">
        <f>'Part IX A-Scoring Criteria'!P185</f>
        <v>0</v>
      </c>
      <c r="Q1702" s="2079"/>
      <c r="R1702" s="2079"/>
      <c r="S1702" s="2079"/>
    </row>
    <row r="1703" spans="1:19">
      <c r="A1703" s="2269"/>
      <c r="B1703" s="2261" t="s">
        <v>3953</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4475</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0</v>
      </c>
      <c r="P1704" s="2439">
        <f>'Part IX A-Scoring Criteria'!P187</f>
        <v>0</v>
      </c>
      <c r="Q1704" s="2074" t="s">
        <v>2810</v>
      </c>
      <c r="R1704" s="2079"/>
      <c r="S1704" s="2079"/>
    </row>
    <row r="1705" spans="1:19">
      <c r="A1705" s="2372"/>
      <c r="B1705" s="2533" t="s">
        <v>2064</v>
      </c>
      <c r="C1705" s="504" t="s">
        <v>3951</v>
      </c>
      <c r="D1705" s="2079"/>
      <c r="E1705" s="2079"/>
      <c r="F1705" s="2079"/>
      <c r="G1705" s="2308"/>
      <c r="H1705" s="2309" t="s">
        <v>3957</v>
      </c>
      <c r="I1705" s="2308"/>
      <c r="K1705" s="2274"/>
      <c r="L1705" s="2274"/>
      <c r="M1705" s="2253">
        <v>1</v>
      </c>
      <c r="N1705" s="2540" t="s">
        <v>2064</v>
      </c>
      <c r="O1705" s="2439">
        <f>'Part IX A-Scoring Criteria'!O188</f>
        <v>0</v>
      </c>
      <c r="P1705" s="2439">
        <f>'Part IX A-Scoring Criteria'!P188</f>
        <v>0</v>
      </c>
      <c r="Q1705" s="2074" t="s">
        <v>2810</v>
      </c>
    </row>
    <row r="1706" spans="1:19">
      <c r="A1706" s="2372" t="s">
        <v>1403</v>
      </c>
      <c r="B1706" s="2533" t="s">
        <v>2622</v>
      </c>
      <c r="C1706" s="2419" t="s">
        <v>4476</v>
      </c>
      <c r="D1706" s="2079"/>
      <c r="E1706" s="2079"/>
      <c r="F1706" s="2079"/>
      <c r="G1706" s="2308"/>
      <c r="H1706" s="2543"/>
      <c r="I1706" s="2308"/>
      <c r="K1706" s="2274"/>
      <c r="L1706" s="2274"/>
      <c r="M1706" s="2253">
        <v>2</v>
      </c>
      <c r="N1706" s="2540" t="s">
        <v>2622</v>
      </c>
      <c r="O1706" s="2439">
        <f>'Part IX A-Scoring Criteria'!O189</f>
        <v>2</v>
      </c>
      <c r="P1706" s="2439">
        <f>'Part IX A-Scoring Criteria'!P189</f>
        <v>0</v>
      </c>
      <c r="Q1706" s="2074" t="s">
        <v>2810</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191.25">
      <c r="A1708" s="2374" t="str">
        <f>'Part IX A-Scoring Criteria'!A191</f>
        <v>No projects in the City of St. Marys, Camden County, or within (1) mile of the proposed project have received an award of 9% LIHTCs in the last (4) funding rounds.</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3594</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3943</v>
      </c>
      <c r="S1712" s="2426"/>
    </row>
    <row r="1713" spans="1:19">
      <c r="B1713" s="504" t="s">
        <v>1729</v>
      </c>
      <c r="M1713" s="2485"/>
      <c r="O1713" s="2425" t="s">
        <v>2597</v>
      </c>
      <c r="P1713" s="2425" t="s">
        <v>2597</v>
      </c>
      <c r="R1713" s="504" t="s">
        <v>3421</v>
      </c>
      <c r="S1713" s="2425" t="s">
        <v>268</v>
      </c>
    </row>
    <row r="1714" spans="1:19" ht="12.75" customHeight="1">
      <c r="A1714" s="2410" t="s">
        <v>2058</v>
      </c>
      <c r="B1714" s="2374" t="s">
        <v>3958</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2841</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3959</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168.75">
      <c r="A1719" s="2374" t="str">
        <f>'Part IX A-Scoring Criteria'!A202</f>
        <v>Please see Tab 5 in the application for a copy of the market study which supports the scoring and market characteristics selected by the applicant.</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2954</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0">
        <v>1</v>
      </c>
      <c r="N1726" s="2345" t="s">
        <v>2061</v>
      </c>
      <c r="O1726" s="2439">
        <f>'Part IX A-Scoring Criteria'!O209</f>
        <v>0</v>
      </c>
      <c r="P1726" s="2439">
        <f>'Part IX A-Scoring Criteria'!P209</f>
        <v>0</v>
      </c>
      <c r="Q1726" s="2312" t="s">
        <v>2810</v>
      </c>
      <c r="R1726" s="2443"/>
      <c r="S1726" s="2443"/>
    </row>
    <row r="1727" spans="1:19" ht="15">
      <c r="A1727" s="2289"/>
      <c r="B1727" s="2308" t="s">
        <v>3960</v>
      </c>
      <c r="C1727" s="2443"/>
      <c r="D1727" s="519"/>
      <c r="E1727" s="2443"/>
      <c r="F1727" s="2443"/>
      <c r="G1727" s="2443"/>
      <c r="H1727" s="2369"/>
      <c r="I1727" s="2443"/>
      <c r="J1727" s="2443"/>
      <c r="K1727" s="519"/>
      <c r="L1727" s="2458"/>
      <c r="M1727" s="2080"/>
      <c r="N1727" s="2345"/>
      <c r="O1727" s="2372" t="str">
        <f>'Part IX A-Scoring Criteria'!O210</f>
        <v>No</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3595</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9"/>
      <c r="F1732" s="2443"/>
      <c r="G1732" s="2443"/>
      <c r="H1732" s="2443"/>
      <c r="I1732" s="2262" t="str">
        <f>'Part I-Project Information'!$H$86</f>
        <v>No</v>
      </c>
      <c r="J1732" s="2443"/>
      <c r="K1732" s="2443"/>
      <c r="L1732" s="2443"/>
      <c r="M1732" s="2258"/>
      <c r="N1732" s="2258"/>
      <c r="O1732" s="2425" t="s">
        <v>2597</v>
      </c>
      <c r="P1732" s="2425" t="s">
        <v>2597</v>
      </c>
      <c r="Q1732" s="2258"/>
      <c r="R1732" s="2443"/>
      <c r="S1732" s="2443"/>
    </row>
    <row r="1733" spans="1:19" ht="15">
      <c r="A1733" s="2289"/>
      <c r="B1733" s="504" t="s">
        <v>3712</v>
      </c>
      <c r="C1733" s="2443"/>
      <c r="D1733" s="2079"/>
      <c r="E1733" s="2443"/>
      <c r="F1733" s="2443"/>
      <c r="G1733" s="2443"/>
      <c r="H1733" s="2443"/>
      <c r="I1733" s="2443"/>
      <c r="J1733" s="2443"/>
      <c r="K1733" s="2443"/>
      <c r="L1733" s="2443"/>
      <c r="M1733" s="2443"/>
      <c r="N1733" s="2345"/>
      <c r="O1733" s="2372" t="str">
        <f>'Part IX A-Scoring Criteria'!O216</f>
        <v>No</v>
      </c>
      <c r="P1733" s="2372">
        <f>'Part IX A-Scoring Criteria'!P216</f>
        <v>0</v>
      </c>
      <c r="Q1733" s="2443"/>
      <c r="R1733" s="2453"/>
      <c r="S1733" s="2443"/>
    </row>
    <row r="1734" spans="1:19" ht="15">
      <c r="A1734" s="2289"/>
      <c r="B1734" s="504" t="s">
        <v>3713</v>
      </c>
      <c r="C1734" s="2443"/>
      <c r="D1734" s="2079"/>
      <c r="E1734" s="2443"/>
      <c r="F1734" s="2443"/>
      <c r="G1734" s="2443"/>
      <c r="H1734" s="2443"/>
      <c r="I1734" s="2443"/>
      <c r="J1734" s="2443"/>
      <c r="K1734" s="2443"/>
      <c r="L1734" s="2443"/>
      <c r="M1734" s="2443"/>
      <c r="N1734" s="2345"/>
      <c r="O1734" s="2372" t="str">
        <f>'Part IX A-Scoring Criteria'!O217</f>
        <v>No</v>
      </c>
      <c r="P1734" s="2372">
        <f>'Part IX A-Scoring Criteria'!P217</f>
        <v>0</v>
      </c>
      <c r="Q1734" s="2443"/>
      <c r="R1734" s="2453"/>
      <c r="S1734" s="2443"/>
    </row>
    <row r="1735" spans="1:19" ht="15">
      <c r="A1735" s="2289"/>
      <c r="B1735" s="504" t="s">
        <v>3961</v>
      </c>
      <c r="C1735" s="2443"/>
      <c r="D1735" s="2079"/>
      <c r="E1735" s="2443"/>
      <c r="F1735" s="2443"/>
      <c r="G1735" s="2443"/>
      <c r="H1735" s="2443"/>
      <c r="I1735" s="2443"/>
      <c r="J1735" s="2443"/>
      <c r="K1735" s="2443"/>
      <c r="L1735" s="2443"/>
      <c r="M1735" s="2443"/>
      <c r="N1735" s="2345"/>
      <c r="O1735" s="2372" t="str">
        <f>'Part IX A-Scoring Criteria'!O218</f>
        <v>No</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2955</v>
      </c>
      <c r="C1739" s="2548"/>
      <c r="D1739" s="2548"/>
      <c r="E1739" s="519" t="s">
        <v>3864</v>
      </c>
      <c r="F1739" s="2548"/>
      <c r="G1739" s="2423" t="str">
        <f>'Part I-Project Information'!$H$90</f>
        <v>Rural</v>
      </c>
      <c r="H1739" s="2308" t="str">
        <f>IF(G1739="Flexible","(NOTE: Only Rural pool applicants are eligible for this section.)","")</f>
        <v/>
      </c>
      <c r="I1739" s="2548"/>
      <c r="J1739" s="2548"/>
      <c r="K1739" s="2468" t="s">
        <v>3865</v>
      </c>
      <c r="L1739" s="2308" t="str">
        <f>'Part I-Project Information'!$K$30</f>
        <v>Rural</v>
      </c>
      <c r="M1739" s="2258">
        <v>2</v>
      </c>
      <c r="N1739" s="2487"/>
      <c r="O1739" s="2439">
        <f>'Part IX A-Scoring Criteria'!O222</f>
        <v>0</v>
      </c>
      <c r="P1739" s="2439">
        <f>'Part IX A-Scoring Criteria'!P222</f>
        <v>0</v>
      </c>
      <c r="Q1739" s="2258" t="s">
        <v>456</v>
      </c>
      <c r="R1739" s="1306" t="s">
        <v>2810</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4477</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3863</v>
      </c>
      <c r="B1742" s="2548"/>
      <c r="C1742" s="2550" t="str">
        <f>'Part II-Development Team'!$H$14</f>
        <v>Hallmark Pines Manager, LLC</v>
      </c>
      <c r="D1742" s="2550"/>
      <c r="E1742" s="2548"/>
      <c r="F1742" s="2551">
        <f>'Part II-Development Team'!$L$139</f>
        <v>1E-4</v>
      </c>
      <c r="G1742" s="2550" t="str">
        <f>'Part II-Development Team'!$Q$14</f>
        <v>Martin H. Petersen</v>
      </c>
      <c r="H1742" s="2550"/>
      <c r="I1742" s="2552" t="s">
        <v>4478</v>
      </c>
      <c r="J1742" s="2553">
        <f>'Part VI-Revenues &amp; Expenses'!$O$62</f>
        <v>70</v>
      </c>
      <c r="K1742" s="2554" t="s">
        <v>4479</v>
      </c>
      <c r="L1742" s="2555"/>
      <c r="M1742" s="2556"/>
      <c r="N1742" s="2487"/>
      <c r="O1742" s="2557" t="s">
        <v>4200</v>
      </c>
      <c r="P1742" s="2557"/>
      <c r="Q1742" s="2258"/>
      <c r="S1742" s="2548"/>
    </row>
    <row r="1743" spans="1:19" ht="15">
      <c r="A1743" s="2549" t="s">
        <v>3866</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0</v>
      </c>
      <c r="Q1743" s="2258"/>
      <c r="S1743" s="2548"/>
    </row>
    <row r="1744" spans="1:19" ht="15">
      <c r="A1744" s="2549" t="s">
        <v>3963</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0</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3964</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Hallmark Development Services, LLC</v>
      </c>
      <c r="K1745" s="2550"/>
      <c r="L1745" s="2551">
        <f>'Part II-Development Team'!$L$145</f>
        <v>0</v>
      </c>
      <c r="M1745" s="2550" t="str">
        <f>'Part II-Development Team'!$Q$54</f>
        <v>Martin H. Petersen</v>
      </c>
      <c r="N1745" s="2550"/>
      <c r="O1745" s="2548"/>
      <c r="P1745" s="2548"/>
      <c r="Q1745" s="2258"/>
      <c r="S1745" s="2548"/>
    </row>
    <row r="1746" spans="1:19" ht="15">
      <c r="A1746" s="2549" t="s">
        <v>3967</v>
      </c>
      <c r="B1746" s="2548"/>
      <c r="C1746" s="2550" t="str">
        <f>'Part II-Development Team'!$H$33</f>
        <v>Community Affordable Housing Equity Corporation</v>
      </c>
      <c r="D1746" s="2550"/>
      <c r="E1746" s="2548"/>
      <c r="F1746" s="2551">
        <f>'Part II-Development Team'!$L$142</f>
        <v>0.99980000000000002</v>
      </c>
      <c r="G1746" s="2550" t="str">
        <f>'Part II-Development Team'!$Q$33</f>
        <v>Yolanda Winstead</v>
      </c>
      <c r="H1746" s="2550"/>
      <c r="I1746" s="2549" t="s">
        <v>3039</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3968</v>
      </c>
      <c r="B1747" s="2548"/>
      <c r="C1747" s="2550" t="str">
        <f>'Part II-Development Team'!$H$39</f>
        <v>Sugar Creek Capital</v>
      </c>
      <c r="D1747" s="2550"/>
      <c r="E1747" s="2548"/>
      <c r="F1747" s="2551">
        <f>'Part II-Development Team'!$L$143</f>
        <v>1E-4</v>
      </c>
      <c r="G1747" s="2550" t="str">
        <f>'Part II-Development Team'!$Q$39</f>
        <v>Chris Hite</v>
      </c>
      <c r="H1747" s="2550"/>
      <c r="I1747" s="2549" t="s">
        <v>3040</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3966</v>
      </c>
      <c r="B1748" s="2548"/>
      <c r="C1748" s="2550">
        <f>'Part II-Development Team'!$H$46</f>
        <v>0</v>
      </c>
      <c r="D1748" s="2550"/>
      <c r="E1748" s="2548"/>
      <c r="F1748" s="2551">
        <f>'Part II-Development Team'!$L$144</f>
        <v>0</v>
      </c>
      <c r="G1748" s="2550">
        <f>'Part II-Development Team'!$Q$46</f>
        <v>0</v>
      </c>
      <c r="H1748" s="2550"/>
      <c r="I1748" s="2549" t="s">
        <v>3965</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1937</v>
      </c>
      <c r="K1749" s="2443"/>
      <c r="L1749" s="2443"/>
      <c r="M1749" s="2080"/>
      <c r="N1749" s="2253"/>
      <c r="O1749" s="2439"/>
      <c r="P1749" s="2255"/>
      <c r="Q1749" s="2443"/>
      <c r="R1749" s="2443"/>
      <c r="S1749" s="2443"/>
    </row>
    <row r="1750" spans="1:19" ht="112.5">
      <c r="A1750" s="2374" t="str">
        <f>'Part IX A-Scoring Criteria'!A233</f>
        <v xml:space="preserve">N/A - The applicant is proposing an acquisition and rehabilitation of an existing property. </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1</v>
      </c>
      <c r="P1752" s="2439">
        <f>'Part IX A-Scoring Criteria'!P235</f>
        <v>0</v>
      </c>
      <c r="Q1752" s="2258" t="s">
        <v>456</v>
      </c>
      <c r="R1752" s="2443"/>
      <c r="S1752" s="2443"/>
    </row>
    <row r="1753" spans="1:19" ht="15">
      <c r="A1753" s="2289" t="s">
        <v>2058</v>
      </c>
      <c r="B1753" s="2405" t="s">
        <v>3971</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2810</v>
      </c>
      <c r="S1753" s="2443"/>
    </row>
    <row r="1754" spans="1:19" ht="15">
      <c r="A1754" s="2443"/>
      <c r="B1754" s="2308" t="s">
        <v>3969</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40" t="s">
        <v>2062</v>
      </c>
      <c r="C1755" s="519" t="s">
        <v>3970</v>
      </c>
      <c r="D1755" s="519"/>
      <c r="E1755" s="519"/>
      <c r="F1755" s="519"/>
      <c r="G1755" s="504"/>
      <c r="H1755" s="504"/>
      <c r="I1755" s="519" t="str">
        <f>'Part IX A-Scoring Criteria'!I238</f>
        <v>&lt; Select applicable GICH &gt;</v>
      </c>
      <c r="J1755" s="519"/>
      <c r="K1755" s="519"/>
      <c r="L1755" s="504"/>
      <c r="M1755" s="504"/>
      <c r="N1755" s="2540" t="s">
        <v>2062</v>
      </c>
      <c r="O1755" s="2372" t="str">
        <f>'Part IX A-Scoring Criteria'!O238</f>
        <v>N/a</v>
      </c>
      <c r="P1755" s="2372">
        <f>'Part IX A-Scoring Criteria'!P238</f>
        <v>0</v>
      </c>
      <c r="Q1755" s="504"/>
      <c r="R1755" s="504"/>
      <c r="S1755" s="504"/>
    </row>
    <row r="1756" spans="1:19">
      <c r="A1756" s="504"/>
      <c r="B1756" s="2540" t="s">
        <v>2064</v>
      </c>
      <c r="C1756" s="519" t="s">
        <v>3021</v>
      </c>
      <c r="D1756" s="519"/>
      <c r="E1756" s="519"/>
      <c r="F1756" s="519"/>
      <c r="G1756" s="519"/>
      <c r="H1756" s="504"/>
      <c r="I1756" s="504"/>
      <c r="J1756" s="504"/>
      <c r="K1756" s="504"/>
      <c r="L1756" s="504"/>
      <c r="M1756" s="519"/>
      <c r="N1756" s="2540" t="s">
        <v>2064</v>
      </c>
      <c r="O1756" s="2372" t="str">
        <f>'Part IX A-Scoring Criteria'!O239</f>
        <v>N/a</v>
      </c>
      <c r="P1756" s="2372">
        <f>'Part IX A-Scoring Criteria'!P239</f>
        <v>0</v>
      </c>
      <c r="Q1756" s="504"/>
      <c r="R1756" s="504"/>
      <c r="S1756" s="504"/>
    </row>
    <row r="1757" spans="1:19">
      <c r="A1757" s="2289"/>
      <c r="B1757" s="2540" t="s">
        <v>2622</v>
      </c>
      <c r="C1757" s="519" t="s">
        <v>3972</v>
      </c>
      <c r="D1757" s="519"/>
      <c r="E1757" s="519"/>
      <c r="F1757" s="519"/>
      <c r="G1757" s="519"/>
      <c r="H1757" s="519"/>
      <c r="I1757" s="504"/>
      <c r="J1757" s="504"/>
      <c r="K1757" s="504"/>
      <c r="L1757" s="519"/>
      <c r="M1757" s="519"/>
      <c r="N1757" s="2540" t="s">
        <v>2622</v>
      </c>
      <c r="O1757" s="2372" t="str">
        <f>'Part IX A-Scoring Criteria'!O240</f>
        <v>N/a</v>
      </c>
      <c r="P1757" s="2372">
        <f>'Part IX A-Scoring Criteria'!P240</f>
        <v>0</v>
      </c>
      <c r="Q1757" s="504"/>
      <c r="R1757" s="504"/>
      <c r="S1757" s="504"/>
    </row>
    <row r="1758" spans="1:19">
      <c r="A1758" s="2289"/>
      <c r="B1758" s="2540" t="s">
        <v>1270</v>
      </c>
      <c r="C1758" s="519" t="s">
        <v>3973</v>
      </c>
      <c r="D1758" s="519"/>
      <c r="E1758" s="519"/>
      <c r="F1758" s="519"/>
      <c r="G1758" s="519"/>
      <c r="H1758" s="519"/>
      <c r="I1758" s="519"/>
      <c r="J1758" s="519"/>
      <c r="K1758" s="519"/>
      <c r="L1758" s="519"/>
      <c r="M1758" s="519"/>
      <c r="N1758" s="2540" t="s">
        <v>1270</v>
      </c>
      <c r="O1758" s="2372" t="str">
        <f>'Part IX A-Scoring Criteria'!O241</f>
        <v>N/a</v>
      </c>
      <c r="P1758" s="2372">
        <f>'Part IX A-Scoring Criteria'!P241</f>
        <v>0</v>
      </c>
      <c r="Q1758" s="504"/>
      <c r="R1758" s="504"/>
      <c r="S1758" s="504"/>
    </row>
    <row r="1759" spans="1:19">
      <c r="A1759" s="504"/>
      <c r="B1759" s="2455" t="s">
        <v>3974</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2915</v>
      </c>
      <c r="D1760" s="2079"/>
      <c r="G1760" s="2562" t="s">
        <v>3761</v>
      </c>
      <c r="H1760" s="2562"/>
      <c r="I1760" s="2562"/>
      <c r="J1760" s="2562"/>
      <c r="K1760" s="2562"/>
      <c r="L1760" s="2453" t="str">
        <f>IF(OR($O1760=$M1760,$O1760=0,$O1760=""),"","* * Check Score! * *")</f>
        <v/>
      </c>
      <c r="M1760" s="2253">
        <v>1</v>
      </c>
      <c r="N1760" s="2487" t="str">
        <f>IF(OR($O1760=$M1760,$O1760=0,$O1760=""),"","***")</f>
        <v/>
      </c>
      <c r="O1760" s="2439">
        <f>'Part IX A-Scoring Criteria'!O243</f>
        <v>1</v>
      </c>
      <c r="P1760" s="2439">
        <f>'Part IX A-Scoring Criteria'!P243</f>
        <v>0</v>
      </c>
      <c r="Q1760" s="2258"/>
      <c r="R1760" s="2312" t="s">
        <v>2810</v>
      </c>
    </row>
    <row r="1761" spans="1:19" ht="13.5">
      <c r="B1761" s="504" t="s">
        <v>2917</v>
      </c>
      <c r="N1761" s="2345" t="s">
        <v>2061</v>
      </c>
      <c r="O1761" s="2372" t="str">
        <f>'Part IX A-Scoring Criteria'!O244</f>
        <v>Yes</v>
      </c>
      <c r="P1761" s="2372">
        <f>'Part IX A-Scoring Criteria'!P244</f>
        <v>0</v>
      </c>
      <c r="Q1761" s="2312"/>
    </row>
    <row r="1762" spans="1:19">
      <c r="A1762" s="2373"/>
      <c r="C1762" s="519" t="s">
        <v>3976</v>
      </c>
      <c r="D1762" s="519" t="str">
        <f>'Part I-Project Information'!$F$28</f>
        <v>St. Marys</v>
      </c>
      <c r="F1762" s="519" t="s">
        <v>3755</v>
      </c>
      <c r="G1762" s="519" t="str">
        <f>'Part I-Project Information'!$J$29</f>
        <v>Camden</v>
      </c>
      <c r="H1762" s="2417" t="s">
        <v>468</v>
      </c>
      <c r="I1762" s="2468" t="str">
        <f>'Part I-Project Information'!$N$29</f>
        <v>No</v>
      </c>
      <c r="K1762" s="2468" t="s">
        <v>3975</v>
      </c>
      <c r="L1762" s="2532" t="str">
        <f>'Part I-Project Information'!$O$28</f>
        <v>106.01</v>
      </c>
      <c r="M1762" s="2532"/>
      <c r="N1762" s="2532"/>
      <c r="O1762" s="2532"/>
      <c r="P1762" s="2532"/>
    </row>
    <row r="1763" spans="1:19" ht="15">
      <c r="A1763" s="2079"/>
      <c r="B1763" s="2336" t="s">
        <v>267</v>
      </c>
      <c r="C1763" s="2079"/>
      <c r="D1763" s="2261"/>
      <c r="E1763" s="2261"/>
      <c r="F1763" s="2261"/>
      <c r="G1763" s="2261"/>
      <c r="H1763" s="519"/>
      <c r="I1763" s="519"/>
      <c r="J1763" s="2375" t="s">
        <v>1937</v>
      </c>
      <c r="K1763" s="2443"/>
      <c r="L1763" s="2443"/>
      <c r="M1763" s="2080"/>
      <c r="N1763" s="2253"/>
      <c r="O1763" s="2439"/>
      <c r="P1763" s="2255"/>
      <c r="Q1763" s="2443"/>
      <c r="R1763" s="2443"/>
      <c r="S1763" s="2443"/>
    </row>
    <row r="1764" spans="1:19" ht="191.25">
      <c r="A1764" s="2374" t="str">
        <f>'Part IX A-Scoring Criteria'!A247</f>
        <v>The project is located in Census Tract 106.01, which is a 2016 designated Military Zone.  Please see Tab 36 for more information regarding this designation.</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2957</v>
      </c>
      <c r="C1766" s="2443"/>
      <c r="D1766" s="2330"/>
      <c r="E1766" s="2330"/>
      <c r="F1766" s="519"/>
      <c r="G1766" s="519"/>
      <c r="H1766" s="519"/>
      <c r="I1766" s="2277" t="s">
        <v>2912</v>
      </c>
      <c r="J1766" s="2259"/>
      <c r="K1766" s="2548"/>
      <c r="L1766" s="2277" t="str">
        <f>'Part I-Project Information'!$H$90</f>
        <v>Rural</v>
      </c>
      <c r="M1766" s="2439">
        <v>8</v>
      </c>
      <c r="N1766" s="2080"/>
      <c r="O1766" s="2439">
        <f>'Part IX A-Scoring Criteria'!O249</f>
        <v>6</v>
      </c>
      <c r="P1766" s="2439">
        <f>'Part IX A-Scoring Criteria'!P249</f>
        <v>0</v>
      </c>
      <c r="Q1766" s="2258" t="s">
        <v>456</v>
      </c>
      <c r="R1766" s="2443"/>
      <c r="S1766" s="2443"/>
    </row>
    <row r="1767" spans="1:19" ht="15">
      <c r="A1767" s="2079"/>
      <c r="B1767" s="2405" t="s">
        <v>3024</v>
      </c>
      <c r="C1767" s="2443"/>
      <c r="D1767" s="2443"/>
      <c r="E1767" s="2330"/>
      <c r="F1767" s="519"/>
      <c r="G1767" s="519"/>
      <c r="H1767" s="519"/>
      <c r="I1767" s="519"/>
      <c r="J1767" s="2443"/>
      <c r="K1767" s="2369"/>
      <c r="L1767" s="2563"/>
      <c r="M1767" s="2443"/>
      <c r="N1767" s="2443"/>
      <c r="O1767" s="2425" t="s">
        <v>2597</v>
      </c>
      <c r="P1767" s="2425" t="s">
        <v>2597</v>
      </c>
      <c r="Q1767" s="2443"/>
      <c r="R1767" s="2443"/>
      <c r="S1767" s="2443"/>
    </row>
    <row r="1768" spans="1:19" ht="15">
      <c r="A1768" s="504"/>
      <c r="B1768" s="2540" t="s">
        <v>2062</v>
      </c>
      <c r="C1768" s="504" t="s">
        <v>2956</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40"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40"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40" t="s">
        <v>1270</v>
      </c>
      <c r="C1771" s="504" t="s">
        <v>3979</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4480</v>
      </c>
      <c r="D1772" s="504"/>
      <c r="E1772" s="504"/>
      <c r="F1772" s="504"/>
      <c r="G1772" s="504"/>
      <c r="H1772" s="504"/>
      <c r="I1772" s="504"/>
      <c r="J1772" s="504"/>
      <c r="K1772" s="504"/>
      <c r="L1772" s="504"/>
      <c r="M1772" s="504"/>
      <c r="N1772" s="2473" t="s">
        <v>2520</v>
      </c>
      <c r="O1772" s="2372" t="str">
        <f>'Part IX A-Scoring Criteria'!O255</f>
        <v>Yes</v>
      </c>
      <c r="P1772" s="2372">
        <f>'Part IX A-Scoring Criteria'!P255</f>
        <v>0</v>
      </c>
      <c r="Q1772" s="504"/>
      <c r="R1772" s="504"/>
      <c r="S1772" s="504"/>
    </row>
    <row r="1773" spans="1:19" ht="12.75" customHeight="1">
      <c r="A1773" s="2415" t="s">
        <v>3529</v>
      </c>
      <c r="B1773" s="2415" t="s">
        <v>2521</v>
      </c>
      <c r="C1773" s="2374" t="s">
        <v>3980</v>
      </c>
      <c r="D1773" s="2374"/>
      <c r="E1773" s="2374"/>
      <c r="F1773" s="2374"/>
      <c r="G1773" s="2374"/>
      <c r="H1773" s="2374"/>
      <c r="I1773" s="2374"/>
      <c r="J1773" s="2374"/>
      <c r="K1773" s="2374"/>
      <c r="L1773" s="2374"/>
      <c r="M1773" s="2374"/>
      <c r="N1773" s="2460" t="s">
        <v>2521</v>
      </c>
      <c r="O1773" s="2372" t="str">
        <f>'Part IX A-Scoring Criteria'!O256</f>
        <v>N/a</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4</v>
      </c>
      <c r="P1774" s="2439">
        <f>'Part IX A-Scoring Criteria'!P257</f>
        <v>0</v>
      </c>
      <c r="Q1774" s="2443"/>
      <c r="R1774" s="2443"/>
      <c r="S1774" s="2443"/>
    </row>
    <row r="1775" spans="1:19">
      <c r="B1775" s="2520" t="s">
        <v>2062</v>
      </c>
      <c r="C1775" s="2419" t="s">
        <v>4481</v>
      </c>
      <c r="I1775" s="2564" t="s">
        <v>2066</v>
      </c>
      <c r="J1775" s="2564"/>
      <c r="L1775" s="2564" t="s">
        <v>2066</v>
      </c>
      <c r="M1775" s="2564"/>
      <c r="N1775" s="2473"/>
      <c r="O1775" s="2255"/>
      <c r="P1775" s="2255"/>
    </row>
    <row r="1776" spans="1:19" ht="15">
      <c r="A1776" s="2485"/>
      <c r="B1776" s="2345" t="s">
        <v>2520</v>
      </c>
      <c r="C1776" s="519"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9" t="s">
        <v>3985</v>
      </c>
      <c r="H1777" s="2415" t="s">
        <v>2521</v>
      </c>
      <c r="I1777" s="2565">
        <f>'Part IX A-Scoring Criteria'!I260</f>
        <v>0</v>
      </c>
      <c r="J1777" s="2565"/>
      <c r="K1777" s="2415" t="s">
        <v>2521</v>
      </c>
      <c r="L1777" s="2565">
        <f>'Part IX A-Scoring Criteria'!L260</f>
        <v>0</v>
      </c>
      <c r="M1777" s="2565"/>
      <c r="N1777" s="2473"/>
      <c r="O1777" s="2255"/>
      <c r="P1777" s="2255"/>
      <c r="R1777" s="2453"/>
    </row>
    <row r="1778" spans="1:19">
      <c r="B1778" s="2345" t="s">
        <v>2522</v>
      </c>
      <c r="C1778" s="519" t="s">
        <v>2716</v>
      </c>
      <c r="H1778" s="2345" t="s">
        <v>2522</v>
      </c>
      <c r="I1778" s="2565">
        <f>'Part IX A-Scoring Criteria'!I261</f>
        <v>0</v>
      </c>
      <c r="J1778" s="2565"/>
      <c r="K1778" s="2345" t="s">
        <v>2522</v>
      </c>
      <c r="L1778" s="2565">
        <f>'Part IX A-Scoring Criteria'!L261</f>
        <v>0</v>
      </c>
      <c r="M1778" s="2565"/>
      <c r="N1778" s="2473"/>
      <c r="O1778" s="2255"/>
      <c r="P1778" s="2255"/>
      <c r="R1778" s="2453"/>
    </row>
    <row r="1779" spans="1:19">
      <c r="A1779" s="2350"/>
      <c r="B1779" s="2345" t="s">
        <v>2523</v>
      </c>
      <c r="C1779" s="519" t="s">
        <v>3714</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9" t="s">
        <v>2842</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9"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9" t="s">
        <v>3983</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9" t="s">
        <v>3984</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9" t="s">
        <v>3986</v>
      </c>
      <c r="H1784" s="2345" t="s">
        <v>2543</v>
      </c>
      <c r="I1784" s="2565">
        <f>'Part IX A-Scoring Criteria'!I267</f>
        <v>1600000</v>
      </c>
      <c r="J1784" s="2565"/>
      <c r="K1784" s="2345" t="s">
        <v>2543</v>
      </c>
      <c r="L1784" s="2565">
        <f>'Part IX A-Scoring Criteria'!L267</f>
        <v>0</v>
      </c>
      <c r="M1784" s="2565"/>
      <c r="N1784" s="2473"/>
      <c r="O1784" s="2255"/>
      <c r="P1784" s="2255"/>
      <c r="R1784" s="2453"/>
    </row>
    <row r="1785" spans="1:19">
      <c r="A1785" s="2350"/>
      <c r="B1785" s="2345" t="s">
        <v>3987</v>
      </c>
      <c r="C1785" s="519" t="s">
        <v>3988</v>
      </c>
      <c r="H1785" s="2345" t="s">
        <v>3987</v>
      </c>
      <c r="I1785" s="2565">
        <f>'Part IX A-Scoring Criteria'!I268</f>
        <v>0</v>
      </c>
      <c r="J1785" s="2565"/>
      <c r="K1785" s="2345" t="s">
        <v>3987</v>
      </c>
      <c r="L1785" s="2565">
        <f>'Part IX A-Scoring Criteria'!L268</f>
        <v>0</v>
      </c>
      <c r="M1785" s="2565"/>
      <c r="N1785" s="2566" t="s">
        <v>3989</v>
      </c>
      <c r="O1785" s="2255"/>
      <c r="P1785" s="2255"/>
      <c r="R1785" s="2453"/>
    </row>
    <row r="1786" spans="1:19">
      <c r="A1786" s="2350"/>
      <c r="B1786" s="2540"/>
      <c r="C1786" s="2308" t="s">
        <v>2718</v>
      </c>
      <c r="H1786" s="504"/>
      <c r="I1786" s="2565">
        <f>SUM(I1776:J1785)</f>
        <v>1600000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9614942</v>
      </c>
      <c r="J1788" s="2565"/>
      <c r="L1788" s="2219"/>
      <c r="M1788" s="2219"/>
      <c r="N1788" s="2219"/>
      <c r="O1788" s="2219"/>
      <c r="P1788" s="2219"/>
    </row>
    <row r="1789" spans="1:19">
      <c r="B1789" s="2473"/>
      <c r="C1789" s="2568"/>
      <c r="D1789" s="2468" t="s">
        <v>2720</v>
      </c>
      <c r="G1789" s="2344"/>
      <c r="H1789" s="2344"/>
      <c r="I1789" s="2569">
        <f>IF($I1788=0,0,$I1786/$I1788)</f>
        <v>0.16640766007740868</v>
      </c>
      <c r="J1789" s="2569"/>
      <c r="L1789" s="2569">
        <f>IF($I1788=0,0,$L1786/$I1788)</f>
        <v>0</v>
      </c>
      <c r="M1789" s="2569"/>
    </row>
    <row r="1790" spans="1:19" ht="15">
      <c r="A1790" s="2289" t="s">
        <v>2061</v>
      </c>
      <c r="B1790" s="2455" t="s">
        <v>3990</v>
      </c>
      <c r="C1790" s="2443"/>
      <c r="D1790" s="519"/>
      <c r="E1790" s="519"/>
      <c r="F1790" s="2258"/>
      <c r="G1790" s="2443"/>
      <c r="H1790" s="519"/>
      <c r="I1790" s="2258"/>
      <c r="J1790" s="2308"/>
      <c r="K1790" s="2308"/>
      <c r="L1790" s="2308"/>
      <c r="M1790" s="2080">
        <v>2</v>
      </c>
      <c r="N1790" s="2345" t="s">
        <v>2061</v>
      </c>
      <c r="O1790" s="2439">
        <f>'Part IX A-Scoring Criteria'!O273</f>
        <v>2</v>
      </c>
      <c r="P1790" s="2439">
        <f>'Part IX A-Scoring Criteria'!P273</f>
        <v>0</v>
      </c>
      <c r="Q1790" s="2312" t="s">
        <v>2810</v>
      </c>
      <c r="R1790" s="2443"/>
      <c r="S1790" s="2443"/>
    </row>
    <row r="1791" spans="1:19" ht="15">
      <c r="A1791" s="2289"/>
      <c r="B1791" s="519" t="s">
        <v>3991</v>
      </c>
      <c r="C1791" s="519"/>
      <c r="D1791" s="519"/>
      <c r="E1791" s="519"/>
      <c r="F1791" s="519"/>
      <c r="G1791" s="519"/>
      <c r="H1791" s="519"/>
      <c r="I1791" s="519"/>
      <c r="J1791" s="519"/>
      <c r="K1791" s="519"/>
      <c r="L1791" s="519"/>
      <c r="M1791" s="519"/>
      <c r="N1791" s="519"/>
      <c r="O1791" s="2372" t="str">
        <f>'Part IX A-Scoring Criteria'!O274</f>
        <v>Yes</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2972</v>
      </c>
      <c r="C1793" s="2443"/>
      <c r="D1793" s="2443"/>
      <c r="E1793" s="2443"/>
      <c r="F1793" s="2443"/>
      <c r="G1793" s="2443"/>
      <c r="H1793" s="2443"/>
      <c r="I1793" s="2337" t="str">
        <f>'Part IX A-Scoring Criteria'!I276</f>
        <v>N/A</v>
      </c>
      <c r="J1793" s="2337"/>
      <c r="K1793" s="2337"/>
      <c r="L1793" s="2337"/>
      <c r="M1793" s="2337"/>
      <c r="N1793" s="2337"/>
      <c r="O1793" s="2443"/>
      <c r="P1793" s="2443"/>
      <c r="Q1793" s="2443"/>
      <c r="R1793" s="2443"/>
      <c r="S1793" s="2443"/>
    </row>
    <row r="1794" spans="1:19" ht="15">
      <c r="A1794" s="2485"/>
      <c r="B1794" s="2468" t="s">
        <v>3993</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4084</v>
      </c>
      <c r="F1795" s="2414"/>
      <c r="G1795" s="2414"/>
      <c r="H1795" s="2414"/>
      <c r="I1795" s="2405" t="str">
        <f>'Part IX A-Scoring Criteria'!I278</f>
        <v>N/a</v>
      </c>
      <c r="K1795" s="2414"/>
      <c r="L1795" s="2414"/>
      <c r="M1795" s="2414"/>
      <c r="N1795" s="2414"/>
      <c r="O1795" s="2414"/>
      <c r="P1795" s="2414"/>
    </row>
    <row r="1796" spans="1:19">
      <c r="A1796" s="2350"/>
      <c r="B1796" s="2397" t="s">
        <v>3992</v>
      </c>
      <c r="G1796" s="2397"/>
      <c r="I1796" s="2570" t="str">
        <f>'Part IX A-Scoring Criteria'!I279</f>
        <v>N/A</v>
      </c>
      <c r="J1796" s="2571"/>
      <c r="K1796" s="2414"/>
      <c r="L1796" s="2414"/>
      <c r="M1796" s="2414"/>
      <c r="N1796" s="2414"/>
      <c r="O1796" s="2414"/>
      <c r="P1796" s="2414"/>
    </row>
    <row r="1797" spans="1:19" ht="12.75" customHeight="1">
      <c r="A1797" s="2350"/>
      <c r="B1797" s="2374" t="s">
        <v>2438</v>
      </c>
      <c r="C1797" s="2374"/>
      <c r="D1797" s="2151" t="str">
        <f>'Part IX A-Scoring Criteria'!D280</f>
        <v>N/A</v>
      </c>
      <c r="E1797" s="2151"/>
      <c r="F1797" s="2151"/>
      <c r="G1797" s="2151"/>
      <c r="H1797" s="2151"/>
      <c r="I1797" s="2151"/>
      <c r="J1797" s="2151"/>
      <c r="K1797" s="2151"/>
      <c r="L1797" s="2151"/>
      <c r="M1797" s="2151"/>
      <c r="N1797" s="2151"/>
      <c r="O1797" s="2151"/>
      <c r="P1797" s="2151"/>
    </row>
    <row r="1798" spans="1:19">
      <c r="B1798" s="519" t="s">
        <v>3701</v>
      </c>
      <c r="E1798" s="2425"/>
      <c r="I1798" s="2572">
        <f>'Part IX A-Scoring Criteria'!I281</f>
        <v>0</v>
      </c>
      <c r="J1798" s="2572"/>
      <c r="L1798" s="2565">
        <f>'Part IX A-Scoring Criteria'!L281</f>
        <v>0</v>
      </c>
      <c r="M1798" s="2565"/>
      <c r="P1798" s="2255"/>
    </row>
    <row r="1799" spans="1:19" ht="15">
      <c r="A1799" s="2079"/>
      <c r="B1799" s="2443"/>
      <c r="C1799" s="519" t="s">
        <v>4167</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409.5">
      <c r="A1801" s="2374" t="str">
        <f>'Part IX A-Scoring Criteria'!A284</f>
        <v>The applicant is proposing new financing in the form of a FHA Section 221(d)(4) loan for $1,600,000 that meets DCA's criteria in scoring section 15 (A).  The applicant is also receiving a long-term ground lease on the land (no less than 45-years) for nominal consideration and no other land costs for the entire property.  Please see all the documentation in Tab 37 and Tab 8 for further information.</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3604</v>
      </c>
      <c r="C1805" s="2345"/>
      <c r="D1805" s="2443"/>
      <c r="E1805" s="2472"/>
      <c r="F1805" s="2443"/>
      <c r="G1805" s="2277" t="s">
        <v>2912</v>
      </c>
      <c r="H1805" s="2443"/>
      <c r="I1805" s="2269" t="str">
        <f>'Part I-Project Information'!$H$90</f>
        <v>Rural</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2843</v>
      </c>
      <c r="C1806" s="2443"/>
      <c r="D1806" s="2079"/>
      <c r="E1806" s="2443"/>
      <c r="F1806" s="2443"/>
      <c r="G1806" s="504" t="s">
        <v>2433</v>
      </c>
      <c r="H1806" s="2443"/>
      <c r="I1806" s="2443"/>
      <c r="J1806" s="2443"/>
      <c r="K1806" s="2443"/>
      <c r="L1806" s="2443"/>
      <c r="M1806" s="2080">
        <v>3</v>
      </c>
      <c r="N1806" s="2345" t="s">
        <v>2058</v>
      </c>
      <c r="O1806" s="2372" t="str">
        <f>'Part IX A-Scoring Criteria'!O289</f>
        <v>No</v>
      </c>
      <c r="P1806" s="2372">
        <f>'Part IX A-Scoring Criteria'!P289</f>
        <v>0</v>
      </c>
      <c r="Q1806" s="2443"/>
      <c r="R1806" s="2453"/>
      <c r="S1806" s="2443"/>
    </row>
    <row r="1807" spans="1:19" ht="15" customHeight="1">
      <c r="A1807" s="2289" t="s">
        <v>2061</v>
      </c>
      <c r="B1807" s="2277" t="s">
        <v>3605</v>
      </c>
      <c r="C1807" s="2443"/>
      <c r="D1807" s="2079"/>
      <c r="E1807" s="2443"/>
      <c r="F1807" s="2345"/>
      <c r="G1807" s="504" t="s">
        <v>4112</v>
      </c>
      <c r="H1807" s="2443"/>
      <c r="I1807" s="2368" t="str">
        <f>'Part IX A-Scoring Criteria'!I290</f>
        <v>&lt;&lt; Choose category in which to compete &gt;&gt;</v>
      </c>
      <c r="J1807" s="2368"/>
      <c r="K1807" s="2368"/>
      <c r="L1807" s="2368"/>
      <c r="M1807" s="2443"/>
      <c r="N1807" s="2443"/>
      <c r="O1807" s="2153" t="s">
        <v>4482</v>
      </c>
      <c r="P1807" s="2153"/>
      <c r="Q1807" s="2443"/>
      <c r="R1807" s="2453"/>
      <c r="S1807" s="2443"/>
    </row>
    <row r="1808" spans="1:19" ht="15">
      <c r="A1808" s="2462" t="s">
        <v>779</v>
      </c>
      <c r="B1808" s="2306" t="s">
        <v>3994</v>
      </c>
      <c r="C1808" s="2465"/>
      <c r="D1808" s="2251"/>
      <c r="E1808" s="2251"/>
      <c r="F1808" s="2079"/>
      <c r="G1808" s="2443"/>
      <c r="H1808" s="2443"/>
      <c r="I1808" s="2443"/>
      <c r="J1808" s="2443"/>
      <c r="K1808" s="2443"/>
      <c r="L1808" s="2573" t="s">
        <v>4001</v>
      </c>
      <c r="M1808" s="2443"/>
      <c r="N1808" s="2443"/>
      <c r="O1808" s="2153"/>
      <c r="P1808" s="2153"/>
      <c r="Q1808" s="2443"/>
      <c r="R1808" s="2453"/>
      <c r="S1808" s="2443"/>
    </row>
    <row r="1809" spans="1:19" ht="15">
      <c r="A1809" s="2289"/>
      <c r="B1809" s="2520" t="s">
        <v>2062</v>
      </c>
      <c r="C1809" s="519" t="s">
        <v>3995</v>
      </c>
      <c r="D1809" s="2079"/>
      <c r="E1809" s="2458"/>
      <c r="F1809" s="2079"/>
      <c r="G1809" s="2458"/>
      <c r="H1809" s="519"/>
      <c r="I1809" s="2458"/>
      <c r="J1809" s="2458"/>
      <c r="K1809" s="2458"/>
      <c r="L1809" s="2540" t="s">
        <v>4002</v>
      </c>
      <c r="M1809" s="2458"/>
      <c r="N1809" s="2345" t="s">
        <v>779</v>
      </c>
      <c r="O1809" s="2473" t="s">
        <v>2062</v>
      </c>
      <c r="P1809" s="2372">
        <f>'Part IX A-Scoring Criteria'!P292</f>
        <v>0</v>
      </c>
      <c r="Q1809" s="2458"/>
      <c r="R1809" s="2453"/>
      <c r="S1809" s="2458"/>
    </row>
    <row r="1810" spans="1:19" ht="15">
      <c r="A1810" s="2289"/>
      <c r="B1810" s="2520" t="s">
        <v>2064</v>
      </c>
      <c r="C1810" s="519" t="s">
        <v>3996</v>
      </c>
      <c r="D1810" s="2079"/>
      <c r="E1810" s="2458"/>
      <c r="F1810" s="2079"/>
      <c r="G1810" s="2458"/>
      <c r="H1810" s="519"/>
      <c r="I1810" s="2458"/>
      <c r="J1810" s="2458"/>
      <c r="K1810" s="2458"/>
      <c r="L1810" s="2540" t="s">
        <v>4002</v>
      </c>
      <c r="M1810" s="2458"/>
      <c r="N1810" s="2458"/>
      <c r="O1810" s="2473" t="s">
        <v>2064</v>
      </c>
      <c r="P1810" s="2372">
        <f>'Part IX A-Scoring Criteria'!P293</f>
        <v>0</v>
      </c>
      <c r="Q1810" s="2458"/>
      <c r="R1810" s="2453"/>
      <c r="S1810" s="2458"/>
    </row>
    <row r="1811" spans="1:19" ht="15">
      <c r="A1811" s="2289"/>
      <c r="B1811" s="2520" t="s">
        <v>2622</v>
      </c>
      <c r="C1811" s="519" t="s">
        <v>3997</v>
      </c>
      <c r="D1811" s="2079"/>
      <c r="E1811" s="2458"/>
      <c r="F1811" s="2079"/>
      <c r="G1811" s="2458"/>
      <c r="H1811" s="519"/>
      <c r="I1811" s="2458"/>
      <c r="J1811" s="2458"/>
      <c r="K1811" s="2458"/>
      <c r="L1811" s="2540" t="s">
        <v>4003</v>
      </c>
      <c r="M1811" s="2458"/>
      <c r="N1811" s="2458"/>
      <c r="O1811" s="2473" t="s">
        <v>2622</v>
      </c>
      <c r="P1811" s="2372">
        <f>'Part IX A-Scoring Criteria'!P294</f>
        <v>0</v>
      </c>
      <c r="Q1811" s="2458"/>
      <c r="R1811" s="2453"/>
      <c r="S1811" s="2458"/>
    </row>
    <row r="1812" spans="1:19" ht="15">
      <c r="A1812" s="2289"/>
      <c r="B1812" s="2520" t="s">
        <v>1270</v>
      </c>
      <c r="C1812" s="519" t="s">
        <v>3998</v>
      </c>
      <c r="D1812" s="2079"/>
      <c r="E1812" s="2458"/>
      <c r="F1812" s="2079"/>
      <c r="G1812" s="2458"/>
      <c r="H1812" s="519"/>
      <c r="I1812" s="2458"/>
      <c r="J1812" s="2458"/>
      <c r="K1812" s="2458"/>
      <c r="L1812" s="2540" t="s">
        <v>4003</v>
      </c>
      <c r="M1812" s="2458"/>
      <c r="N1812" s="2458"/>
      <c r="O1812" s="2473" t="s">
        <v>1270</v>
      </c>
      <c r="P1812" s="2372">
        <f>'Part IX A-Scoring Criteria'!P295</f>
        <v>0</v>
      </c>
      <c r="Q1812" s="2458"/>
      <c r="R1812" s="2453"/>
      <c r="S1812" s="2458"/>
    </row>
    <row r="1813" spans="1:19" ht="15">
      <c r="A1813" s="2289"/>
      <c r="B1813" s="2520" t="s">
        <v>1271</v>
      </c>
      <c r="C1813" s="519" t="s">
        <v>3999</v>
      </c>
      <c r="D1813" s="2079"/>
      <c r="E1813" s="2458"/>
      <c r="F1813" s="2079"/>
      <c r="G1813" s="2458"/>
      <c r="H1813" s="519"/>
      <c r="I1813" s="2458"/>
      <c r="J1813" s="2458"/>
      <c r="K1813" s="2458"/>
      <c r="L1813" s="2540" t="s">
        <v>4003</v>
      </c>
      <c r="M1813" s="2458"/>
      <c r="N1813" s="2458"/>
      <c r="O1813" s="2473" t="s">
        <v>1271</v>
      </c>
      <c r="P1813" s="2372">
        <f>'Part IX A-Scoring Criteria'!P296</f>
        <v>0</v>
      </c>
      <c r="Q1813" s="2458"/>
      <c r="R1813" s="2453"/>
      <c r="S1813" s="2458"/>
    </row>
    <row r="1814" spans="1:19" ht="15">
      <c r="A1814" s="2410"/>
      <c r="B1814" s="2533" t="s">
        <v>1955</v>
      </c>
      <c r="C1814" s="2397" t="s">
        <v>4000</v>
      </c>
      <c r="D1814" s="2397"/>
      <c r="E1814" s="2397"/>
      <c r="F1814" s="2397"/>
      <c r="G1814" s="2397"/>
      <c r="H1814" s="2397"/>
      <c r="I1814" s="2397"/>
      <c r="J1814" s="2397"/>
      <c r="K1814" s="2397"/>
      <c r="L1814" s="2540" t="s">
        <v>4003</v>
      </c>
      <c r="M1814" s="2482"/>
      <c r="N1814" s="2482"/>
      <c r="O1814" s="2460" t="s">
        <v>1955</v>
      </c>
      <c r="P1814" s="2372">
        <f>'Part IX A-Scoring Criteria'!P297</f>
        <v>0</v>
      </c>
      <c r="Q1814" s="2482"/>
      <c r="R1814" s="2481"/>
      <c r="S1814" s="2482"/>
    </row>
    <row r="1815" spans="1:19" ht="15">
      <c r="A1815" s="2443"/>
      <c r="B1815" s="2336" t="s">
        <v>1937</v>
      </c>
      <c r="C1815" s="504"/>
      <c r="D1815" s="2079"/>
      <c r="E1815" s="2443"/>
      <c r="F1815" s="2079"/>
      <c r="G1815" s="2443"/>
      <c r="H1815" s="504"/>
      <c r="I1815" s="2443"/>
      <c r="J1815" s="2443"/>
      <c r="K1815" s="2443"/>
      <c r="L1815" s="2540" t="s">
        <v>4004</v>
      </c>
      <c r="M1815" s="2443"/>
      <c r="N1815" s="2443"/>
      <c r="O1815" s="2574" t="s">
        <v>3606</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2825</v>
      </c>
      <c r="C1818" s="2330"/>
      <c r="D1818" s="2426"/>
      <c r="E1818" s="519"/>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4069</v>
      </c>
      <c r="C1819" s="2443"/>
      <c r="D1819" s="2079"/>
      <c r="E1819" s="2079"/>
      <c r="F1819" s="2079"/>
      <c r="G1819" s="2443"/>
      <c r="H1819" s="2575" t="s">
        <v>4292</v>
      </c>
      <c r="I1819" s="2576">
        <f>IF('Part VI-Revenues &amp; Expenses'!$O$62=0,0,L1820/'Part VI-Revenues &amp; Expenses'!$O$62)</f>
        <v>5.7142857142857141E-2</v>
      </c>
      <c r="J1819" s="2443"/>
      <c r="K1819" s="2345" t="s">
        <v>4068</v>
      </c>
      <c r="L1819" s="2576">
        <f>IF('Part VI-Revenues &amp; Expenses'!$O$58=0,0,'Part VI-Revenues &amp; Expenses'!$K$58/'Part VI-Revenues &amp; Expenses'!$O$58)</f>
        <v>0.14285714285714285</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4289</v>
      </c>
      <c r="D1820" s="2374"/>
      <c r="E1820" s="2374"/>
      <c r="F1820" s="2374"/>
      <c r="G1820" s="2374"/>
      <c r="H1820" s="2374"/>
      <c r="I1820" s="2577" t="s">
        <v>4293</v>
      </c>
      <c r="J1820" s="2578">
        <f>'Part IX A-Scoring Criteria'!J303</f>
        <v>4</v>
      </c>
      <c r="K1820" s="2577" t="s">
        <v>4291</v>
      </c>
      <c r="L1820" s="2578">
        <f>'Part IX A-Scoring Criteria'!L303</f>
        <v>4</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3607</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4007</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2826</v>
      </c>
      <c r="C1824" s="2443"/>
      <c r="D1824" s="2308"/>
      <c r="E1824" s="2443"/>
      <c r="F1824" s="2443"/>
      <c r="G1824" s="519"/>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3715</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9"/>
      <c r="R1825" s="2481"/>
      <c r="S1825" s="2482"/>
    </row>
    <row r="1826" spans="1:19" ht="22.5">
      <c r="A1826" s="2410"/>
      <c r="B1826" s="2533"/>
      <c r="C1826" s="2423" t="s">
        <v>4086</v>
      </c>
      <c r="D1826" s="2377"/>
      <c r="E1826" s="2377"/>
      <c r="F1826" s="2377"/>
      <c r="G1826" s="2374" t="str">
        <f>'Part IX A-Scoring Criteria'!G309</f>
        <v>N/A</v>
      </c>
      <c r="H1826" s="2374"/>
      <c r="I1826" s="2374"/>
      <c r="J1826" s="2374"/>
      <c r="K1826" s="2377" t="s">
        <v>4087</v>
      </c>
      <c r="L1826" s="2581" t="str">
        <f>'Part IX A-Scoring Criteria'!L309</f>
        <v>N/A</v>
      </c>
      <c r="M1826" s="2374"/>
      <c r="N1826" s="2460"/>
      <c r="O1826" s="2460"/>
      <c r="P1826" s="2460"/>
      <c r="Q1826" s="2579"/>
      <c r="R1826" s="2481"/>
      <c r="S1826" s="2482"/>
    </row>
    <row r="1827" spans="1:19">
      <c r="A1827" s="2330"/>
      <c r="B1827" s="2533" t="s">
        <v>2064</v>
      </c>
      <c r="C1827" s="2397" t="s">
        <v>3608</v>
      </c>
      <c r="D1827" s="2397"/>
      <c r="E1827" s="2397"/>
      <c r="F1827" s="2397"/>
      <c r="G1827" s="2397"/>
      <c r="H1827" s="2397"/>
      <c r="I1827" s="2397"/>
      <c r="J1827" s="2397" t="s">
        <v>4085</v>
      </c>
      <c r="K1827" s="2397"/>
      <c r="L1827" s="2344">
        <f>'Part IX A-Scoring Criteria'!L310</f>
        <v>0</v>
      </c>
      <c r="M1827" s="2582">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3" t="s">
        <v>3601</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3716</v>
      </c>
      <c r="C1833" s="2482"/>
      <c r="D1833" s="519" t="str">
        <f>'Part IX A-Scoring Criteria'!D316</f>
        <v>&lt;&lt;Select applicable status&gt;&gt;</v>
      </c>
      <c r="E1833" s="519"/>
      <c r="F1833" s="519"/>
      <c r="G1833" s="519"/>
      <c r="H1833" s="519"/>
      <c r="I1833" s="519"/>
      <c r="J1833" s="2397" t="s">
        <v>2961</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4483</v>
      </c>
      <c r="C1835" s="2397"/>
      <c r="D1835" s="2397"/>
      <c r="E1835" s="2397"/>
      <c r="F1835" s="2397"/>
      <c r="G1835" s="2397"/>
      <c r="H1835" s="2397"/>
      <c r="I1835" s="2397"/>
      <c r="J1835" s="2397" t="s">
        <v>4008</v>
      </c>
      <c r="K1835" s="2482"/>
      <c r="L1835" s="2583">
        <f>'Part VI-Revenues &amp; Expenses'!$O$82</f>
        <v>0</v>
      </c>
      <c r="M1835" s="2480">
        <v>2</v>
      </c>
      <c r="N1835" s="2415" t="s">
        <v>2058</v>
      </c>
      <c r="O1835" s="2439">
        <f>'Part IX A-Scoring Criteria'!O318</f>
        <v>0</v>
      </c>
      <c r="P1835" s="2439">
        <f>'Part IX A-Scoring Criteria'!P318</f>
        <v>0</v>
      </c>
      <c r="Q1835" s="2074" t="s">
        <v>2810</v>
      </c>
      <c r="R1835" s="2482"/>
      <c r="S1835" s="2482"/>
    </row>
    <row r="1836" spans="1:19" ht="15" customHeight="1">
      <c r="A1836" s="2579"/>
      <c r="B1836" s="2374" t="s">
        <v>4009</v>
      </c>
      <c r="C1836" s="2374"/>
      <c r="D1836" s="2374"/>
      <c r="E1836" s="2374"/>
      <c r="F1836" s="2374"/>
      <c r="G1836" s="2374"/>
      <c r="H1836" s="2374"/>
      <c r="I1836" s="2397"/>
      <c r="J1836" s="2423" t="s">
        <v>2959</v>
      </c>
      <c r="K1836" s="2482"/>
      <c r="L1836" s="2583">
        <f>'Part VI-Revenues &amp; Expenses'!$O$62</f>
        <v>70</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2960</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N/A</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3544</v>
      </c>
      <c r="C1841" s="2397"/>
      <c r="D1841" s="2482"/>
      <c r="E1841" s="2482"/>
      <c r="F1841" s="2482"/>
      <c r="G1841" s="2482"/>
      <c r="H1841" s="2397"/>
      <c r="I1841" s="2482"/>
      <c r="J1841" s="2397" t="s">
        <v>3610</v>
      </c>
      <c r="K1841" s="2482"/>
      <c r="L1841" s="2583">
        <f>'Part VI-Revenues &amp; Expenses'!$O$84</f>
        <v>0</v>
      </c>
      <c r="M1841" s="2480">
        <v>1</v>
      </c>
      <c r="N1841" s="2415" t="s">
        <v>2061</v>
      </c>
      <c r="O1841" s="2439">
        <f>'Part IX A-Scoring Criteria'!O324</f>
        <v>0</v>
      </c>
      <c r="P1841" s="2439">
        <f>'Part IX A-Scoring Criteria'!P324</f>
        <v>0</v>
      </c>
      <c r="Q1841" s="2074" t="s">
        <v>2810</v>
      </c>
      <c r="R1841" s="2482"/>
      <c r="S1841" s="2482"/>
    </row>
    <row r="1842" spans="1:19" ht="15" customHeight="1">
      <c r="A1842" s="2584"/>
      <c r="B1842" s="2374" t="s">
        <v>4114</v>
      </c>
      <c r="C1842" s="2374"/>
      <c r="D1842" s="2374"/>
      <c r="E1842" s="2374"/>
      <c r="F1842" s="2374"/>
      <c r="G1842" s="2374"/>
      <c r="H1842" s="2374"/>
      <c r="I1842" s="2374"/>
      <c r="J1842" s="2423" t="s">
        <v>2959</v>
      </c>
      <c r="K1842" s="2482"/>
      <c r="L1842" s="2583">
        <f>'Part VI-Revenues &amp; Expenses'!$O$62</f>
        <v>70</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2960</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4484</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4115</v>
      </c>
      <c r="C1849" s="2261"/>
      <c r="D1849" s="2587">
        <f>IF('Part VI-Revenues &amp; Expenses'!$O$62=0,0,'Part IV-Uses of Funds'!$J$172/'Part VI-Revenues &amp; Expenses'!$O$62)</f>
        <v>7896.4857142857145</v>
      </c>
      <c r="E1849" s="2587"/>
      <c r="F1849" s="2261" t="s">
        <v>4116</v>
      </c>
      <c r="G1849" s="2588"/>
      <c r="H1849" s="2589">
        <f>IF('Part VI-Revenues &amp; Expenses'!$O$62=0,0,('Part VI-Revenues &amp; Expenses'!$O$77+'Part VI-Revenues &amp; Expenses'!$O$80+'Part VI-Revenues &amp; Expenses'!$O$84)/'Part VI-Revenues &amp; Expenses'!$O$62)</f>
        <v>1</v>
      </c>
      <c r="I1849" s="2307" t="s">
        <v>4485</v>
      </c>
      <c r="J1849" s="2472"/>
      <c r="K1849" s="2472"/>
      <c r="L1849" s="2443"/>
      <c r="M1849" s="2080">
        <v>20</v>
      </c>
      <c r="N1849" s="2080"/>
      <c r="O1849" s="2439">
        <f>'Part IX A-Scoring Criteria'!O332</f>
        <v>5</v>
      </c>
      <c r="P1849" s="2439">
        <f>'Part IX A-Scoring Criteria'!P332</f>
        <v>0</v>
      </c>
      <c r="Q1849" s="2258"/>
      <c r="R1849" s="2443"/>
      <c r="S1849" s="2443"/>
    </row>
    <row r="1850" spans="1:19" ht="15">
      <c r="A1850" s="2289" t="s">
        <v>2058</v>
      </c>
      <c r="B1850" s="2372" t="s">
        <v>2062</v>
      </c>
      <c r="C1850" s="519" t="s">
        <v>4010</v>
      </c>
      <c r="D1850" s="2443"/>
      <c r="E1850" s="519"/>
      <c r="F1850" s="519"/>
      <c r="G1850" s="519"/>
      <c r="H1850" s="2443"/>
      <c r="I1850" s="2443"/>
      <c r="J1850" s="2443"/>
      <c r="K1850" s="2443"/>
      <c r="L1850" s="2443"/>
      <c r="M1850" s="2480">
        <v>6</v>
      </c>
      <c r="N1850" s="2472"/>
      <c r="O1850" s="2590">
        <f>'Part IX A-Scoring Criteria'!O333</f>
        <v>0</v>
      </c>
      <c r="P1850" s="2590">
        <f>'Part IX A-Scoring Criteria'!P333</f>
        <v>0</v>
      </c>
      <c r="Q1850" s="2074" t="s">
        <v>2810</v>
      </c>
      <c r="R1850" s="2443"/>
      <c r="S1850" s="2443"/>
    </row>
    <row r="1851" spans="1:19" ht="15">
      <c r="A1851" s="2367"/>
      <c r="B1851" s="2372"/>
      <c r="C1851" s="2308" t="s">
        <v>3880</v>
      </c>
      <c r="D1851" s="2344">
        <f>'Part IX A-Scoring Criteria'!D334</f>
        <v>0</v>
      </c>
      <c r="E1851" s="519"/>
      <c r="F1851" s="2308" t="s">
        <v>3881</v>
      </c>
      <c r="G1851" s="2591">
        <f>'Part IX A-Scoring Criteria'!G334</f>
        <v>0</v>
      </c>
      <c r="H1851" s="2443"/>
      <c r="I1851" s="504" t="s">
        <v>4011</v>
      </c>
      <c r="J1851" s="504"/>
      <c r="K1851" s="2426">
        <f>'Part IX A-Scoring Criteria'!K334:L334</f>
        <v>0</v>
      </c>
      <c r="L1851" s="2426"/>
      <c r="M1851" s="2480"/>
      <c r="N1851" s="2472"/>
      <c r="O1851" s="2590"/>
      <c r="P1851" s="2590"/>
      <c r="Q1851" s="2074"/>
      <c r="R1851" s="2443"/>
      <c r="S1851" s="2443"/>
    </row>
    <row r="1852" spans="1:19" ht="15">
      <c r="A1852" s="2367" t="s">
        <v>1403</v>
      </c>
      <c r="B1852" s="2372" t="s">
        <v>2064</v>
      </c>
      <c r="C1852" s="519" t="s">
        <v>4012</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3880</v>
      </c>
      <c r="D1853" s="2344">
        <f>'Part IX A-Scoring Criteria'!D336</f>
        <v>0</v>
      </c>
      <c r="E1853" s="519"/>
      <c r="F1853" s="2308" t="s">
        <v>3881</v>
      </c>
      <c r="G1853" s="2591">
        <f>'Part IX A-Scoring Criteria'!G336</f>
        <v>0</v>
      </c>
      <c r="H1853" s="2443"/>
      <c r="I1853" s="504" t="s">
        <v>4011</v>
      </c>
      <c r="J1853" s="504"/>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3611</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3868</v>
      </c>
      <c r="D1855" s="2580"/>
      <c r="E1855" s="2482"/>
      <c r="F1855" s="2482"/>
      <c r="G1855" s="2594">
        <f>'Part IX A-Scoring Criteria'!G338</f>
        <v>0</v>
      </c>
      <c r="H1855" s="2580"/>
      <c r="I1855" s="2423" t="s">
        <v>3867</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4013</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6" t="s">
        <v>2810</v>
      </c>
      <c r="R1856" s="2482"/>
      <c r="S1856" s="2482"/>
    </row>
    <row r="1857" spans="1:19" ht="22.5">
      <c r="A1857" s="2410"/>
      <c r="B1857" s="2533"/>
      <c r="C1857" s="2423" t="s">
        <v>4088</v>
      </c>
      <c r="D1857" s="2377"/>
      <c r="E1857" s="2377"/>
      <c r="F1857" s="2374">
        <f>'Part IX A-Scoring Criteria'!F340</f>
        <v>0</v>
      </c>
      <c r="G1857" s="2374"/>
      <c r="H1857" s="2374"/>
      <c r="I1857" s="2374"/>
      <c r="K1857" s="2377" t="s">
        <v>4087</v>
      </c>
      <c r="L1857" s="2581">
        <f>'Part IX A-Scoring Criteria'!L340</f>
        <v>0</v>
      </c>
      <c r="M1857" s="2374"/>
      <c r="N1857" s="2460"/>
      <c r="O1857" s="2460"/>
      <c r="P1857" s="2460"/>
      <c r="Q1857" s="2579"/>
      <c r="R1857" s="2481"/>
      <c r="S1857" s="2482"/>
    </row>
    <row r="1858" spans="1:19" ht="15" customHeight="1">
      <c r="A1858" s="2410" t="s">
        <v>779</v>
      </c>
      <c r="B1858" s="2482"/>
      <c r="C1858" s="2374" t="s">
        <v>4014</v>
      </c>
      <c r="D1858" s="2374"/>
      <c r="E1858" s="2374"/>
      <c r="F1858" s="2374"/>
      <c r="G1858" s="2374"/>
      <c r="H1858" s="2374"/>
      <c r="I1858" s="2374"/>
      <c r="J1858" s="2374" t="s">
        <v>4016</v>
      </c>
      <c r="K1858" s="2374"/>
      <c r="L1858" s="2372" t="str">
        <f>'Part I-Project Information'!$H$90</f>
        <v>Rural</v>
      </c>
      <c r="M1858" s="2480">
        <v>3</v>
      </c>
      <c r="N1858" s="2593"/>
      <c r="O1858" s="2590">
        <f>'Part IX A-Scoring Criteria'!O341</f>
        <v>0</v>
      </c>
      <c r="P1858" s="2590">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4017</v>
      </c>
      <c r="K1859" s="2374"/>
      <c r="L1859" s="2595">
        <f>'Part IX A-Scoring Criteria'!L342</f>
        <v>2</v>
      </c>
      <c r="M1859" s="2480"/>
      <c r="N1859" s="2593"/>
      <c r="O1859" s="2590"/>
      <c r="P1859" s="2590"/>
      <c r="Q1859" s="2074"/>
      <c r="R1859" s="2482"/>
      <c r="S1859" s="2482"/>
    </row>
    <row r="1860" spans="1:19" ht="15" customHeight="1">
      <c r="A1860" s="2410" t="s">
        <v>2193</v>
      </c>
      <c r="B1860" s="2482"/>
      <c r="C1860" s="2374" t="s">
        <v>4015</v>
      </c>
      <c r="D1860" s="2374"/>
      <c r="E1860" s="2374"/>
      <c r="F1860" s="2374"/>
      <c r="G1860" s="2374"/>
      <c r="H1860" s="2374"/>
      <c r="I1860" s="2397"/>
      <c r="J1860" s="2374" t="s">
        <v>4018</v>
      </c>
      <c r="K1860" s="2374"/>
      <c r="L1860" s="2595">
        <f>'Part IX A-Scoring Criteria'!L343</f>
        <v>0</v>
      </c>
      <c r="M1860" s="2480">
        <v>3</v>
      </c>
      <c r="N1860" s="2593"/>
      <c r="O1860" s="2439">
        <f>'Part IX A-Scoring Criteria'!O343</f>
        <v>0</v>
      </c>
      <c r="P1860" s="2439">
        <f>'Part IX A-Scoring Criteria'!P343</f>
        <v>0</v>
      </c>
      <c r="Q1860" s="2074" t="s">
        <v>2810</v>
      </c>
      <c r="R1860" s="2482"/>
      <c r="S1860" s="2482"/>
    </row>
    <row r="1861" spans="1:19" ht="15" customHeight="1">
      <c r="A1861" s="2410" t="s">
        <v>1801</v>
      </c>
      <c r="B1861" s="2372" t="s">
        <v>2062</v>
      </c>
      <c r="C1861" s="2374" t="s">
        <v>3704</v>
      </c>
      <c r="D1861" s="2374"/>
      <c r="E1861" s="2374"/>
      <c r="F1861" s="2374"/>
      <c r="G1861" s="2374"/>
      <c r="H1861" s="2374"/>
      <c r="I1861" s="2374"/>
      <c r="J1861" s="2374"/>
      <c r="K1861" s="2374"/>
      <c r="L1861" s="2374"/>
      <c r="M1861" s="2480">
        <v>2</v>
      </c>
      <c r="N1861" s="2472"/>
      <c r="O1861" s="2590">
        <f>'Part IX A-Scoring Criteria'!O344</f>
        <v>2</v>
      </c>
      <c r="P1861" s="2590">
        <f>'Part IX A-Scoring Criteria'!P344</f>
        <v>0</v>
      </c>
      <c r="Q1861" s="2074" t="s">
        <v>2810</v>
      </c>
      <c r="R1861" s="2443"/>
      <c r="S1861" s="2443"/>
    </row>
    <row r="1862" spans="1:19" ht="15" customHeight="1">
      <c r="A1862" s="2367" t="s">
        <v>1403</v>
      </c>
      <c r="B1862" s="2372" t="s">
        <v>2064</v>
      </c>
      <c r="C1862" s="2382" t="s">
        <v>3703</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3878</v>
      </c>
      <c r="D1863" s="2596"/>
      <c r="E1863" s="2596"/>
      <c r="F1863" s="2404" t="s">
        <v>3871</v>
      </c>
      <c r="G1863" s="2404" t="s">
        <v>3872</v>
      </c>
      <c r="H1863" s="2404" t="s">
        <v>3873</v>
      </c>
      <c r="I1863" s="2404" t="s">
        <v>3874</v>
      </c>
      <c r="J1863" s="2404" t="s">
        <v>3875</v>
      </c>
      <c r="K1863" s="2404" t="s">
        <v>3876</v>
      </c>
      <c r="L1863" s="2404" t="s">
        <v>3877</v>
      </c>
      <c r="M1863" s="2597"/>
      <c r="N1863" s="2597"/>
      <c r="O1863" s="2597"/>
      <c r="P1863" s="2597"/>
      <c r="Q1863" s="504"/>
      <c r="R1863" s="2443"/>
      <c r="S1863" s="2443"/>
    </row>
    <row r="1864" spans="1:19" ht="15">
      <c r="A1864" s="2443"/>
      <c r="B1864" s="2367"/>
      <c r="C1864" s="2336" t="s">
        <v>3879</v>
      </c>
      <c r="D1864" s="2336"/>
      <c r="E1864" s="2336"/>
      <c r="F1864" s="2598">
        <f>'Part IX A-Scoring Criteria'!F347</f>
        <v>0.88570000000000004</v>
      </c>
      <c r="G1864" s="2598">
        <f>'Part IX A-Scoring Criteria'!G347</f>
        <v>0.87139999999999995</v>
      </c>
      <c r="H1864" s="2598">
        <f>'Part IX A-Scoring Criteria'!H347</f>
        <v>0.85709999999999997</v>
      </c>
      <c r="I1864" s="2598">
        <f>'Part IX A-Scoring Criteria'!I347</f>
        <v>0.94289999999999996</v>
      </c>
      <c r="J1864" s="2598">
        <f>'Part IX A-Scoring Criteria'!J347</f>
        <v>0.95709999999999995</v>
      </c>
      <c r="K1864" s="2598">
        <f>'Part IX A-Scoring Criteria'!K347</f>
        <v>0.95709999999999995</v>
      </c>
      <c r="L1864" s="2598">
        <f>IF(OR(F1864=0,G1864=0,H1864=0,I1864=0,J1864=0,K1864=0),"Missing Rent Roll",AVERAGE(F1864,G1864,H1864,I1864,J1864,K1864))</f>
        <v>0.91188333333333327</v>
      </c>
      <c r="M1864" s="2597"/>
      <c r="N1864" s="2597"/>
      <c r="O1864" s="2597"/>
      <c r="P1864" s="2597"/>
      <c r="Q1864" s="504"/>
      <c r="R1864" s="2443"/>
      <c r="S1864" s="2443"/>
    </row>
    <row r="1865" spans="1:19" ht="15" customHeight="1">
      <c r="A1865" s="2410" t="s">
        <v>1802</v>
      </c>
      <c r="B1865" s="2408" t="s">
        <v>2062</v>
      </c>
      <c r="C1865" s="2374" t="s">
        <v>3612</v>
      </c>
      <c r="D1865" s="2374"/>
      <c r="E1865" s="2374"/>
      <c r="F1865" s="2374"/>
      <c r="G1865" s="2374"/>
      <c r="H1865" s="2374"/>
      <c r="I1865" s="2374"/>
      <c r="J1865" s="2482"/>
      <c r="K1865" s="2374" t="s">
        <v>4118</v>
      </c>
      <c r="L1865" s="2374"/>
      <c r="M1865" s="2480">
        <v>2</v>
      </c>
      <c r="N1865" s="2593"/>
      <c r="O1865" s="2590">
        <f>'Part IX A-Scoring Criteria'!O348</f>
        <v>0</v>
      </c>
      <c r="P1865" s="2590">
        <f>'Part IX A-Scoring Criteria'!P348</f>
        <v>0</v>
      </c>
      <c r="Q1865" s="2074" t="s">
        <v>2810</v>
      </c>
      <c r="R1865" s="2482"/>
      <c r="S1865" s="2482"/>
    </row>
    <row r="1866" spans="1:19" ht="15" customHeight="1">
      <c r="A1866" s="2367" t="s">
        <v>1403</v>
      </c>
      <c r="B1866" s="2408" t="s">
        <v>2064</v>
      </c>
      <c r="C1866" s="2374" t="s">
        <v>3613</v>
      </c>
      <c r="D1866" s="2374"/>
      <c r="E1866" s="2374"/>
      <c r="F1866" s="2374"/>
      <c r="G1866" s="2374"/>
      <c r="H1866" s="2374"/>
      <c r="I1866" s="2374"/>
      <c r="J1866" s="2374"/>
      <c r="K1866" s="2271" t="str">
        <f>'Part IX A-Scoring Criteria'!K349</f>
        <v>N/A</v>
      </c>
      <c r="L1866" s="2271"/>
      <c r="M1866" s="2480">
        <v>1</v>
      </c>
      <c r="N1866" s="2593"/>
      <c r="O1866" s="2590"/>
      <c r="P1866" s="2590"/>
      <c r="Q1866" s="2074"/>
      <c r="R1866" s="2482"/>
      <c r="S1866" s="2482"/>
    </row>
    <row r="1867" spans="1:19" ht="15" customHeight="1">
      <c r="A1867" s="2289" t="s">
        <v>2021</v>
      </c>
      <c r="B1867" s="2458"/>
      <c r="C1867" s="2337" t="s">
        <v>3614</v>
      </c>
      <c r="D1867" s="2337"/>
      <c r="E1867" s="2337"/>
      <c r="F1867" s="2337"/>
      <c r="G1867" s="2337"/>
      <c r="H1867" s="2337"/>
      <c r="I1867" s="2337"/>
      <c r="J1867" s="2337"/>
      <c r="K1867" s="2337"/>
      <c r="L1867" s="2337"/>
      <c r="M1867" s="2262">
        <v>2</v>
      </c>
      <c r="N1867" s="2599"/>
      <c r="O1867" s="2439">
        <f>'Part IX A-Scoring Criteria'!O350</f>
        <v>2</v>
      </c>
      <c r="P1867" s="2439">
        <f>'Part IX A-Scoring Criteria'!P350</f>
        <v>0</v>
      </c>
      <c r="Q1867" s="2074" t="s">
        <v>2810</v>
      </c>
      <c r="R1867" s="2458"/>
      <c r="S1867" s="2458"/>
    </row>
    <row r="1868" spans="1:19" ht="15" customHeight="1">
      <c r="A1868" s="2289"/>
      <c r="B1868" s="2443"/>
      <c r="C1868" s="2308" t="s">
        <v>4019</v>
      </c>
      <c r="D1868" s="2597"/>
      <c r="E1868" s="2572">
        <f>'Part IV-Uses of Funds'!$B$44</f>
        <v>4496982</v>
      </c>
      <c r="F1868" s="2572"/>
      <c r="G1868" s="519" t="s">
        <v>4020</v>
      </c>
      <c r="H1868" s="519"/>
      <c r="I1868" s="2600">
        <f>'Part IV-Uses of Funds'!$G$131</f>
        <v>9614942</v>
      </c>
      <c r="J1868" s="2337" t="s">
        <v>4021</v>
      </c>
      <c r="K1868" s="2337"/>
      <c r="L1868" s="2598">
        <f>IF(I1868=0, 0,E1868/I1868)</f>
        <v>0.46770765751889093</v>
      </c>
      <c r="M1868" s="2260"/>
      <c r="N1868" s="2260"/>
      <c r="O1868" s="2260"/>
      <c r="P1868" s="2260"/>
      <c r="Q1868" s="2074"/>
      <c r="R1868" s="2443"/>
      <c r="S1868" s="2443"/>
    </row>
    <row r="1869" spans="1:19" ht="15" customHeight="1">
      <c r="A1869" s="2410" t="s">
        <v>3559</v>
      </c>
      <c r="B1869" s="2482"/>
      <c r="C1869" s="2374" t="s">
        <v>3615</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6" t="s">
        <v>2810</v>
      </c>
      <c r="R1869" s="2482"/>
      <c r="S1869" s="2482"/>
    </row>
    <row r="1870" spans="1:19" ht="15" customHeight="1">
      <c r="A1870" s="2410" t="s">
        <v>640</v>
      </c>
      <c r="B1870" s="2482"/>
      <c r="C1870" s="2374" t="s">
        <v>3705</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6" t="s">
        <v>2810</v>
      </c>
      <c r="R1870" s="2482"/>
      <c r="S1870" s="2482"/>
    </row>
    <row r="1871" spans="1:19" ht="15" customHeight="1">
      <c r="A1871" s="2410" t="s">
        <v>3560</v>
      </c>
      <c r="B1871" s="2482"/>
      <c r="C1871" s="2374" t="s">
        <v>3616</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6" t="s">
        <v>2810</v>
      </c>
      <c r="R1871" s="2482"/>
      <c r="S1871" s="2482"/>
    </row>
    <row r="1872" spans="1:19" ht="22.5" customHeight="1">
      <c r="A1872" s="2410" t="s">
        <v>4022</v>
      </c>
      <c r="B1872" s="2482"/>
      <c r="C1872" s="2374" t="s">
        <v>4023</v>
      </c>
      <c r="D1872" s="2374"/>
      <c r="E1872" s="2374"/>
      <c r="F1872" s="2374"/>
      <c r="G1872" s="2374"/>
      <c r="H1872" s="2374"/>
      <c r="I1872" s="2374"/>
      <c r="J1872" s="2374"/>
      <c r="K1872" s="2374" t="s">
        <v>4024</v>
      </c>
      <c r="L1872" s="2600">
        <f>'Part IV-Uses of Funds'!$G$127</f>
        <v>145000</v>
      </c>
      <c r="M1872" s="2601">
        <v>1</v>
      </c>
      <c r="N1872" s="2601"/>
      <c r="O1872" s="2439">
        <f>'Part IX A-Scoring Criteria'!O355</f>
        <v>1</v>
      </c>
      <c r="P1872" s="2439">
        <f>'Part IX A-Scoring Criteria'!P355</f>
        <v>0</v>
      </c>
      <c r="Q1872" s="1306" t="s">
        <v>2810</v>
      </c>
      <c r="R1872" s="2482"/>
      <c r="S1872" s="2482"/>
    </row>
    <row r="1873" spans="1:19" ht="22.5">
      <c r="A1873" s="2410"/>
      <c r="B1873" s="2482"/>
      <c r="C1873" s="2374"/>
      <c r="D1873" s="2374"/>
      <c r="E1873" s="2374"/>
      <c r="F1873" s="2374"/>
      <c r="G1873" s="2374"/>
      <c r="H1873" s="2374"/>
      <c r="I1873" s="2374"/>
      <c r="J1873" s="2374"/>
      <c r="K1873" s="2374" t="s">
        <v>4025</v>
      </c>
      <c r="L1873" s="2600">
        <f>'Part IV-Uses of Funds'!$G$20</f>
        <v>0</v>
      </c>
      <c r="M1873" s="2601"/>
      <c r="N1873" s="2601"/>
      <c r="O1873" s="2601"/>
      <c r="P1873" s="2601"/>
      <c r="Q1873" s="1306"/>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157.5">
      <c r="A1875" s="2374" t="str">
        <f>'Part IX A-Scoring Criteria'!A358</f>
        <v>Please see Tab 41 for all requested and other back-up information for the preservation priority categories selected by the applicant.</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2962</v>
      </c>
      <c r="B1879" s="2441" t="s">
        <v>3627</v>
      </c>
      <c r="C1879" s="2443"/>
      <c r="D1879" s="2472"/>
      <c r="E1879" s="2472"/>
      <c r="F1879" s="2472"/>
      <c r="G1879" s="2472"/>
      <c r="H1879" s="2472"/>
      <c r="I1879" s="2472"/>
      <c r="J1879" s="2472"/>
      <c r="K1879" s="2472"/>
      <c r="L1879" s="2472"/>
      <c r="M1879" s="2258">
        <v>2</v>
      </c>
      <c r="N1879" s="2473"/>
      <c r="O1879" s="2439">
        <f>'Part IX A-Scoring Criteria'!O362</f>
        <v>2</v>
      </c>
      <c r="P1879" s="2439">
        <f>'Part IX A-Scoring Criteria'!P362</f>
        <v>0</v>
      </c>
      <c r="Q1879" s="2258" t="s">
        <v>456</v>
      </c>
      <c r="R1879" s="2074"/>
      <c r="S1879" s="2443"/>
    </row>
    <row r="1880" spans="1:19" ht="15" customHeight="1">
      <c r="A1880" s="2443"/>
      <c r="B1880" s="2382" t="s">
        <v>3629</v>
      </c>
      <c r="C1880" s="2382"/>
      <c r="D1880" s="2382"/>
      <c r="E1880" s="2382"/>
      <c r="F1880" s="2382"/>
      <c r="G1880" s="2382"/>
      <c r="H1880" s="2382"/>
      <c r="I1880" s="2382"/>
      <c r="J1880" s="2382"/>
      <c r="K1880" s="2382"/>
      <c r="L1880" s="2382"/>
      <c r="M1880" s="2382"/>
      <c r="N1880" s="2382"/>
      <c r="O1880" s="2372" t="str">
        <f>'Part IX A-Scoring Criteria'!O363</f>
        <v>Yes</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4026</v>
      </c>
      <c r="C1882" s="2443"/>
      <c r="D1882" s="2443"/>
      <c r="E1882" s="2443"/>
      <c r="F1882" s="519" t="s">
        <v>3624</v>
      </c>
      <c r="G1882" s="519"/>
      <c r="H1882" s="2443"/>
      <c r="I1882" s="2443"/>
      <c r="J1882" s="2337" t="str">
        <f>'Part IX A-Scoring Criteria'!J365</f>
        <v>Camden County - 620</v>
      </c>
      <c r="K1882" s="2337"/>
      <c r="L1882" s="2337"/>
      <c r="M1882" s="2337"/>
      <c r="N1882" s="2337"/>
      <c r="O1882" s="2153" t="s">
        <v>3722</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3051</v>
      </c>
      <c r="G1884" s="504"/>
      <c r="H1884" s="2443"/>
      <c r="I1884" s="2443"/>
      <c r="J1884" s="2426" t="str">
        <f>'Part I-Project Information'!$H$67</f>
        <v>Family</v>
      </c>
      <c r="K1884" s="2426"/>
      <c r="L1884" s="2602"/>
      <c r="M1884" s="2153" t="s">
        <v>3900</v>
      </c>
      <c r="N1884" s="2382"/>
      <c r="O1884" s="2153"/>
      <c r="P1884" s="2382"/>
      <c r="Q1884" s="2443"/>
      <c r="R1884" s="2443"/>
      <c r="S1884" s="2443"/>
    </row>
    <row r="1885" spans="1:19" ht="15" customHeight="1">
      <c r="A1885" s="2289"/>
      <c r="B1885" s="2219" t="s">
        <v>3625</v>
      </c>
      <c r="C1885" s="2343"/>
      <c r="D1885" s="2343"/>
      <c r="E1885" s="2602"/>
      <c r="F1885" s="2453"/>
      <c r="G1885" s="2443"/>
      <c r="H1885" s="2602"/>
      <c r="I1885" s="2602"/>
      <c r="J1885" s="2602"/>
      <c r="K1885" s="2602"/>
      <c r="L1885" s="2602"/>
      <c r="M1885" s="2153"/>
      <c r="N1885" s="2382"/>
      <c r="O1885" s="2153"/>
      <c r="P1885" s="2337" t="s">
        <v>3621</v>
      </c>
      <c r="Q1885" s="2443"/>
      <c r="R1885" s="2443"/>
      <c r="S1885" s="2443"/>
    </row>
    <row r="1886" spans="1:19" ht="15">
      <c r="A1886" s="2289"/>
      <c r="B1886" s="2443"/>
      <c r="C1886" s="2303"/>
      <c r="D1886" s="2443"/>
      <c r="E1886" s="2443"/>
      <c r="F1886" s="2308" t="s">
        <v>3626</v>
      </c>
      <c r="G1886" s="2443"/>
      <c r="H1886" s="2602"/>
      <c r="I1886" s="2396" t="s">
        <v>3620</v>
      </c>
      <c r="J1886" s="2425" t="s">
        <v>3622</v>
      </c>
      <c r="K1886" s="2369" t="s">
        <v>3621</v>
      </c>
      <c r="L1886" s="2262" t="s">
        <v>3623</v>
      </c>
      <c r="M1886" s="2153"/>
      <c r="N1886" s="2260"/>
      <c r="O1886" s="2153"/>
      <c r="P1886" s="2337"/>
      <c r="Q1886" s="2443"/>
      <c r="R1886" s="2443"/>
      <c r="S1886" s="2443"/>
    </row>
    <row r="1887" spans="1:19" ht="33.75">
      <c r="A1887" s="2289"/>
      <c r="B1887" s="2345" t="s">
        <v>2520</v>
      </c>
      <c r="C1887" s="2343" t="s">
        <v>3619</v>
      </c>
      <c r="D1887" s="2343"/>
      <c r="E1887" s="2602"/>
      <c r="F1887" s="2337" t="str">
        <f>'Part IX A-Scoring Criteria'!F370</f>
        <v>Saint Marys Elementary School - 0110</v>
      </c>
      <c r="G1887" s="2337"/>
      <c r="H1887" s="2337"/>
      <c r="I1887" s="2404" t="str">
        <f>'Part IX A-Scoring Criteria'!I370</f>
        <v>Pk, KK, 01, 02, 03, 04, 05</v>
      </c>
      <c r="J1887" s="2404" t="str">
        <f>'Part IX A-Scoring Criteria'!J370</f>
        <v>No</v>
      </c>
      <c r="K1887" s="2603">
        <f>'Part IX A-Scoring Criteria'!K370</f>
        <v>81</v>
      </c>
      <c r="L1887" s="2260">
        <v>78</v>
      </c>
      <c r="M1887" s="2262" t="str">
        <f>IF(K1887="","",IF(K1887&gt;=L1887,"Yes",IF(K1887&lt;L1887,"No","")))</f>
        <v>Yes</v>
      </c>
      <c r="N1887" s="2260"/>
      <c r="O1887" s="2262" t="str">
        <f>IF(P1887="","",IF(P1887&gt;=L1887,"Yes",IF(P1887&lt;L1887,"No","")))</f>
        <v>No</v>
      </c>
      <c r="P1887" s="2603">
        <f>'Part IX A-Scoring Criteria'!P370</f>
        <v>0</v>
      </c>
      <c r="Q1887" s="519" t="s">
        <v>4119</v>
      </c>
      <c r="R1887" s="2443"/>
      <c r="S1887" s="2443"/>
    </row>
    <row r="1888" spans="1:19" ht="33.75">
      <c r="A1888" s="2289"/>
      <c r="B1888" s="2415" t="s">
        <v>2521</v>
      </c>
      <c r="C1888" s="2343" t="s">
        <v>3617</v>
      </c>
      <c r="D1888" s="2343"/>
      <c r="E1888" s="2602"/>
      <c r="F1888" s="2337" t="str">
        <f>'Part IX A-Scoring Criteria'!F371</f>
        <v>Saint Marys Middle School - 0105</v>
      </c>
      <c r="G1888" s="2337"/>
      <c r="H1888" s="2337"/>
      <c r="I1888" s="2404" t="str">
        <f>'Part IX A-Scoring Criteria'!I371</f>
        <v>06, 07, 08</v>
      </c>
      <c r="J1888" s="2404" t="str">
        <f>'Part IX A-Scoring Criteria'!J371</f>
        <v>No</v>
      </c>
      <c r="K1888" s="2603">
        <f>'Part IX A-Scoring Criteria'!K371</f>
        <v>85.7</v>
      </c>
      <c r="L1888" s="2260">
        <v>75</v>
      </c>
      <c r="M1888" s="2262" t="str">
        <f>IF(K1888="","",IF(K1888&gt;=L1888,"Yes",IF(K1888&lt;L1888,"No","")))</f>
        <v>Yes</v>
      </c>
      <c r="N1888" s="2260"/>
      <c r="O1888" s="2262" t="str">
        <f>IF(P1888="","",IF(P1888&gt;=L1888,"Yes",IF(P1888&lt;L1888,"No","")))</f>
        <v>No</v>
      </c>
      <c r="P1888" s="2603">
        <f>'Part IX A-Scoring Criteria'!P371</f>
        <v>0</v>
      </c>
      <c r="Q1888" s="519" t="s">
        <v>4119</v>
      </c>
      <c r="R1888" s="2443"/>
      <c r="S1888" s="2443"/>
    </row>
    <row r="1889" spans="1:19" ht="33.75">
      <c r="A1889" s="2289"/>
      <c r="B1889" s="2345" t="s">
        <v>2522</v>
      </c>
      <c r="C1889" s="2343" t="s">
        <v>3618</v>
      </c>
      <c r="D1889" s="2343"/>
      <c r="E1889" s="2602"/>
      <c r="F1889" s="2337" t="str">
        <f>'Part IX A-Scoring Criteria'!F372</f>
        <v>Camden County High School - 0295</v>
      </c>
      <c r="G1889" s="2337"/>
      <c r="H1889" s="2337"/>
      <c r="I1889" s="2404" t="str">
        <f>'Part IX A-Scoring Criteria'!I372</f>
        <v>09, 10, 11, 12</v>
      </c>
      <c r="J1889" s="2404" t="str">
        <f>'Part IX A-Scoring Criteria'!J372</f>
        <v>No</v>
      </c>
      <c r="K1889" s="2603">
        <f>'Part IX A-Scoring Criteria'!K372</f>
        <v>86.5</v>
      </c>
      <c r="L1889" s="2260">
        <v>72</v>
      </c>
      <c r="M1889" s="2262" t="str">
        <f>IF(K1889="","",IF(K1889&gt;=L1889,"Yes",IF(K1889&lt;L1889,"No","")))</f>
        <v>Yes</v>
      </c>
      <c r="N1889" s="2260"/>
      <c r="O1889" s="2262" t="str">
        <f>IF(P1889="","",IF(P1889&gt;=L1889,"Yes",IF(P1889&lt;L1889,"No","")))</f>
        <v>No</v>
      </c>
      <c r="P1889" s="2603">
        <f>'Part IX A-Scoring Criteria'!P372</f>
        <v>0</v>
      </c>
      <c r="Q1889" s="519" t="s">
        <v>4119</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146.25">
      <c r="A1891" s="2374" t="str">
        <f>'Part IX A-Scoring Criteria'!A374</f>
        <v>Please see tab 42 for CCRPI and other required documentation to support the Quality Education Area scoring sections.</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2965</v>
      </c>
      <c r="B1895" s="2441" t="s">
        <v>2964</v>
      </c>
      <c r="C1895" s="2443"/>
      <c r="D1895" s="2472"/>
      <c r="E1895" s="2472"/>
      <c r="F1895" s="2472"/>
      <c r="G1895" s="2369" t="s">
        <v>4027</v>
      </c>
      <c r="H1895" s="2472"/>
      <c r="I1895" s="2443"/>
      <c r="J1895" s="2443"/>
      <c r="K1895" s="2443"/>
      <c r="L1895" s="2443"/>
      <c r="M1895" s="2258">
        <v>2</v>
      </c>
      <c r="N1895" s="2473"/>
      <c r="O1895" s="2439">
        <f>'Part IX A-Scoring Criteria'!O378</f>
        <v>0</v>
      </c>
      <c r="P1895" s="2439">
        <f>'Part IX A-Scoring Criteria'!P378</f>
        <v>0</v>
      </c>
      <c r="Q1895" s="2258" t="s">
        <v>456</v>
      </c>
      <c r="R1895" s="519" t="s">
        <v>2810</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2058</v>
      </c>
      <c r="C1897" s="519" t="s">
        <v>4486</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2061</v>
      </c>
      <c r="C1898" s="519" t="s">
        <v>4487</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4028</v>
      </c>
      <c r="C1900" s="2605"/>
      <c r="D1900" s="2447" t="s">
        <v>2966</v>
      </c>
      <c r="E1900" s="2433" t="s">
        <v>3628</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5"/>
      <c r="C1901" s="2605"/>
      <c r="D1901" s="2447" t="s">
        <v>1251</v>
      </c>
      <c r="E1901" s="2374" t="s">
        <v>2970</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3910</v>
      </c>
      <c r="J1903" s="2425" t="s">
        <v>3911</v>
      </c>
      <c r="K1903" s="2600"/>
      <c r="L1903" s="2600"/>
      <c r="M1903" s="2600"/>
      <c r="N1903" s="504"/>
      <c r="O1903" s="504"/>
      <c r="P1903" s="504"/>
      <c r="Q1903" s="504"/>
      <c r="R1903" s="2604"/>
      <c r="S1903" s="504"/>
    </row>
    <row r="1904" spans="1:19">
      <c r="A1904" s="504"/>
      <c r="B1904" s="504"/>
      <c r="C1904" s="2606" t="s">
        <v>4033</v>
      </c>
      <c r="D1904" s="2600"/>
      <c r="E1904" s="2600"/>
      <c r="F1904" s="2600"/>
      <c r="G1904" s="2600"/>
      <c r="H1904" s="2600"/>
      <c r="I1904" s="2600">
        <f>'Part IX A-Scoring Criteria'!I387</f>
        <v>3000</v>
      </c>
      <c r="J1904" s="2600">
        <f>'Part IX A-Scoring Criteria'!J387</f>
        <v>0</v>
      </c>
      <c r="K1904" s="2605" t="str">
        <f>IF(J1905&lt;J1904,"Threshold not met!","")</f>
        <v/>
      </c>
      <c r="L1904" s="504" t="s">
        <v>2967</v>
      </c>
      <c r="M1904" s="2426" t="str">
        <f>'Part I-Project Information'!$F$28</f>
        <v>St. Marys</v>
      </c>
      <c r="N1904" s="2426"/>
      <c r="O1904" s="2426"/>
      <c r="P1904" s="2426"/>
      <c r="Q1904" s="504"/>
      <c r="R1904" s="504"/>
      <c r="S1904" s="504"/>
    </row>
    <row r="1905" spans="1:19" ht="13.5">
      <c r="A1905" s="2428"/>
      <c r="B1905" s="2428"/>
      <c r="C1905" s="2468" t="s">
        <v>4029</v>
      </c>
      <c r="D1905" s="504"/>
      <c r="E1905" s="504"/>
      <c r="F1905" s="504"/>
      <c r="G1905" s="504"/>
      <c r="H1905" s="2607" t="str">
        <f>IF(I1905&lt;I1904,"Threshold not met!","")</f>
        <v/>
      </c>
      <c r="I1905" s="2600">
        <f>'Part IX A-Scoring Criteria'!I388</f>
        <v>3433</v>
      </c>
      <c r="J1905" s="2600">
        <f>'Part IX A-Scoring Criteria'!J388</f>
        <v>0</v>
      </c>
      <c r="K1905" s="2605"/>
      <c r="L1905" s="2426" t="s">
        <v>2968</v>
      </c>
      <c r="M1905" s="2426" t="str">
        <f>'Part I-Project Information'!$J$29</f>
        <v>Camden</v>
      </c>
      <c r="N1905" s="2426"/>
      <c r="O1905" s="2426"/>
      <c r="P1905" s="2426"/>
      <c r="Q1905" s="504"/>
      <c r="R1905" s="504"/>
      <c r="S1905" s="504"/>
    </row>
    <row r="1906" spans="1:19" ht="13.5">
      <c r="A1906" s="2428"/>
      <c r="B1906" s="2428"/>
      <c r="C1906" s="2468" t="s">
        <v>4168</v>
      </c>
      <c r="D1906" s="504"/>
      <c r="E1906" s="504"/>
      <c r="F1906" s="504"/>
      <c r="G1906" s="504"/>
      <c r="H1906" s="504"/>
      <c r="I1906" s="2600">
        <f>'Part IX A-Scoring Criteria'!I389</f>
        <v>1595</v>
      </c>
      <c r="J1906" s="2600">
        <f>'Part IX A-Scoring Criteria'!J389</f>
        <v>0</v>
      </c>
      <c r="K1906" s="504"/>
      <c r="L1906" s="2468" t="s">
        <v>2969</v>
      </c>
      <c r="M1906" s="2426" t="str">
        <f>'Part I-Project Information'!$O$30</f>
        <v>Camden Co.</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3052</v>
      </c>
      <c r="M1907" s="2426" t="str">
        <f>VLOOKUP('Part I-Project Information'!$J$29,'DCA Underwriting Assumptions'!$G$141:$J$300,4)</f>
        <v>Non-MSA</v>
      </c>
      <c r="N1907" s="2426"/>
      <c r="O1907" s="2426"/>
      <c r="P1907" s="2426"/>
      <c r="Q1907" s="504"/>
      <c r="R1907" s="504"/>
      <c r="S1907" s="504"/>
    </row>
    <row r="1908" spans="1:19">
      <c r="A1908" s="504"/>
      <c r="B1908" s="504"/>
      <c r="C1908" s="2468" t="s">
        <v>4169</v>
      </c>
      <c r="D1908" s="504"/>
      <c r="E1908" s="504"/>
      <c r="F1908" s="504"/>
      <c r="G1908" s="504"/>
      <c r="H1908" s="504"/>
      <c r="I1908" s="2467">
        <f>IF(I1905=0,0,I1906/I1905)</f>
        <v>0.46460821438974659</v>
      </c>
      <c r="J1908" s="2527">
        <f>IF(J1905=0,0,J1906/J1905)</f>
        <v>0</v>
      </c>
      <c r="K1908" s="504"/>
      <c r="L1908" s="504" t="s">
        <v>4030</v>
      </c>
      <c r="M1908" s="2426" t="str">
        <f>'Part I-Project Information'!$K$30</f>
        <v>Rural</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213.75">
      <c r="A1911" s="2374" t="str">
        <f>'Part IX A-Scoring Criteria'!A394</f>
        <v xml:space="preserve">The applicant selects (0) points for scoring Sec. 21 Workforce Housing Need.  Please see Tab 43 for the requested supporting Workforce Housing Need documentation.  </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2963</v>
      </c>
      <c r="B1915" s="2441" t="s">
        <v>1737</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4091</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4092</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4093</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10</v>
      </c>
      <c r="P1921" s="2439">
        <f>'Part IX A-Scoring Criteria'!P404</f>
        <v>0</v>
      </c>
      <c r="Q1921" s="2074" t="s">
        <v>2810</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4158</v>
      </c>
      <c r="M1924" s="2377"/>
      <c r="N1924" s="2471"/>
      <c r="O1924" s="2608">
        <f>'Part IX A-Scoring Criteria'!O408</f>
        <v>57</v>
      </c>
      <c r="P1924" s="2608">
        <f>'Part IX A-Scoring Criteria'!P408</f>
        <v>22</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57</v>
      </c>
      <c r="P1925" s="2610">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3057</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3058</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3059</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3060</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4139</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15.75">
      <c r="A1932" s="2374">
        <f>'Part IX A-Scoring Criteria'!A415</f>
        <v>0</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4170</v>
      </c>
      <c r="B1936" s="546"/>
      <c r="C1936" s="546"/>
      <c r="D1936" s="546"/>
      <c r="E1936" s="546"/>
      <c r="F1936" s="546"/>
    </row>
    <row r="1937" spans="1:6" ht="16.5">
      <c r="A1937" s="2614" t="str">
        <f>'Part I-Project Information'!$F$24</f>
        <v>The Pines Apartments</v>
      </c>
      <c r="B1937" s="2508"/>
      <c r="C1937" s="2508"/>
      <c r="D1937" s="2508"/>
      <c r="E1937" s="2508"/>
      <c r="F1937" s="2508"/>
    </row>
    <row r="1938" spans="1:6" ht="16.5">
      <c r="A1938" s="2614" t="str">
        <f>CONCATENATE('Part I-Project Information'!$F$28,", ", 'Part I-Project Information'!$J$29," County")</f>
        <v>St. Marys, Camden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&lt;&lt; Enter paragraph(s) here. Press and hold Alt-Enter to start new paragraphs. &gt;&gt;</v>
      </c>
      <c r="B1940" s="2616" t="s">
        <v>2793</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3765</v>
      </c>
    </row>
    <row r="1964" spans="1:6" ht="16.5">
      <c r="A1964" s="2619" t="str">
        <f>'Part I-Project Information'!$F$24</f>
        <v>The Pines Apartments</v>
      </c>
    </row>
    <row r="1965" spans="1:6" ht="16.5">
      <c r="A1965" s="2619" t="str">
        <f>CONCATENATE('Part I-Project Information'!$F$28,", ", 'Part I-Project Information'!$J$29," County")</f>
        <v>St. Marys, Camden County</v>
      </c>
    </row>
    <row r="1966" spans="1:6" ht="16.5">
      <c r="A1966" s="2620"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pNxrARyV4e2E1pOnT+qUOT34brWketFJA8MeLFx0KjXPVK79bSTlOpDyfV18bJx+Z9kdQ6JveN7NQQr1e55yTw==" saltValue="nJZoO4ZdrBUi2WceH7TBL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7" t="str">
        <f>CONCATENATE("PART TWO - DEVELOPMENT TEAM INFORMATION","  -  ",'Part I-Project Information'!$O$4," ",'Part I-Project Information'!$F$24,", ",'Part I-Project Information'!F28,", ",'Part I-Project Information'!J29," County")</f>
        <v>PART TWO - DEVELOPMENT TEAM INFORMATION  -  2016-079 The Pines Apartments, St. Marys, Camden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72" t="s">
        <v>4202</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5" t="s">
        <v>4201</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0" t="s">
        <v>4287</v>
      </c>
      <c r="I5" s="2743"/>
      <c r="J5" s="2743"/>
      <c r="K5" s="2743"/>
      <c r="L5" s="2743"/>
      <c r="M5" s="2743"/>
      <c r="N5" s="2744"/>
      <c r="O5" s="1389" t="s">
        <v>2065</v>
      </c>
      <c r="P5" s="1389"/>
      <c r="Q5" s="2650" t="s">
        <v>4215</v>
      </c>
      <c r="R5" s="2743"/>
      <c r="S5" s="2744"/>
    </row>
    <row r="6" spans="1:26" s="329" customFormat="1" ht="11.25" customHeight="1">
      <c r="D6" s="372"/>
      <c r="E6" s="334" t="s">
        <v>1058</v>
      </c>
      <c r="F6" s="342"/>
      <c r="H6" s="2650" t="s">
        <v>4207</v>
      </c>
      <c r="I6" s="2743"/>
      <c r="J6" s="2743"/>
      <c r="K6" s="2743"/>
      <c r="L6" s="2743"/>
      <c r="M6" s="2743"/>
      <c r="N6" s="2744"/>
      <c r="O6" s="1389" t="s">
        <v>1813</v>
      </c>
      <c r="Q6" s="2650" t="s">
        <v>4216</v>
      </c>
      <c r="R6" s="2743"/>
      <c r="S6" s="2744"/>
    </row>
    <row r="7" spans="1:26" s="329" customFormat="1" ht="11.25" customHeight="1">
      <c r="D7" s="372"/>
      <c r="E7" s="334" t="s">
        <v>642</v>
      </c>
      <c r="H7" s="2650" t="s">
        <v>1251</v>
      </c>
      <c r="I7" s="2743"/>
      <c r="J7" s="2744"/>
      <c r="K7" s="2745" t="s">
        <v>793</v>
      </c>
      <c r="L7" s="2650"/>
      <c r="M7" s="2743"/>
      <c r="N7" s="2744"/>
      <c r="O7" s="1389" t="s">
        <v>1869</v>
      </c>
      <c r="Q7" s="2746">
        <v>7706350157</v>
      </c>
      <c r="R7" s="2747"/>
      <c r="S7" s="2748"/>
    </row>
    <row r="8" spans="1:26" s="329" customFormat="1" ht="11.25" customHeight="1">
      <c r="D8" s="372"/>
      <c r="E8" s="334" t="s">
        <v>1865</v>
      </c>
      <c r="H8" s="2749" t="s">
        <v>880</v>
      </c>
      <c r="I8" s="1394" t="s">
        <v>2308</v>
      </c>
      <c r="J8" s="2750">
        <v>303395704</v>
      </c>
      <c r="K8" s="2744"/>
      <c r="L8" s="329" t="s">
        <v>4138</v>
      </c>
      <c r="M8" s="2751" t="s">
        <v>4218</v>
      </c>
      <c r="N8" s="2752"/>
      <c r="O8" s="1389" t="s">
        <v>2054</v>
      </c>
      <c r="Q8" s="2746">
        <v>4042340004</v>
      </c>
      <c r="R8" s="2747"/>
      <c r="S8" s="2748"/>
    </row>
    <row r="9" spans="1:26" s="329" customFormat="1" ht="11.25" customHeight="1">
      <c r="D9" s="372"/>
      <c r="E9" s="334" t="s">
        <v>2060</v>
      </c>
      <c r="H9" s="2746">
        <v>7709842100</v>
      </c>
      <c r="I9" s="2748"/>
      <c r="J9" s="2753">
        <v>107</v>
      </c>
      <c r="K9" s="1403" t="s">
        <v>2059</v>
      </c>
      <c r="L9" s="2647" t="s">
        <v>4217</v>
      </c>
      <c r="M9" s="2648"/>
      <c r="N9" s="2648"/>
      <c r="O9" s="2648"/>
      <c r="P9" s="2648"/>
      <c r="Q9" s="2648"/>
      <c r="R9" s="2648"/>
      <c r="S9" s="2649"/>
    </row>
    <row r="10" spans="1:26" s="329" customFormat="1" ht="11.25" customHeight="1">
      <c r="D10" s="372"/>
      <c r="E10" s="322" t="s">
        <v>2847</v>
      </c>
      <c r="H10" s="366"/>
      <c r="K10" s="297"/>
      <c r="N10" s="405" t="s">
        <v>3850</v>
      </c>
      <c r="Q10" s="1403"/>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4" t="s">
        <v>1331</v>
      </c>
      <c r="W12" s="2754"/>
      <c r="X12" s="2754"/>
      <c r="Y12" s="2754"/>
      <c r="Z12" s="2754"/>
    </row>
    <row r="13" spans="1:26" s="329" customFormat="1" ht="11.25" customHeight="1">
      <c r="C13" s="374" t="s">
        <v>2062</v>
      </c>
      <c r="D13" s="371" t="s">
        <v>2063</v>
      </c>
      <c r="H13" s="1399"/>
      <c r="I13" s="1399"/>
      <c r="J13" s="1399"/>
      <c r="N13" s="1383"/>
      <c r="W13" s="2755"/>
      <c r="X13" s="2755"/>
      <c r="Y13" s="2755"/>
      <c r="Z13" s="2755"/>
    </row>
    <row r="14" spans="1:26" s="329" customFormat="1" ht="11.25" customHeight="1">
      <c r="D14" s="331" t="s">
        <v>2194</v>
      </c>
      <c r="E14" s="329" t="s">
        <v>1926</v>
      </c>
      <c r="H14" s="2632" t="s">
        <v>4279</v>
      </c>
      <c r="I14" s="2693"/>
      <c r="J14" s="2693"/>
      <c r="K14" s="2693"/>
      <c r="L14" s="2693"/>
      <c r="M14" s="2693"/>
      <c r="N14" s="2694"/>
      <c r="O14" s="1389" t="s">
        <v>2065</v>
      </c>
      <c r="P14" s="1389"/>
      <c r="Q14" s="2632" t="s">
        <v>4215</v>
      </c>
      <c r="R14" s="2693"/>
      <c r="S14" s="2694"/>
    </row>
    <row r="15" spans="1:26" s="329" customFormat="1" ht="11.25" customHeight="1">
      <c r="D15" s="372"/>
      <c r="E15" s="334" t="s">
        <v>1058</v>
      </c>
      <c r="F15" s="342"/>
      <c r="H15" s="2632" t="s">
        <v>4207</v>
      </c>
      <c r="I15" s="2693"/>
      <c r="J15" s="2693"/>
      <c r="K15" s="2693"/>
      <c r="L15" s="2693"/>
      <c r="M15" s="2693"/>
      <c r="N15" s="2694"/>
      <c r="O15" s="1389" t="s">
        <v>1813</v>
      </c>
      <c r="Q15" s="2632" t="s">
        <v>4216</v>
      </c>
      <c r="R15" s="2693"/>
      <c r="S15" s="2694"/>
    </row>
    <row r="16" spans="1:26" s="329" customFormat="1" ht="11.25" customHeight="1">
      <c r="D16" s="372"/>
      <c r="E16" s="334" t="s">
        <v>642</v>
      </c>
      <c r="H16" s="2632" t="s">
        <v>1251</v>
      </c>
      <c r="I16" s="2693"/>
      <c r="J16" s="2694"/>
      <c r="K16" s="1393" t="s">
        <v>2808</v>
      </c>
      <c r="L16" s="2632" t="s">
        <v>4219</v>
      </c>
      <c r="M16" s="2693"/>
      <c r="N16" s="2694"/>
      <c r="O16" s="1389" t="s">
        <v>1869</v>
      </c>
      <c r="Q16" s="2640">
        <v>7706350157</v>
      </c>
      <c r="R16" s="2645"/>
      <c r="S16" s="2641"/>
    </row>
    <row r="17" spans="3:19" s="329" customFormat="1" ht="11.25" customHeight="1">
      <c r="D17" s="331"/>
      <c r="E17" s="334" t="s">
        <v>1865</v>
      </c>
      <c r="H17" s="2646" t="s">
        <v>880</v>
      </c>
      <c r="K17" s="1394" t="s">
        <v>2308</v>
      </c>
      <c r="L17" s="2643">
        <v>303395704</v>
      </c>
      <c r="M17" s="2694"/>
      <c r="O17" s="1389" t="s">
        <v>2054</v>
      </c>
      <c r="Q17" s="2640">
        <v>4042340004</v>
      </c>
      <c r="R17" s="2645"/>
      <c r="S17" s="2641"/>
    </row>
    <row r="18" spans="3:19" s="329" customFormat="1" ht="11.25" customHeight="1">
      <c r="D18" s="372"/>
      <c r="E18" s="334" t="s">
        <v>2060</v>
      </c>
      <c r="H18" s="2640">
        <v>7709842100</v>
      </c>
      <c r="I18" s="2641"/>
      <c r="J18" s="2756">
        <v>107</v>
      </c>
      <c r="K18" s="1403" t="s">
        <v>2059</v>
      </c>
      <c r="L18" s="2647" t="s">
        <v>4217</v>
      </c>
      <c r="M18" s="2648"/>
      <c r="N18" s="2648"/>
      <c r="O18" s="2648"/>
      <c r="P18" s="2648"/>
      <c r="Q18" s="2648"/>
      <c r="R18" s="2648"/>
      <c r="S18" s="2649"/>
    </row>
    <row r="19" spans="3:19" ht="4.1500000000000004" customHeight="1">
      <c r="D19" s="357"/>
      <c r="H19" s="2757"/>
      <c r="I19" s="2757"/>
      <c r="J19" s="2757"/>
      <c r="K19" s="1403"/>
      <c r="L19" s="2757"/>
      <c r="M19" s="2757"/>
      <c r="N19" s="1391"/>
      <c r="O19" s="1384"/>
      <c r="P19" s="1384"/>
      <c r="Q19" s="1403"/>
      <c r="R19" s="1384"/>
      <c r="S19" s="1384"/>
    </row>
    <row r="20" spans="3:19" s="329" customFormat="1" ht="11.25" customHeight="1">
      <c r="D20" s="331" t="s">
        <v>2195</v>
      </c>
      <c r="E20" s="329" t="s">
        <v>1927</v>
      </c>
      <c r="F20" s="1399"/>
      <c r="H20" s="2632"/>
      <c r="I20" s="2693"/>
      <c r="J20" s="2693"/>
      <c r="K20" s="2693"/>
      <c r="L20" s="2693"/>
      <c r="M20" s="2693"/>
      <c r="N20" s="2694"/>
      <c r="O20" s="1389" t="s">
        <v>2065</v>
      </c>
      <c r="P20" s="1389"/>
      <c r="Q20" s="2632"/>
      <c r="R20" s="2693"/>
      <c r="S20" s="2694"/>
    </row>
    <row r="21" spans="3:19" s="329" customFormat="1" ht="11.25" customHeight="1">
      <c r="D21" s="372"/>
      <c r="E21" s="334" t="s">
        <v>1058</v>
      </c>
      <c r="F21" s="342"/>
      <c r="H21" s="2632"/>
      <c r="I21" s="2693"/>
      <c r="J21" s="2693"/>
      <c r="K21" s="2693"/>
      <c r="L21" s="2693"/>
      <c r="M21" s="2693"/>
      <c r="N21" s="2694"/>
      <c r="O21" s="1389" t="s">
        <v>1813</v>
      </c>
      <c r="Q21" s="2632"/>
      <c r="R21" s="2693"/>
      <c r="S21" s="2694"/>
    </row>
    <row r="22" spans="3:19" s="329" customFormat="1" ht="11.25" customHeight="1">
      <c r="D22" s="372"/>
      <c r="E22" s="334" t="s">
        <v>642</v>
      </c>
      <c r="H22" s="2632"/>
      <c r="I22" s="2693"/>
      <c r="J22" s="2694"/>
      <c r="K22" s="1393" t="s">
        <v>2808</v>
      </c>
      <c r="L22" s="2632"/>
      <c r="M22" s="2693"/>
      <c r="N22" s="2694"/>
      <c r="O22" s="1389" t="s">
        <v>1869</v>
      </c>
      <c r="Q22" s="2640"/>
      <c r="R22" s="2645"/>
      <c r="S22" s="2641"/>
    </row>
    <row r="23" spans="3:19" s="329" customFormat="1" ht="11.25" customHeight="1">
      <c r="E23" s="334" t="s">
        <v>1865</v>
      </c>
      <c r="H23" s="2646"/>
      <c r="K23" s="1394" t="s">
        <v>2308</v>
      </c>
      <c r="L23" s="2643"/>
      <c r="M23" s="2694"/>
      <c r="O23" s="1389" t="s">
        <v>2054</v>
      </c>
      <c r="Q23" s="2640"/>
      <c r="R23" s="2645"/>
      <c r="S23" s="2641"/>
    </row>
    <row r="24" spans="3:19" s="329" customFormat="1" ht="11.25" customHeight="1">
      <c r="D24" s="372"/>
      <c r="E24" s="334" t="s">
        <v>2060</v>
      </c>
      <c r="H24" s="2640"/>
      <c r="I24" s="2641"/>
      <c r="J24" s="2756"/>
      <c r="K24" s="1403" t="s">
        <v>2059</v>
      </c>
      <c r="L24" s="2647"/>
      <c r="M24" s="2648"/>
      <c r="N24" s="2648"/>
      <c r="O24" s="2648"/>
      <c r="P24" s="2648"/>
      <c r="Q24" s="2648"/>
      <c r="R24" s="2648"/>
      <c r="S24" s="2649"/>
    </row>
    <row r="25" spans="3:19" s="329" customFormat="1" ht="4.1500000000000004" customHeight="1">
      <c r="D25" s="372"/>
      <c r="E25" s="1399"/>
      <c r="F25" s="1399"/>
      <c r="G25" s="1389"/>
      <c r="H25" s="2757"/>
      <c r="I25" s="2757"/>
      <c r="J25" s="2757"/>
      <c r="K25" s="1403"/>
      <c r="L25" s="2757"/>
      <c r="M25" s="2757"/>
      <c r="N25" s="1391"/>
      <c r="O25" s="1384"/>
      <c r="P25" s="1384"/>
      <c r="Q25" s="1403"/>
      <c r="R25" s="1384"/>
      <c r="S25" s="1384"/>
    </row>
    <row r="26" spans="3:19" s="329" customFormat="1" ht="11.25" customHeight="1">
      <c r="D26" s="331" t="s">
        <v>1800</v>
      </c>
      <c r="E26" s="329" t="s">
        <v>1927</v>
      </c>
      <c r="F26" s="1399"/>
      <c r="H26" s="2632"/>
      <c r="I26" s="2693"/>
      <c r="J26" s="2693"/>
      <c r="K26" s="2693"/>
      <c r="L26" s="2693"/>
      <c r="M26" s="2693"/>
      <c r="N26" s="2694"/>
      <c r="O26" s="1389" t="s">
        <v>2065</v>
      </c>
      <c r="P26" s="1389"/>
      <c r="Q26" s="2632"/>
      <c r="R26" s="2693"/>
      <c r="S26" s="2694"/>
    </row>
    <row r="27" spans="3:19" s="329" customFormat="1" ht="11.25" customHeight="1">
      <c r="D27" s="372"/>
      <c r="E27" s="334" t="s">
        <v>1058</v>
      </c>
      <c r="F27" s="342"/>
      <c r="H27" s="2632"/>
      <c r="I27" s="2693"/>
      <c r="J27" s="2693"/>
      <c r="K27" s="2693"/>
      <c r="L27" s="2693"/>
      <c r="M27" s="2693"/>
      <c r="N27" s="2694"/>
      <c r="O27" s="1389" t="s">
        <v>1813</v>
      </c>
      <c r="Q27" s="2632"/>
      <c r="R27" s="2693"/>
      <c r="S27" s="2694"/>
    </row>
    <row r="28" spans="3:19" s="329" customFormat="1" ht="11.25" customHeight="1">
      <c r="D28" s="372"/>
      <c r="E28" s="334" t="s">
        <v>642</v>
      </c>
      <c r="H28" s="2632"/>
      <c r="I28" s="2693"/>
      <c r="J28" s="2694"/>
      <c r="K28" s="1393" t="s">
        <v>2808</v>
      </c>
      <c r="L28" s="2632"/>
      <c r="M28" s="2693"/>
      <c r="N28" s="2694"/>
      <c r="O28" s="1389" t="s">
        <v>1869</v>
      </c>
      <c r="Q28" s="2640"/>
      <c r="R28" s="2645"/>
      <c r="S28" s="2641"/>
    </row>
    <row r="29" spans="3:19" s="329" customFormat="1" ht="11.25" customHeight="1">
      <c r="E29" s="334" t="s">
        <v>1865</v>
      </c>
      <c r="H29" s="2646"/>
      <c r="K29" s="1394" t="s">
        <v>2308</v>
      </c>
      <c r="L29" s="2643"/>
      <c r="M29" s="2694"/>
      <c r="O29" s="1389" t="s">
        <v>2054</v>
      </c>
      <c r="Q29" s="2640"/>
      <c r="R29" s="2645"/>
      <c r="S29" s="2641"/>
    </row>
    <row r="30" spans="3:19" s="329" customFormat="1" ht="11.25" customHeight="1">
      <c r="D30" s="372"/>
      <c r="E30" s="334" t="s">
        <v>2060</v>
      </c>
      <c r="H30" s="2640"/>
      <c r="I30" s="2641"/>
      <c r="J30" s="2756"/>
      <c r="K30" s="1403" t="s">
        <v>2059</v>
      </c>
      <c r="L30" s="2647"/>
      <c r="M30" s="2648"/>
      <c r="N30" s="2648"/>
      <c r="O30" s="2648"/>
      <c r="P30" s="2648"/>
      <c r="Q30" s="2648"/>
      <c r="R30" s="2648"/>
      <c r="S30" s="2649"/>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32" t="s">
        <v>4220</v>
      </c>
      <c r="I33" s="2693"/>
      <c r="J33" s="2693"/>
      <c r="K33" s="2693"/>
      <c r="L33" s="2693"/>
      <c r="M33" s="2693"/>
      <c r="N33" s="2694"/>
      <c r="O33" s="1389" t="s">
        <v>2065</v>
      </c>
      <c r="P33" s="1389"/>
      <c r="Q33" s="2632" t="s">
        <v>4222</v>
      </c>
      <c r="R33" s="2693"/>
      <c r="S33" s="2694"/>
    </row>
    <row r="34" spans="3:19" s="329" customFormat="1" ht="11.25" customHeight="1">
      <c r="D34" s="372"/>
      <c r="E34" s="334" t="s">
        <v>1058</v>
      </c>
      <c r="F34" s="342"/>
      <c r="H34" s="2632" t="s">
        <v>4221</v>
      </c>
      <c r="I34" s="2693"/>
      <c r="J34" s="2693"/>
      <c r="K34" s="2693"/>
      <c r="L34" s="2693"/>
      <c r="M34" s="2693"/>
      <c r="N34" s="2694"/>
      <c r="O34" s="1389" t="s">
        <v>1813</v>
      </c>
      <c r="Q34" s="2632" t="s">
        <v>4223</v>
      </c>
      <c r="R34" s="2693"/>
      <c r="S34" s="2694"/>
    </row>
    <row r="35" spans="3:19" s="329" customFormat="1" ht="11.25" customHeight="1">
      <c r="D35" s="372"/>
      <c r="E35" s="334" t="s">
        <v>642</v>
      </c>
      <c r="H35" s="2632" t="s">
        <v>4226</v>
      </c>
      <c r="I35" s="2693"/>
      <c r="J35" s="2694"/>
      <c r="K35" s="1393" t="s">
        <v>2808</v>
      </c>
      <c r="L35" s="2632" t="s">
        <v>4225</v>
      </c>
      <c r="M35" s="2693"/>
      <c r="N35" s="2694"/>
      <c r="O35" s="1389" t="s">
        <v>1869</v>
      </c>
      <c r="Q35" s="2640">
        <v>9197881815</v>
      </c>
      <c r="R35" s="2645"/>
      <c r="S35" s="2641"/>
    </row>
    <row r="36" spans="3:19" s="329" customFormat="1" ht="11.25" customHeight="1">
      <c r="E36" s="334" t="s">
        <v>1865</v>
      </c>
      <c r="H36" s="2646" t="s">
        <v>1399</v>
      </c>
      <c r="K36" s="1394" t="s">
        <v>2308</v>
      </c>
      <c r="L36" s="2643">
        <v>276153354</v>
      </c>
      <c r="M36" s="2694"/>
      <c r="O36" s="1389" t="s">
        <v>2054</v>
      </c>
      <c r="Q36" s="2640"/>
      <c r="R36" s="2645"/>
      <c r="S36" s="2641"/>
    </row>
    <row r="37" spans="3:19" s="329" customFormat="1" ht="11.25" customHeight="1">
      <c r="D37" s="372"/>
      <c r="E37" s="334" t="s">
        <v>2060</v>
      </c>
      <c r="H37" s="2640">
        <v>9194200063</v>
      </c>
      <c r="I37" s="2641"/>
      <c r="J37" s="2756">
        <v>211</v>
      </c>
      <c r="K37" s="1403" t="s">
        <v>2059</v>
      </c>
      <c r="L37" s="2647" t="s">
        <v>4224</v>
      </c>
      <c r="M37" s="2648"/>
      <c r="N37" s="2648"/>
      <c r="O37" s="2648"/>
      <c r="P37" s="2648"/>
      <c r="Q37" s="2648"/>
      <c r="R37" s="2648"/>
      <c r="S37" s="2649"/>
    </row>
    <row r="38" spans="3:19" ht="4.1500000000000004" customHeight="1">
      <c r="H38" s="2757"/>
      <c r="I38" s="2757"/>
      <c r="J38" s="2757"/>
      <c r="K38" s="1403"/>
      <c r="L38" s="2757"/>
      <c r="M38" s="2757"/>
      <c r="N38" s="1391"/>
      <c r="O38" s="1384"/>
      <c r="P38" s="1384"/>
      <c r="Q38" s="1403"/>
      <c r="R38" s="1384"/>
      <c r="S38" s="1384"/>
    </row>
    <row r="39" spans="3:19" s="329" customFormat="1" ht="11.25" customHeight="1">
      <c r="D39" s="331" t="s">
        <v>2195</v>
      </c>
      <c r="E39" s="329" t="s">
        <v>781</v>
      </c>
      <c r="F39" s="331"/>
      <c r="H39" s="2632" t="s">
        <v>4227</v>
      </c>
      <c r="I39" s="2693"/>
      <c r="J39" s="2693"/>
      <c r="K39" s="2693"/>
      <c r="L39" s="2693"/>
      <c r="M39" s="2693"/>
      <c r="N39" s="2694"/>
      <c r="O39" s="1389" t="s">
        <v>2065</v>
      </c>
      <c r="P39" s="1389"/>
      <c r="Q39" s="2632" t="s">
        <v>4229</v>
      </c>
      <c r="R39" s="2693"/>
      <c r="S39" s="2694"/>
    </row>
    <row r="40" spans="3:19" s="329" customFormat="1" ht="11.25" customHeight="1">
      <c r="D40" s="372"/>
      <c r="E40" s="334" t="s">
        <v>1058</v>
      </c>
      <c r="F40" s="342"/>
      <c r="H40" s="2632" t="s">
        <v>4228</v>
      </c>
      <c r="I40" s="2693"/>
      <c r="J40" s="2693"/>
      <c r="K40" s="2693"/>
      <c r="L40" s="2693"/>
      <c r="M40" s="2693"/>
      <c r="N40" s="2694"/>
      <c r="O40" s="1389" t="s">
        <v>1813</v>
      </c>
      <c r="Q40" s="2632" t="s">
        <v>4230</v>
      </c>
      <c r="R40" s="2693"/>
      <c r="S40" s="2694"/>
    </row>
    <row r="41" spans="3:19" s="329" customFormat="1" ht="11.25" customHeight="1">
      <c r="D41" s="372"/>
      <c r="E41" s="334" t="s">
        <v>642</v>
      </c>
      <c r="H41" s="2632" t="s">
        <v>4233</v>
      </c>
      <c r="I41" s="2693"/>
      <c r="J41" s="2694"/>
      <c r="K41" s="1393" t="s">
        <v>2808</v>
      </c>
      <c r="L41" s="2632" t="s">
        <v>4232</v>
      </c>
      <c r="M41" s="2693"/>
      <c r="N41" s="2694"/>
      <c r="O41" s="1389" t="s">
        <v>1869</v>
      </c>
      <c r="Q41" s="2640">
        <v>3143616804</v>
      </c>
      <c r="R41" s="2645"/>
      <c r="S41" s="2641"/>
    </row>
    <row r="42" spans="3:19" s="329" customFormat="1" ht="11.25" customHeight="1">
      <c r="D42" s="331"/>
      <c r="E42" s="334" t="s">
        <v>1865</v>
      </c>
      <c r="H42" s="2646" t="s">
        <v>1391</v>
      </c>
      <c r="K42" s="1394" t="s">
        <v>2308</v>
      </c>
      <c r="L42" s="2643">
        <v>631192931</v>
      </c>
      <c r="M42" s="2694"/>
      <c r="O42" s="1389" t="s">
        <v>2054</v>
      </c>
      <c r="Q42" s="2640">
        <v>3144821700</v>
      </c>
      <c r="R42" s="2645"/>
      <c r="S42" s="2641"/>
    </row>
    <row r="43" spans="3:19" s="329" customFormat="1" ht="11.25" customHeight="1">
      <c r="D43" s="372"/>
      <c r="E43" s="334" t="s">
        <v>2060</v>
      </c>
      <c r="H43" s="2640">
        <v>3149682205</v>
      </c>
      <c r="I43" s="2641"/>
      <c r="J43" s="2756"/>
      <c r="K43" s="1403" t="s">
        <v>2059</v>
      </c>
      <c r="L43" s="2647" t="s">
        <v>4231</v>
      </c>
      <c r="M43" s="2648"/>
      <c r="N43" s="2648"/>
      <c r="O43" s="2648"/>
      <c r="P43" s="2648"/>
      <c r="Q43" s="2648"/>
      <c r="R43" s="2648"/>
      <c r="S43" s="2649"/>
    </row>
    <row r="44" spans="3:19" s="329" customFormat="1" ht="4.1500000000000004" customHeight="1">
      <c r="D44" s="372"/>
      <c r="E44" s="334"/>
      <c r="F44" s="331"/>
      <c r="H44" s="366"/>
      <c r="I44" s="366"/>
      <c r="J44" s="1385"/>
      <c r="K44" s="1403"/>
      <c r="L44" s="366"/>
      <c r="M44" s="366"/>
      <c r="N44" s="1403"/>
      <c r="O44" s="366"/>
      <c r="P44" s="366"/>
      <c r="Q44" s="1403"/>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32"/>
      <c r="I46" s="2693"/>
      <c r="J46" s="2693"/>
      <c r="K46" s="2693"/>
      <c r="L46" s="2693"/>
      <c r="M46" s="2693"/>
      <c r="N46" s="2694"/>
      <c r="O46" s="1389" t="s">
        <v>2065</v>
      </c>
      <c r="P46" s="1389"/>
      <c r="Q46" s="2632"/>
      <c r="R46" s="2693"/>
      <c r="S46" s="2694"/>
    </row>
    <row r="47" spans="3:19" s="329" customFormat="1" ht="11.25" customHeight="1">
      <c r="D47" s="372"/>
      <c r="E47" s="334" t="s">
        <v>1058</v>
      </c>
      <c r="F47" s="342"/>
      <c r="H47" s="2632"/>
      <c r="I47" s="2693"/>
      <c r="J47" s="2693"/>
      <c r="K47" s="2693"/>
      <c r="L47" s="2693"/>
      <c r="M47" s="2693"/>
      <c r="N47" s="2694"/>
      <c r="O47" s="1389" t="s">
        <v>1813</v>
      </c>
      <c r="Q47" s="2632"/>
      <c r="R47" s="2693"/>
      <c r="S47" s="2694"/>
    </row>
    <row r="48" spans="3:19" s="329" customFormat="1" ht="11.25" customHeight="1">
      <c r="D48" s="372"/>
      <c r="E48" s="334" t="s">
        <v>642</v>
      </c>
      <c r="H48" s="2632"/>
      <c r="I48" s="2693"/>
      <c r="J48" s="2694"/>
      <c r="K48" s="1393" t="s">
        <v>2808</v>
      </c>
      <c r="L48" s="2632"/>
      <c r="M48" s="2693"/>
      <c r="N48" s="2694"/>
      <c r="O48" s="1389" t="s">
        <v>1869</v>
      </c>
      <c r="Q48" s="2640"/>
      <c r="R48" s="2645"/>
      <c r="S48" s="2641"/>
    </row>
    <row r="49" spans="1:19" s="329" customFormat="1" ht="11.25" customHeight="1">
      <c r="E49" s="334" t="s">
        <v>1865</v>
      </c>
      <c r="H49" s="2646"/>
      <c r="K49" s="1394" t="s">
        <v>2308</v>
      </c>
      <c r="L49" s="2643"/>
      <c r="M49" s="2694"/>
      <c r="O49" s="1389" t="s">
        <v>2054</v>
      </c>
      <c r="Q49" s="2640"/>
      <c r="R49" s="2645"/>
      <c r="S49" s="2641"/>
    </row>
    <row r="50" spans="1:19" s="329" customFormat="1" ht="11.25" customHeight="1">
      <c r="D50" s="372"/>
      <c r="E50" s="334" t="s">
        <v>2060</v>
      </c>
      <c r="H50" s="2640"/>
      <c r="I50" s="2641"/>
      <c r="J50" s="2756"/>
      <c r="K50" s="1403" t="s">
        <v>2059</v>
      </c>
      <c r="L50" s="2647"/>
      <c r="M50" s="2648"/>
      <c r="N50" s="2648"/>
      <c r="O50" s="2648"/>
      <c r="P50" s="2648"/>
      <c r="Q50" s="2648"/>
      <c r="R50" s="2648"/>
      <c r="S50" s="2649"/>
    </row>
    <row r="51" spans="1:19" ht="6.75" customHeight="1"/>
    <row r="52" spans="1:19" s="329" customFormat="1" ht="13.15" customHeight="1">
      <c r="A52" s="331" t="s">
        <v>770</v>
      </c>
      <c r="B52" s="331" t="s">
        <v>677</v>
      </c>
      <c r="F52" s="331"/>
      <c r="G52" s="1403"/>
      <c r="H52" s="1403"/>
      <c r="I52" s="1403"/>
      <c r="J52" s="1399"/>
      <c r="K52" s="1399"/>
      <c r="L52" s="1399"/>
      <c r="M52" s="1399"/>
      <c r="N52" s="1399"/>
      <c r="O52" s="1399"/>
      <c r="P52" s="1399"/>
      <c r="Q52" s="1399"/>
      <c r="R52" s="1399"/>
      <c r="S52" s="1399"/>
    </row>
    <row r="53" spans="1:19" s="329" customFormat="1" ht="3" customHeight="1">
      <c r="A53" s="331"/>
      <c r="B53" s="331"/>
      <c r="F53" s="331"/>
      <c r="G53" s="1403"/>
      <c r="H53" s="2758"/>
      <c r="I53" s="2758"/>
      <c r="J53" s="2758"/>
      <c r="K53" s="1391"/>
      <c r="L53" s="2758"/>
      <c r="M53" s="2758"/>
      <c r="N53" s="1391"/>
      <c r="O53" s="1384"/>
      <c r="P53" s="1384"/>
      <c r="Q53" s="1403"/>
      <c r="R53" s="1384"/>
      <c r="S53" s="1384"/>
    </row>
    <row r="54" spans="1:19" s="329" customFormat="1" ht="11.25" customHeight="1">
      <c r="B54" s="331" t="s">
        <v>2058</v>
      </c>
      <c r="C54" s="331" t="s">
        <v>295</v>
      </c>
      <c r="H54" s="2632" t="s">
        <v>4234</v>
      </c>
      <c r="I54" s="2693"/>
      <c r="J54" s="2693"/>
      <c r="K54" s="2693"/>
      <c r="L54" s="2693"/>
      <c r="M54" s="2693"/>
      <c r="N54" s="2694"/>
      <c r="O54" s="1389" t="s">
        <v>2065</v>
      </c>
      <c r="P54" s="1389"/>
      <c r="Q54" s="2632" t="s">
        <v>4215</v>
      </c>
      <c r="R54" s="2693"/>
      <c r="S54" s="2694"/>
    </row>
    <row r="55" spans="1:19" s="329" customFormat="1" ht="11.25" customHeight="1">
      <c r="D55" s="372"/>
      <c r="E55" s="334" t="s">
        <v>1058</v>
      </c>
      <c r="F55" s="342"/>
      <c r="H55" s="2632" t="s">
        <v>4207</v>
      </c>
      <c r="I55" s="2693"/>
      <c r="J55" s="2693"/>
      <c r="K55" s="2693"/>
      <c r="L55" s="2693"/>
      <c r="M55" s="2693"/>
      <c r="N55" s="2694"/>
      <c r="O55" s="1389" t="s">
        <v>1813</v>
      </c>
      <c r="Q55" s="2632" t="s">
        <v>4216</v>
      </c>
      <c r="R55" s="2693"/>
      <c r="S55" s="2694"/>
    </row>
    <row r="56" spans="1:19" s="329" customFormat="1" ht="11.25" customHeight="1">
      <c r="D56" s="372"/>
      <c r="E56" s="334" t="s">
        <v>642</v>
      </c>
      <c r="H56" s="2632" t="s">
        <v>1251</v>
      </c>
      <c r="I56" s="2693"/>
      <c r="J56" s="2694"/>
      <c r="K56" s="1393" t="s">
        <v>2808</v>
      </c>
      <c r="L56" s="2632" t="s">
        <v>4219</v>
      </c>
      <c r="M56" s="2693"/>
      <c r="N56" s="2694"/>
      <c r="O56" s="1389" t="s">
        <v>1869</v>
      </c>
      <c r="Q56" s="2640">
        <v>7706350157</v>
      </c>
      <c r="R56" s="2645"/>
      <c r="S56" s="2641"/>
    </row>
    <row r="57" spans="1:19" s="329" customFormat="1" ht="11.25" customHeight="1">
      <c r="E57" s="334" t="s">
        <v>1865</v>
      </c>
      <c r="H57" s="2646" t="s">
        <v>880</v>
      </c>
      <c r="K57" s="1394" t="s">
        <v>2308</v>
      </c>
      <c r="L57" s="2643">
        <v>303395704</v>
      </c>
      <c r="M57" s="2694"/>
      <c r="O57" s="1389" t="s">
        <v>2054</v>
      </c>
      <c r="Q57" s="2640">
        <v>4042340004</v>
      </c>
      <c r="R57" s="2645"/>
      <c r="S57" s="2641"/>
    </row>
    <row r="58" spans="1:19" s="329" customFormat="1" ht="11.25" customHeight="1">
      <c r="D58" s="372"/>
      <c r="E58" s="334" t="s">
        <v>2060</v>
      </c>
      <c r="H58" s="2640">
        <v>7709842100</v>
      </c>
      <c r="I58" s="2641"/>
      <c r="J58" s="2756">
        <v>107</v>
      </c>
      <c r="K58" s="1403" t="s">
        <v>2059</v>
      </c>
      <c r="L58" s="2647" t="s">
        <v>4217</v>
      </c>
      <c r="M58" s="2648"/>
      <c r="N58" s="2648"/>
      <c r="O58" s="2648"/>
      <c r="P58" s="2648"/>
      <c r="Q58" s="2648"/>
      <c r="R58" s="2648"/>
      <c r="S58" s="2649"/>
    </row>
    <row r="59" spans="1:19" s="329" customFormat="1" ht="6.6" customHeight="1">
      <c r="D59" s="372"/>
      <c r="E59" s="1399"/>
      <c r="F59" s="1399"/>
      <c r="G59" s="1389"/>
      <c r="H59" s="2757"/>
      <c r="I59" s="2757"/>
      <c r="J59" s="2757"/>
      <c r="K59" s="1403"/>
      <c r="L59" s="2757"/>
      <c r="M59" s="2757"/>
      <c r="N59" s="1391"/>
      <c r="O59" s="1384"/>
      <c r="P59" s="1384"/>
      <c r="Q59" s="1403"/>
      <c r="R59" s="1384"/>
      <c r="S59" s="1384"/>
    </row>
    <row r="60" spans="1:19" s="329" customFormat="1" ht="11.25" customHeight="1">
      <c r="B60" s="331" t="s">
        <v>2061</v>
      </c>
      <c r="C60" s="331" t="s">
        <v>296</v>
      </c>
      <c r="H60" s="2632"/>
      <c r="I60" s="2693"/>
      <c r="J60" s="2693"/>
      <c r="K60" s="2693"/>
      <c r="L60" s="2693"/>
      <c r="M60" s="2693"/>
      <c r="N60" s="2694"/>
      <c r="O60" s="1389" t="s">
        <v>2065</v>
      </c>
      <c r="P60" s="1389"/>
      <c r="Q60" s="2632"/>
      <c r="R60" s="2693"/>
      <c r="S60" s="2694"/>
    </row>
    <row r="61" spans="1:19" s="329" customFormat="1" ht="11.25" customHeight="1">
      <c r="D61" s="372"/>
      <c r="E61" s="334" t="s">
        <v>1058</v>
      </c>
      <c r="F61" s="342"/>
      <c r="H61" s="2632"/>
      <c r="I61" s="2693"/>
      <c r="J61" s="2693"/>
      <c r="K61" s="2693"/>
      <c r="L61" s="2693"/>
      <c r="M61" s="2693"/>
      <c r="N61" s="2694"/>
      <c r="O61" s="1389" t="s">
        <v>1813</v>
      </c>
      <c r="Q61" s="2632"/>
      <c r="R61" s="2693"/>
      <c r="S61" s="2694"/>
    </row>
    <row r="62" spans="1:19" s="329" customFormat="1" ht="11.25" customHeight="1">
      <c r="D62" s="372"/>
      <c r="E62" s="334" t="s">
        <v>642</v>
      </c>
      <c r="H62" s="2632"/>
      <c r="I62" s="2693"/>
      <c r="J62" s="2694"/>
      <c r="K62" s="1393" t="s">
        <v>2808</v>
      </c>
      <c r="L62" s="2632"/>
      <c r="M62" s="2693"/>
      <c r="N62" s="2694"/>
      <c r="O62" s="1389" t="s">
        <v>1869</v>
      </c>
      <c r="Q62" s="2640"/>
      <c r="R62" s="2645"/>
      <c r="S62" s="2641"/>
    </row>
    <row r="63" spans="1:19" s="329" customFormat="1" ht="11.25" customHeight="1">
      <c r="E63" s="334" t="s">
        <v>1865</v>
      </c>
      <c r="H63" s="2646"/>
      <c r="K63" s="1394" t="s">
        <v>2308</v>
      </c>
      <c r="L63" s="2643"/>
      <c r="M63" s="2694"/>
      <c r="O63" s="1389" t="s">
        <v>2054</v>
      </c>
      <c r="Q63" s="2640"/>
      <c r="R63" s="2645"/>
      <c r="S63" s="2641"/>
    </row>
    <row r="64" spans="1:19" s="329" customFormat="1" ht="11.25" customHeight="1">
      <c r="D64" s="372"/>
      <c r="E64" s="334" t="s">
        <v>2060</v>
      </c>
      <c r="H64" s="2640"/>
      <c r="I64" s="2641"/>
      <c r="J64" s="2756"/>
      <c r="K64" s="1403" t="s">
        <v>2059</v>
      </c>
      <c r="L64" s="2647"/>
      <c r="M64" s="2648"/>
      <c r="N64" s="2648"/>
      <c r="O64" s="2648"/>
      <c r="P64" s="2648"/>
      <c r="Q64" s="2648"/>
      <c r="R64" s="2648"/>
      <c r="S64" s="2649"/>
    </row>
    <row r="65" spans="1:19" s="329" customFormat="1" ht="6.6" customHeight="1">
      <c r="D65" s="372"/>
      <c r="E65" s="1399"/>
      <c r="F65" s="1399"/>
      <c r="G65" s="1389"/>
      <c r="H65" s="2757"/>
      <c r="I65" s="2757"/>
      <c r="J65" s="2757"/>
      <c r="K65" s="1403"/>
      <c r="L65" s="2757"/>
      <c r="M65" s="2757"/>
      <c r="N65" s="1391"/>
      <c r="O65" s="1384"/>
      <c r="P65" s="1384"/>
      <c r="Q65" s="1403"/>
      <c r="R65" s="1384"/>
      <c r="S65" s="1384"/>
    </row>
    <row r="66" spans="1:19" s="329" customFormat="1" ht="11.25" customHeight="1">
      <c r="B66" s="331" t="s">
        <v>779</v>
      </c>
      <c r="C66" s="331" t="s">
        <v>1585</v>
      </c>
      <c r="H66" s="2632"/>
      <c r="I66" s="2693"/>
      <c r="J66" s="2693"/>
      <c r="K66" s="2693"/>
      <c r="L66" s="2693"/>
      <c r="M66" s="2693"/>
      <c r="N66" s="2694"/>
      <c r="O66" s="1389" t="s">
        <v>2065</v>
      </c>
      <c r="P66" s="1389"/>
      <c r="Q66" s="2632"/>
      <c r="R66" s="2693"/>
      <c r="S66" s="2694"/>
    </row>
    <row r="67" spans="1:19" s="329" customFormat="1" ht="11.25" customHeight="1">
      <c r="D67" s="372"/>
      <c r="E67" s="334" t="s">
        <v>1058</v>
      </c>
      <c r="F67" s="342"/>
      <c r="H67" s="2632"/>
      <c r="I67" s="2693"/>
      <c r="J67" s="2693"/>
      <c r="K67" s="2693"/>
      <c r="L67" s="2693"/>
      <c r="M67" s="2693"/>
      <c r="N67" s="2694"/>
      <c r="O67" s="1389" t="s">
        <v>1813</v>
      </c>
      <c r="Q67" s="2632"/>
      <c r="R67" s="2693"/>
      <c r="S67" s="2694"/>
    </row>
    <row r="68" spans="1:19" s="329" customFormat="1" ht="11.25" customHeight="1">
      <c r="D68" s="372"/>
      <c r="E68" s="334" t="s">
        <v>642</v>
      </c>
      <c r="H68" s="2632"/>
      <c r="I68" s="2693"/>
      <c r="J68" s="2694"/>
      <c r="K68" s="1393" t="s">
        <v>2808</v>
      </c>
      <c r="L68" s="2632"/>
      <c r="M68" s="2693"/>
      <c r="N68" s="2694"/>
      <c r="O68" s="1389" t="s">
        <v>1869</v>
      </c>
      <c r="Q68" s="2640"/>
      <c r="R68" s="2645"/>
      <c r="S68" s="2641"/>
    </row>
    <row r="69" spans="1:19" s="329" customFormat="1" ht="11.25" customHeight="1">
      <c r="E69" s="334" t="s">
        <v>1865</v>
      </c>
      <c r="H69" s="2646"/>
      <c r="K69" s="1394" t="s">
        <v>2308</v>
      </c>
      <c r="L69" s="2643"/>
      <c r="M69" s="2694"/>
      <c r="O69" s="1389" t="s">
        <v>2054</v>
      </c>
      <c r="Q69" s="2640"/>
      <c r="R69" s="2645"/>
      <c r="S69" s="2641"/>
    </row>
    <row r="70" spans="1:19" s="329" customFormat="1" ht="11.25" customHeight="1">
      <c r="D70" s="372"/>
      <c r="E70" s="334" t="s">
        <v>2060</v>
      </c>
      <c r="H70" s="2640"/>
      <c r="I70" s="2641"/>
      <c r="J70" s="2756"/>
      <c r="K70" s="1403" t="s">
        <v>2059</v>
      </c>
      <c r="L70" s="2647"/>
      <c r="M70" s="2648"/>
      <c r="N70" s="2648"/>
      <c r="O70" s="2648"/>
      <c r="P70" s="2648"/>
      <c r="Q70" s="2648"/>
      <c r="R70" s="2648"/>
      <c r="S70" s="2649"/>
    </row>
    <row r="71" spans="1:19" ht="6.6" customHeight="1">
      <c r="H71" s="2757"/>
      <c r="I71" s="2757"/>
      <c r="J71" s="2757"/>
      <c r="K71" s="1403"/>
      <c r="L71" s="2757"/>
      <c r="M71" s="2757"/>
      <c r="N71" s="1391"/>
      <c r="O71" s="1384"/>
      <c r="P71" s="1384"/>
      <c r="Q71" s="1403"/>
      <c r="R71" s="1384"/>
      <c r="S71" s="1384"/>
    </row>
    <row r="72" spans="1:19" s="329" customFormat="1" ht="11.25" customHeight="1">
      <c r="B72" s="331" t="s">
        <v>2193</v>
      </c>
      <c r="C72" s="331" t="s">
        <v>297</v>
      </c>
      <c r="H72" s="2632"/>
      <c r="I72" s="2693"/>
      <c r="J72" s="2693"/>
      <c r="K72" s="2693"/>
      <c r="L72" s="2693"/>
      <c r="M72" s="2693"/>
      <c r="N72" s="2694"/>
      <c r="O72" s="1389" t="s">
        <v>2065</v>
      </c>
      <c r="P72" s="1389"/>
      <c r="Q72" s="2632"/>
      <c r="R72" s="2693"/>
      <c r="S72" s="2694"/>
    </row>
    <row r="73" spans="1:19" s="329" customFormat="1" ht="11.25" customHeight="1">
      <c r="D73" s="372"/>
      <c r="E73" s="334" t="s">
        <v>1058</v>
      </c>
      <c r="F73" s="342"/>
      <c r="H73" s="2632"/>
      <c r="I73" s="2693"/>
      <c r="J73" s="2693"/>
      <c r="K73" s="2693"/>
      <c r="L73" s="2693"/>
      <c r="M73" s="2693"/>
      <c r="N73" s="2694"/>
      <c r="O73" s="1389" t="s">
        <v>1813</v>
      </c>
      <c r="Q73" s="2632"/>
      <c r="R73" s="2693"/>
      <c r="S73" s="2694"/>
    </row>
    <row r="74" spans="1:19" s="329" customFormat="1" ht="11.25" customHeight="1">
      <c r="D74" s="372"/>
      <c r="E74" s="334" t="s">
        <v>642</v>
      </c>
      <c r="H74" s="2632"/>
      <c r="I74" s="2693"/>
      <c r="J74" s="2694"/>
      <c r="K74" s="1393" t="s">
        <v>2808</v>
      </c>
      <c r="L74" s="2632"/>
      <c r="M74" s="2693"/>
      <c r="N74" s="2694"/>
      <c r="O74" s="1389" t="s">
        <v>1869</v>
      </c>
      <c r="Q74" s="2640"/>
      <c r="R74" s="2645"/>
      <c r="S74" s="2641"/>
    </row>
    <row r="75" spans="1:19" s="329" customFormat="1" ht="11.25" customHeight="1">
      <c r="E75" s="334" t="s">
        <v>1865</v>
      </c>
      <c r="H75" s="2646"/>
      <c r="K75" s="1394" t="s">
        <v>2308</v>
      </c>
      <c r="L75" s="2643"/>
      <c r="M75" s="2694"/>
      <c r="O75" s="1389" t="s">
        <v>2054</v>
      </c>
      <c r="Q75" s="2640"/>
      <c r="R75" s="2645"/>
      <c r="S75" s="2641"/>
    </row>
    <row r="76" spans="1:19" s="329" customFormat="1" ht="11.25" customHeight="1">
      <c r="D76" s="372"/>
      <c r="E76" s="334" t="s">
        <v>2060</v>
      </c>
      <c r="H76" s="2640"/>
      <c r="I76" s="2641"/>
      <c r="J76" s="2756"/>
      <c r="K76" s="1403" t="s">
        <v>2059</v>
      </c>
      <c r="L76" s="2647"/>
      <c r="M76" s="2648"/>
      <c r="N76" s="2648"/>
      <c r="O76" s="2648"/>
      <c r="P76" s="2648"/>
      <c r="Q76" s="2648"/>
      <c r="R76" s="2648"/>
      <c r="S76" s="2649"/>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8"/>
      <c r="I79" s="2758"/>
      <c r="J79" s="2758"/>
      <c r="K79" s="1391"/>
      <c r="L79" s="2758"/>
      <c r="M79" s="2758"/>
      <c r="N79" s="1391"/>
      <c r="O79" s="1384"/>
      <c r="P79" s="1384"/>
      <c r="Q79" s="1403"/>
      <c r="R79" s="1384"/>
      <c r="S79" s="1384"/>
    </row>
    <row r="80" spans="1:19" s="329" customFormat="1" ht="11.25" customHeight="1">
      <c r="B80" s="331" t="s">
        <v>2058</v>
      </c>
      <c r="C80" s="331" t="s">
        <v>299</v>
      </c>
      <c r="H80" s="2632"/>
      <c r="I80" s="2693"/>
      <c r="J80" s="2693"/>
      <c r="K80" s="2693"/>
      <c r="L80" s="2693"/>
      <c r="M80" s="2693"/>
      <c r="N80" s="2694"/>
      <c r="O80" s="1389" t="s">
        <v>2065</v>
      </c>
      <c r="P80" s="1389"/>
      <c r="Q80" s="2632"/>
      <c r="R80" s="2693"/>
      <c r="S80" s="2694"/>
    </row>
    <row r="81" spans="2:19" s="329" customFormat="1" ht="11.25" customHeight="1">
      <c r="D81" s="372"/>
      <c r="E81" s="334" t="s">
        <v>1058</v>
      </c>
      <c r="F81" s="342"/>
      <c r="H81" s="2632"/>
      <c r="I81" s="2693"/>
      <c r="J81" s="2693"/>
      <c r="K81" s="2693"/>
      <c r="L81" s="2693"/>
      <c r="M81" s="2693"/>
      <c r="N81" s="2694"/>
      <c r="O81" s="1389" t="s">
        <v>1813</v>
      </c>
      <c r="Q81" s="2632"/>
      <c r="R81" s="2693"/>
      <c r="S81" s="2694"/>
    </row>
    <row r="82" spans="2:19" s="329" customFormat="1" ht="11.25" customHeight="1">
      <c r="D82" s="372"/>
      <c r="E82" s="334" t="s">
        <v>642</v>
      </c>
      <c r="H82" s="2632"/>
      <c r="I82" s="2693"/>
      <c r="J82" s="2694"/>
      <c r="K82" s="1393" t="s">
        <v>2808</v>
      </c>
      <c r="L82" s="2632"/>
      <c r="M82" s="2693"/>
      <c r="N82" s="2694"/>
      <c r="O82" s="1389" t="s">
        <v>1869</v>
      </c>
      <c r="Q82" s="2640"/>
      <c r="R82" s="2645"/>
      <c r="S82" s="2641"/>
    </row>
    <row r="83" spans="2:19" s="329" customFormat="1" ht="11.25" customHeight="1">
      <c r="E83" s="334" t="s">
        <v>1865</v>
      </c>
      <c r="H83" s="2646"/>
      <c r="K83" s="1394" t="s">
        <v>2308</v>
      </c>
      <c r="L83" s="2643"/>
      <c r="M83" s="2694"/>
      <c r="O83" s="1389" t="s">
        <v>2054</v>
      </c>
      <c r="Q83" s="2640"/>
      <c r="R83" s="2645"/>
      <c r="S83" s="2641"/>
    </row>
    <row r="84" spans="2:19" s="329" customFormat="1" ht="11.25" customHeight="1">
      <c r="D84" s="372"/>
      <c r="E84" s="334" t="s">
        <v>2060</v>
      </c>
      <c r="H84" s="2640"/>
      <c r="I84" s="2641"/>
      <c r="J84" s="2756"/>
      <c r="K84" s="1403" t="s">
        <v>2059</v>
      </c>
      <c r="L84" s="2647"/>
      <c r="M84" s="2648"/>
      <c r="N84" s="2648"/>
      <c r="O84" s="2648"/>
      <c r="P84" s="2648"/>
      <c r="Q84" s="2648"/>
      <c r="R84" s="2648"/>
      <c r="S84" s="2649"/>
    </row>
    <row r="85" spans="2:19" ht="6.6" customHeight="1">
      <c r="H85" s="2757"/>
      <c r="I85" s="2757"/>
      <c r="J85" s="2757"/>
      <c r="K85" s="1403"/>
      <c r="L85" s="2757"/>
      <c r="M85" s="2757"/>
      <c r="N85" s="1391"/>
      <c r="O85" s="1384"/>
      <c r="P85" s="1384"/>
      <c r="Q85" s="1403"/>
      <c r="R85" s="1384"/>
      <c r="S85" s="1384"/>
    </row>
    <row r="86" spans="2:19" s="329" customFormat="1" ht="11.25" customHeight="1">
      <c r="B86" s="331" t="s">
        <v>2061</v>
      </c>
      <c r="C86" s="331" t="s">
        <v>300</v>
      </c>
      <c r="H86" s="2632" t="s">
        <v>4235</v>
      </c>
      <c r="I86" s="2693"/>
      <c r="J86" s="2693"/>
      <c r="K86" s="2693"/>
      <c r="L86" s="2693"/>
      <c r="M86" s="2693"/>
      <c r="N86" s="2694"/>
      <c r="O86" s="1389" t="s">
        <v>2065</v>
      </c>
      <c r="P86" s="1389"/>
      <c r="Q86" s="2632" t="s">
        <v>4239</v>
      </c>
      <c r="R86" s="2693"/>
      <c r="S86" s="2694"/>
    </row>
    <row r="87" spans="2:19" s="329" customFormat="1" ht="11.25" customHeight="1">
      <c r="D87" s="372"/>
      <c r="E87" s="334" t="s">
        <v>1058</v>
      </c>
      <c r="F87" s="342"/>
      <c r="H87" s="2632" t="s">
        <v>4236</v>
      </c>
      <c r="I87" s="2693"/>
      <c r="J87" s="2693"/>
      <c r="K87" s="2693"/>
      <c r="L87" s="2693"/>
      <c r="M87" s="2693"/>
      <c r="N87" s="2694"/>
      <c r="O87" s="1389" t="s">
        <v>1813</v>
      </c>
      <c r="Q87" s="2632" t="s">
        <v>4240</v>
      </c>
      <c r="R87" s="2693"/>
      <c r="S87" s="2694"/>
    </row>
    <row r="88" spans="2:19" s="329" customFormat="1" ht="11.25" customHeight="1">
      <c r="D88" s="372"/>
      <c r="E88" s="334" t="s">
        <v>642</v>
      </c>
      <c r="H88" s="2632" t="s">
        <v>2242</v>
      </c>
      <c r="I88" s="2693"/>
      <c r="J88" s="2694"/>
      <c r="K88" s="1393" t="s">
        <v>2808</v>
      </c>
      <c r="L88" s="2632" t="s">
        <v>4238</v>
      </c>
      <c r="M88" s="2693"/>
      <c r="N88" s="2694"/>
      <c r="O88" s="1389" t="s">
        <v>1869</v>
      </c>
      <c r="Q88" s="2640">
        <v>8006727090</v>
      </c>
      <c r="R88" s="2645"/>
      <c r="S88" s="2641"/>
    </row>
    <row r="89" spans="2:19" s="329" customFormat="1" ht="11.25" customHeight="1">
      <c r="E89" s="334" t="s">
        <v>1865</v>
      </c>
      <c r="H89" s="2646" t="s">
        <v>880</v>
      </c>
      <c r="K89" s="1394" t="s">
        <v>2308</v>
      </c>
      <c r="L89" s="2643">
        <v>300755860</v>
      </c>
      <c r="M89" s="2694"/>
      <c r="O89" s="1389" t="s">
        <v>2054</v>
      </c>
      <c r="Q89" s="2640">
        <v>7708266841</v>
      </c>
      <c r="R89" s="2645"/>
      <c r="S89" s="2641"/>
    </row>
    <row r="90" spans="2:19" s="329" customFormat="1" ht="11.25" customHeight="1">
      <c r="D90" s="372"/>
      <c r="E90" s="334" t="s">
        <v>2060</v>
      </c>
      <c r="H90" s="2640">
        <v>8006727090</v>
      </c>
      <c r="I90" s="2641"/>
      <c r="J90" s="2756"/>
      <c r="K90" s="1403" t="s">
        <v>2059</v>
      </c>
      <c r="L90" s="2647" t="s">
        <v>4237</v>
      </c>
      <c r="M90" s="2648"/>
      <c r="N90" s="2648"/>
      <c r="O90" s="2648"/>
      <c r="P90" s="2648"/>
      <c r="Q90" s="2648"/>
      <c r="R90" s="2648"/>
      <c r="S90" s="2649"/>
    </row>
    <row r="91" spans="2:19" ht="6.6" customHeight="1">
      <c r="H91" s="2757"/>
      <c r="I91" s="2757"/>
      <c r="J91" s="2757"/>
      <c r="K91" s="1403"/>
      <c r="L91" s="2757"/>
      <c r="M91" s="2757"/>
      <c r="N91" s="1391"/>
      <c r="O91" s="1384"/>
      <c r="P91" s="1384"/>
      <c r="Q91" s="1403"/>
      <c r="R91" s="1384"/>
      <c r="S91" s="1384"/>
    </row>
    <row r="92" spans="2:19" s="329" customFormat="1" ht="11.25" customHeight="1">
      <c r="B92" s="331" t="s">
        <v>779</v>
      </c>
      <c r="C92" s="331" t="s">
        <v>301</v>
      </c>
      <c r="F92" s="348"/>
      <c r="H92" s="2632" t="s">
        <v>4241</v>
      </c>
      <c r="I92" s="2693"/>
      <c r="J92" s="2693"/>
      <c r="K92" s="2693"/>
      <c r="L92" s="2693"/>
      <c r="M92" s="2693"/>
      <c r="N92" s="2694"/>
      <c r="O92" s="1389" t="s">
        <v>2065</v>
      </c>
      <c r="P92" s="1389"/>
      <c r="Q92" s="2632" t="s">
        <v>4215</v>
      </c>
      <c r="R92" s="2693"/>
      <c r="S92" s="2694"/>
    </row>
    <row r="93" spans="2:19" s="329" customFormat="1" ht="11.25" customHeight="1">
      <c r="D93" s="372"/>
      <c r="E93" s="334" t="s">
        <v>1058</v>
      </c>
      <c r="F93" s="342"/>
      <c r="H93" s="2632" t="s">
        <v>4207</v>
      </c>
      <c r="I93" s="2693"/>
      <c r="J93" s="2693"/>
      <c r="K93" s="2693"/>
      <c r="L93" s="2693"/>
      <c r="M93" s="2693"/>
      <c r="N93" s="2694"/>
      <c r="O93" s="1389" t="s">
        <v>1813</v>
      </c>
      <c r="Q93" s="2632" t="s">
        <v>4230</v>
      </c>
      <c r="R93" s="2693"/>
      <c r="S93" s="2694"/>
    </row>
    <row r="94" spans="2:19" s="329" customFormat="1" ht="11.25" customHeight="1">
      <c r="D94" s="372"/>
      <c r="E94" s="334" t="s">
        <v>642</v>
      </c>
      <c r="H94" s="2632" t="s">
        <v>1251</v>
      </c>
      <c r="I94" s="2693"/>
      <c r="J94" s="2694"/>
      <c r="K94" s="1393" t="s">
        <v>2808</v>
      </c>
      <c r="L94" s="2632" t="s">
        <v>4219</v>
      </c>
      <c r="M94" s="2693"/>
      <c r="N94" s="2694"/>
      <c r="O94" s="1389" t="s">
        <v>1869</v>
      </c>
      <c r="Q94" s="2640">
        <v>7706350157</v>
      </c>
      <c r="R94" s="2645"/>
      <c r="S94" s="2641"/>
    </row>
    <row r="95" spans="2:19" s="329" customFormat="1" ht="11.25" customHeight="1">
      <c r="D95" s="372"/>
      <c r="E95" s="334" t="s">
        <v>1865</v>
      </c>
      <c r="H95" s="2646" t="s">
        <v>880</v>
      </c>
      <c r="K95" s="1394" t="s">
        <v>2308</v>
      </c>
      <c r="L95" s="2643">
        <v>303395704</v>
      </c>
      <c r="M95" s="2694"/>
      <c r="O95" s="1389" t="s">
        <v>2054</v>
      </c>
      <c r="Q95" s="2640">
        <v>4042340004</v>
      </c>
      <c r="R95" s="2645"/>
      <c r="S95" s="2641"/>
    </row>
    <row r="96" spans="2:19" s="329" customFormat="1" ht="11.25" customHeight="1">
      <c r="D96" s="372"/>
      <c r="E96" s="334" t="s">
        <v>2060</v>
      </c>
      <c r="H96" s="2640">
        <v>7709842100</v>
      </c>
      <c r="I96" s="2641"/>
      <c r="J96" s="2756">
        <v>107</v>
      </c>
      <c r="K96" s="1403" t="s">
        <v>2059</v>
      </c>
      <c r="L96" s="2647" t="s">
        <v>4217</v>
      </c>
      <c r="M96" s="2648"/>
      <c r="N96" s="2648"/>
      <c r="O96" s="2648"/>
      <c r="P96" s="2648"/>
      <c r="Q96" s="2648"/>
      <c r="R96" s="2648"/>
      <c r="S96" s="2649"/>
    </row>
    <row r="97" spans="2:19" ht="6.6" customHeight="1">
      <c r="H97" s="2757"/>
      <c r="I97" s="2757"/>
      <c r="J97" s="2757"/>
      <c r="K97" s="1403"/>
      <c r="L97" s="2757"/>
      <c r="M97" s="2757"/>
      <c r="N97" s="1391"/>
      <c r="O97" s="1384"/>
      <c r="P97" s="1384"/>
      <c r="Q97" s="1403"/>
      <c r="R97" s="1384"/>
      <c r="S97" s="1384"/>
    </row>
    <row r="98" spans="2:19" s="329" customFormat="1" ht="11.25" customHeight="1">
      <c r="B98" s="331" t="s">
        <v>2193</v>
      </c>
      <c r="C98" s="331" t="s">
        <v>302</v>
      </c>
      <c r="H98" s="2632" t="s">
        <v>4242</v>
      </c>
      <c r="I98" s="2693"/>
      <c r="J98" s="2693"/>
      <c r="K98" s="2693"/>
      <c r="L98" s="2693"/>
      <c r="M98" s="2693"/>
      <c r="N98" s="2694"/>
      <c r="O98" s="1389" t="s">
        <v>2065</v>
      </c>
      <c r="P98" s="1389"/>
      <c r="Q98" s="2632" t="s">
        <v>4246</v>
      </c>
      <c r="R98" s="2693"/>
      <c r="S98" s="2694"/>
    </row>
    <row r="99" spans="2:19" s="329" customFormat="1" ht="11.25" customHeight="1">
      <c r="D99" s="372"/>
      <c r="E99" s="334" t="s">
        <v>1058</v>
      </c>
      <c r="F99" s="342"/>
      <c r="H99" s="2632" t="s">
        <v>4243</v>
      </c>
      <c r="I99" s="2693"/>
      <c r="J99" s="2693"/>
      <c r="K99" s="2693"/>
      <c r="L99" s="2693"/>
      <c r="M99" s="2693"/>
      <c r="N99" s="2694"/>
      <c r="O99" s="1389" t="s">
        <v>1813</v>
      </c>
      <c r="Q99" s="2632" t="s">
        <v>4247</v>
      </c>
      <c r="R99" s="2693"/>
      <c r="S99" s="2694"/>
    </row>
    <row r="100" spans="2:19" s="329" customFormat="1" ht="11.25" customHeight="1">
      <c r="D100" s="372"/>
      <c r="E100" s="334" t="s">
        <v>642</v>
      </c>
      <c r="H100" s="2632" t="s">
        <v>1760</v>
      </c>
      <c r="I100" s="2693"/>
      <c r="J100" s="2694"/>
      <c r="K100" s="1393" t="s">
        <v>2808</v>
      </c>
      <c r="L100" s="2632" t="s">
        <v>4244</v>
      </c>
      <c r="M100" s="2693"/>
      <c r="N100" s="2694"/>
      <c r="O100" s="1389" t="s">
        <v>1869</v>
      </c>
      <c r="Q100" s="2640">
        <v>2296718260</v>
      </c>
      <c r="R100" s="2645"/>
      <c r="S100" s="2641"/>
    </row>
    <row r="101" spans="2:19" s="329" customFormat="1" ht="11.25" customHeight="1">
      <c r="D101" s="372"/>
      <c r="E101" s="334" t="s">
        <v>1865</v>
      </c>
      <c r="H101" s="2646" t="s">
        <v>880</v>
      </c>
      <c r="K101" s="1394" t="s">
        <v>2308</v>
      </c>
      <c r="L101" s="2643">
        <v>316014531</v>
      </c>
      <c r="M101" s="2694"/>
      <c r="O101" s="1389" t="s">
        <v>2054</v>
      </c>
      <c r="Q101" s="2640">
        <v>2298349704</v>
      </c>
      <c r="R101" s="2645"/>
      <c r="S101" s="2641"/>
    </row>
    <row r="102" spans="2:19" ht="11.25" customHeight="1">
      <c r="E102" s="334" t="s">
        <v>2060</v>
      </c>
      <c r="F102" s="329"/>
      <c r="G102" s="329"/>
      <c r="H102" s="2640">
        <v>2296718260</v>
      </c>
      <c r="I102" s="2641"/>
      <c r="J102" s="2756"/>
      <c r="K102" s="1403" t="s">
        <v>2059</v>
      </c>
      <c r="L102" s="2647" t="s">
        <v>4245</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403"/>
      <c r="R103" s="1403"/>
      <c r="S103" s="2759"/>
    </row>
    <row r="104" spans="2:19" ht="0.6" customHeight="1">
      <c r="E104" s="334"/>
      <c r="F104" s="329"/>
      <c r="G104" s="1399"/>
      <c r="H104" s="2758"/>
      <c r="I104" s="2758"/>
      <c r="J104" s="2758"/>
      <c r="K104" s="1391"/>
      <c r="L104" s="2758"/>
      <c r="M104" s="2758"/>
      <c r="N104" s="1391"/>
      <c r="O104" s="1384"/>
      <c r="P104" s="1384"/>
      <c r="Q104" s="1403"/>
      <c r="R104" s="1384"/>
      <c r="S104" s="1384"/>
    </row>
    <row r="105" spans="2:19" s="329" customFormat="1" ht="11.25" customHeight="1">
      <c r="B105" s="331" t="s">
        <v>1801</v>
      </c>
      <c r="C105" s="331" t="s">
        <v>303</v>
      </c>
      <c r="H105" s="2632" t="s">
        <v>4248</v>
      </c>
      <c r="I105" s="2693"/>
      <c r="J105" s="2693"/>
      <c r="K105" s="2693"/>
      <c r="L105" s="2693"/>
      <c r="M105" s="2693"/>
      <c r="N105" s="2694"/>
      <c r="O105" s="1389" t="s">
        <v>2065</v>
      </c>
      <c r="P105" s="1389"/>
      <c r="Q105" s="2632" t="s">
        <v>4252</v>
      </c>
      <c r="R105" s="2693"/>
      <c r="S105" s="2694"/>
    </row>
    <row r="106" spans="2:19" s="329" customFormat="1" ht="11.25" customHeight="1">
      <c r="D106" s="372"/>
      <c r="E106" s="334" t="s">
        <v>1058</v>
      </c>
      <c r="F106" s="342"/>
      <c r="H106" s="2632" t="s">
        <v>4250</v>
      </c>
      <c r="I106" s="2693"/>
      <c r="J106" s="2693"/>
      <c r="K106" s="2693"/>
      <c r="L106" s="2693"/>
      <c r="M106" s="2693"/>
      <c r="N106" s="2694"/>
      <c r="O106" s="1389" t="s">
        <v>1813</v>
      </c>
      <c r="Q106" s="2632" t="s">
        <v>4247</v>
      </c>
      <c r="R106" s="2693"/>
      <c r="S106" s="2694"/>
    </row>
    <row r="107" spans="2:19" s="329" customFormat="1" ht="11.25" customHeight="1">
      <c r="D107" s="372"/>
      <c r="E107" s="334" t="s">
        <v>642</v>
      </c>
      <c r="H107" s="2632" t="s">
        <v>4251</v>
      </c>
      <c r="I107" s="2693"/>
      <c r="J107" s="2694"/>
      <c r="K107" s="1393" t="s">
        <v>2808</v>
      </c>
      <c r="L107" s="2632" t="s">
        <v>4249</v>
      </c>
      <c r="M107" s="2693"/>
      <c r="N107" s="2694"/>
      <c r="O107" s="1389" t="s">
        <v>1869</v>
      </c>
      <c r="Q107" s="2640">
        <v>2052715543</v>
      </c>
      <c r="R107" s="2645"/>
      <c r="S107" s="2641"/>
    </row>
    <row r="108" spans="2:19" s="329" customFormat="1" ht="11.25" customHeight="1">
      <c r="D108" s="372"/>
      <c r="E108" s="334" t="s">
        <v>1865</v>
      </c>
      <c r="H108" s="2646" t="s">
        <v>870</v>
      </c>
      <c r="K108" s="1394" t="s">
        <v>2308</v>
      </c>
      <c r="L108" s="2643">
        <v>352032700</v>
      </c>
      <c r="M108" s="2694"/>
      <c r="O108" s="1389" t="s">
        <v>2054</v>
      </c>
      <c r="Q108" s="2640">
        <v>3346634523</v>
      </c>
      <c r="R108" s="2645"/>
      <c r="S108" s="2641"/>
    </row>
    <row r="109" spans="2:19" ht="11.25" customHeight="1">
      <c r="E109" s="334" t="s">
        <v>2060</v>
      </c>
      <c r="F109" s="329"/>
      <c r="G109" s="329"/>
      <c r="H109" s="2640">
        <v>2058221010</v>
      </c>
      <c r="I109" s="2641"/>
      <c r="J109" s="2756"/>
      <c r="K109" s="1403" t="s">
        <v>2059</v>
      </c>
      <c r="L109" s="2647" t="s">
        <v>4253</v>
      </c>
      <c r="M109" s="2648"/>
      <c r="N109" s="2648"/>
      <c r="O109" s="2648"/>
      <c r="P109" s="2648"/>
      <c r="Q109" s="2648"/>
      <c r="R109" s="2648"/>
      <c r="S109" s="2649"/>
    </row>
    <row r="110" spans="2:19" ht="6.6" customHeight="1">
      <c r="E110" s="334"/>
      <c r="F110" s="329"/>
      <c r="G110" s="1399"/>
      <c r="H110" s="2757"/>
      <c r="I110" s="2757"/>
      <c r="J110" s="2757"/>
      <c r="K110" s="1403"/>
      <c r="L110" s="2757"/>
      <c r="M110" s="2757"/>
      <c r="N110" s="1391"/>
      <c r="O110" s="1384"/>
      <c r="P110" s="1384"/>
      <c r="Q110" s="1403"/>
      <c r="R110" s="1384"/>
      <c r="S110" s="1384"/>
    </row>
    <row r="111" spans="2:19" s="329" customFormat="1" ht="11.25" customHeight="1">
      <c r="B111" s="331" t="s">
        <v>1802</v>
      </c>
      <c r="C111" s="331" t="s">
        <v>304</v>
      </c>
      <c r="H111" s="2632" t="s">
        <v>4255</v>
      </c>
      <c r="I111" s="2693"/>
      <c r="J111" s="2693"/>
      <c r="K111" s="2693"/>
      <c r="L111" s="2693"/>
      <c r="M111" s="2693"/>
      <c r="N111" s="2694"/>
      <c r="O111" s="1389" t="s">
        <v>2065</v>
      </c>
      <c r="P111" s="1389"/>
      <c r="Q111" s="2632" t="s">
        <v>4258</v>
      </c>
      <c r="R111" s="2693"/>
      <c r="S111" s="2694"/>
    </row>
    <row r="112" spans="2:19" s="329" customFormat="1" ht="11.25" customHeight="1">
      <c r="D112" s="372"/>
      <c r="E112" s="334" t="s">
        <v>1058</v>
      </c>
      <c r="F112" s="342"/>
      <c r="H112" s="2632" t="s">
        <v>4256</v>
      </c>
      <c r="I112" s="2693"/>
      <c r="J112" s="2693"/>
      <c r="K112" s="2693"/>
      <c r="L112" s="2693"/>
      <c r="M112" s="2693"/>
      <c r="N112" s="2694"/>
      <c r="O112" s="1389" t="s">
        <v>1813</v>
      </c>
      <c r="Q112" s="2632" t="s">
        <v>2560</v>
      </c>
      <c r="R112" s="2693"/>
      <c r="S112" s="2694"/>
    </row>
    <row r="113" spans="1:19" s="329" customFormat="1" ht="11.25" customHeight="1">
      <c r="D113" s="372"/>
      <c r="E113" s="334" t="s">
        <v>642</v>
      </c>
      <c r="H113" s="2632" t="s">
        <v>1760</v>
      </c>
      <c r="I113" s="2693"/>
      <c r="J113" s="2694"/>
      <c r="K113" s="1393" t="s">
        <v>2808</v>
      </c>
      <c r="L113" s="2632" t="s">
        <v>4254</v>
      </c>
      <c r="M113" s="2693"/>
      <c r="N113" s="2694"/>
      <c r="O113" s="1389" t="s">
        <v>1869</v>
      </c>
      <c r="Q113" s="2640">
        <v>2292441188</v>
      </c>
      <c r="R113" s="2645"/>
      <c r="S113" s="2641"/>
    </row>
    <row r="114" spans="1:19" s="329" customFormat="1" ht="11.25" customHeight="1">
      <c r="D114" s="376"/>
      <c r="E114" s="334" t="s">
        <v>1865</v>
      </c>
      <c r="H114" s="2646" t="s">
        <v>880</v>
      </c>
      <c r="K114" s="1394" t="s">
        <v>2308</v>
      </c>
      <c r="L114" s="2643">
        <v>316021770</v>
      </c>
      <c r="M114" s="2694"/>
      <c r="O114" s="1389" t="s">
        <v>2054</v>
      </c>
      <c r="Q114" s="2640"/>
      <c r="R114" s="2645"/>
      <c r="S114" s="2641"/>
    </row>
    <row r="115" spans="1:19" s="329" customFormat="1" ht="11.25" customHeight="1">
      <c r="D115" s="376"/>
      <c r="E115" s="334" t="s">
        <v>2060</v>
      </c>
      <c r="H115" s="2640">
        <v>2292441188</v>
      </c>
      <c r="I115" s="2641"/>
      <c r="J115" s="2756"/>
      <c r="K115" s="1403" t="s">
        <v>2059</v>
      </c>
      <c r="L115" s="2647" t="s">
        <v>4257</v>
      </c>
      <c r="M115" s="2648"/>
      <c r="N115" s="2648"/>
      <c r="O115" s="2648"/>
      <c r="P115" s="2648"/>
      <c r="Q115" s="2648"/>
      <c r="R115" s="2648"/>
      <c r="S115" s="2649"/>
    </row>
    <row r="116" spans="1:19" ht="4.5" customHeight="1"/>
    <row r="117" spans="1:19" s="329" customFormat="1" ht="13.15" customHeight="1">
      <c r="A117" s="331" t="s">
        <v>1858</v>
      </c>
      <c r="B117" s="331" t="s">
        <v>2691</v>
      </c>
      <c r="F117" s="331"/>
      <c r="G117" s="1403"/>
      <c r="H117" s="1403"/>
      <c r="I117" s="1403"/>
      <c r="J117" s="1403"/>
      <c r="K117" s="1403"/>
      <c r="L117" s="1403"/>
      <c r="M117" s="1403"/>
      <c r="N117" s="1403"/>
      <c r="O117" s="1403"/>
      <c r="P117" s="1403"/>
      <c r="Q117" s="1393"/>
    </row>
    <row r="118" spans="1:19" s="329" customFormat="1" ht="11.25" customHeight="1">
      <c r="B118" s="331" t="s">
        <v>2058</v>
      </c>
      <c r="C118" s="331" t="s">
        <v>3869</v>
      </c>
      <c r="H118" s="2650" t="s">
        <v>4280</v>
      </c>
      <c r="I118" s="2651"/>
      <c r="J118" s="2652"/>
      <c r="K118" s="1403" t="s">
        <v>2560</v>
      </c>
      <c r="L118" s="2632" t="s">
        <v>4215</v>
      </c>
      <c r="M118" s="2693"/>
      <c r="N118" s="2694"/>
      <c r="O118" s="334" t="s">
        <v>3870</v>
      </c>
      <c r="Q118" s="2632" t="s">
        <v>4259</v>
      </c>
      <c r="R118" s="2693"/>
      <c r="S118" s="2694"/>
    </row>
    <row r="119" spans="1:19" s="329" customFormat="1" ht="11.25" customHeight="1">
      <c r="D119" s="372"/>
      <c r="E119" s="334" t="s">
        <v>1058</v>
      </c>
      <c r="F119" s="342"/>
      <c r="H119" s="2632" t="s">
        <v>4260</v>
      </c>
      <c r="I119" s="2693"/>
      <c r="J119" s="2693"/>
      <c r="K119" s="2693"/>
      <c r="L119" s="2693"/>
      <c r="M119" s="2693"/>
      <c r="N119" s="2694"/>
      <c r="O119" s="334" t="s">
        <v>642</v>
      </c>
      <c r="Q119" s="2632" t="s">
        <v>1251</v>
      </c>
      <c r="R119" s="2693"/>
      <c r="S119" s="2694"/>
    </row>
    <row r="120" spans="1:19" s="329" customFormat="1" ht="11.25" customHeight="1">
      <c r="D120" s="372"/>
      <c r="E120" s="334" t="s">
        <v>1865</v>
      </c>
      <c r="H120" s="2646" t="s">
        <v>880</v>
      </c>
      <c r="I120" s="1394" t="s">
        <v>2308</v>
      </c>
      <c r="J120" s="2643">
        <v>303395704</v>
      </c>
      <c r="K120" s="2694"/>
      <c r="L120" s="1403" t="s">
        <v>2059</v>
      </c>
      <c r="M120" s="2647" t="s">
        <v>4217</v>
      </c>
      <c r="N120" s="2648"/>
      <c r="O120" s="2648"/>
      <c r="P120" s="2648"/>
      <c r="Q120" s="2648"/>
      <c r="R120" s="2648"/>
      <c r="S120" s="2649"/>
    </row>
    <row r="121" spans="1:19" ht="12" customHeight="1">
      <c r="B121" s="331" t="s">
        <v>2061</v>
      </c>
      <c r="C121" s="331" t="s">
        <v>2973</v>
      </c>
      <c r="H121" s="1382"/>
      <c r="I121" s="1382"/>
      <c r="J121" s="1382"/>
      <c r="K121" s="1382"/>
      <c r="L121" s="1382"/>
      <c r="M121" s="1382"/>
      <c r="N121" s="1382"/>
      <c r="O121" s="1382"/>
      <c r="P121" s="1382"/>
      <c r="Q121" s="1382"/>
      <c r="R121" s="1382"/>
      <c r="S121" s="1382"/>
    </row>
    <row r="122" spans="1:19" ht="11.25" customHeight="1">
      <c r="A122" s="1473" t="s">
        <v>3685</v>
      </c>
      <c r="B122" s="1473"/>
      <c r="C122" s="1473"/>
      <c r="D122" s="1473"/>
      <c r="E122" s="1474"/>
      <c r="F122" s="2760" t="s">
        <v>2597</v>
      </c>
      <c r="G122" s="2761" t="s">
        <v>3746</v>
      </c>
      <c r="H122" s="2762"/>
      <c r="I122" s="2762"/>
      <c r="J122" s="2762"/>
      <c r="K122" s="2762"/>
      <c r="L122" s="2762"/>
      <c r="M122" s="2762"/>
      <c r="N122" s="2762"/>
      <c r="O122" s="2762"/>
      <c r="P122" s="2762"/>
      <c r="Q122" s="2762"/>
      <c r="R122" s="2762"/>
      <c r="S122" s="2763"/>
    </row>
    <row r="123" spans="1:19" s="329" customFormat="1" ht="31.5" customHeight="1">
      <c r="B123" s="575"/>
      <c r="C123" s="819" t="s">
        <v>2062</v>
      </c>
      <c r="D123" s="1475" t="s">
        <v>2974</v>
      </c>
      <c r="E123" s="1476"/>
      <c r="F123" s="2764" t="s">
        <v>3156</v>
      </c>
      <c r="G123" s="2765" t="s">
        <v>4261</v>
      </c>
      <c r="H123" s="2766"/>
      <c r="I123" s="2766"/>
      <c r="J123" s="2766"/>
      <c r="K123" s="2766"/>
      <c r="L123" s="2766"/>
      <c r="M123" s="2766"/>
      <c r="N123" s="2766"/>
      <c r="O123" s="2766"/>
      <c r="P123" s="2766"/>
      <c r="Q123" s="2766"/>
      <c r="R123" s="2766"/>
      <c r="S123" s="2767"/>
    </row>
    <row r="124" spans="1:19" s="329" customFormat="1" ht="31.5" customHeight="1">
      <c r="B124" s="575"/>
      <c r="C124" s="819" t="s">
        <v>2064</v>
      </c>
      <c r="D124" s="1475" t="s">
        <v>3045</v>
      </c>
      <c r="E124" s="1476"/>
      <c r="F124" s="2768" t="s">
        <v>3153</v>
      </c>
      <c r="G124" s="2769" t="s">
        <v>4373</v>
      </c>
      <c r="H124" s="2770"/>
      <c r="I124" s="2770"/>
      <c r="J124" s="2770"/>
      <c r="K124" s="2770"/>
      <c r="L124" s="2770"/>
      <c r="M124" s="2770"/>
      <c r="N124" s="2770"/>
      <c r="O124" s="2770"/>
      <c r="P124" s="2770"/>
      <c r="Q124" s="2770"/>
      <c r="R124" s="2770"/>
      <c r="S124" s="2771"/>
    </row>
    <row r="125" spans="1:19" s="329" customFormat="1" ht="31.5" customHeight="1">
      <c r="B125" s="575"/>
      <c r="C125" s="819" t="s">
        <v>2622</v>
      </c>
      <c r="D125" s="1475" t="s">
        <v>3017</v>
      </c>
      <c r="E125" s="1476"/>
      <c r="F125" s="2768" t="s">
        <v>3156</v>
      </c>
      <c r="G125" s="2769" t="s">
        <v>4261</v>
      </c>
      <c r="H125" s="2770"/>
      <c r="I125" s="2770"/>
      <c r="J125" s="2770"/>
      <c r="K125" s="2770"/>
      <c r="L125" s="2770"/>
      <c r="M125" s="2770"/>
      <c r="N125" s="2770"/>
      <c r="O125" s="2770"/>
      <c r="P125" s="2770"/>
      <c r="Q125" s="2770"/>
      <c r="R125" s="2770"/>
      <c r="S125" s="2771"/>
    </row>
    <row r="126" spans="1:19" s="329" customFormat="1" ht="31.5" customHeight="1">
      <c r="B126" s="575"/>
      <c r="C126" s="819" t="s">
        <v>1270</v>
      </c>
      <c r="D126" s="1475" t="s">
        <v>2975</v>
      </c>
      <c r="E126" s="1476"/>
      <c r="F126" s="2768" t="s">
        <v>3156</v>
      </c>
      <c r="G126" s="2769" t="s">
        <v>4261</v>
      </c>
      <c r="H126" s="2770"/>
      <c r="I126" s="2770"/>
      <c r="J126" s="2770"/>
      <c r="K126" s="2770"/>
      <c r="L126" s="2770"/>
      <c r="M126" s="2770"/>
      <c r="N126" s="2770"/>
      <c r="O126" s="2770"/>
      <c r="P126" s="2770"/>
      <c r="Q126" s="2770"/>
      <c r="R126" s="2770"/>
      <c r="S126" s="2771"/>
    </row>
    <row r="127" spans="1:19" s="329" customFormat="1" ht="31.5" customHeight="1">
      <c r="B127" s="575"/>
      <c r="C127" s="819" t="s">
        <v>1271</v>
      </c>
      <c r="D127" s="1475" t="s">
        <v>3725</v>
      </c>
      <c r="E127" s="1476"/>
      <c r="F127" s="2768" t="s">
        <v>3156</v>
      </c>
      <c r="G127" s="2769" t="s">
        <v>4261</v>
      </c>
      <c r="H127" s="2770"/>
      <c r="I127" s="2770"/>
      <c r="J127" s="2770"/>
      <c r="K127" s="2770"/>
      <c r="L127" s="2770"/>
      <c r="M127" s="2770"/>
      <c r="N127" s="2770"/>
      <c r="O127" s="2770"/>
      <c r="P127" s="2770"/>
      <c r="Q127" s="2770"/>
      <c r="R127" s="2770"/>
      <c r="S127" s="2771"/>
    </row>
    <row r="128" spans="1:19" s="329" customFormat="1" ht="31.5" customHeight="1">
      <c r="B128" s="575"/>
      <c r="C128" s="819" t="s">
        <v>1955</v>
      </c>
      <c r="D128" s="1475" t="s">
        <v>3726</v>
      </c>
      <c r="E128" s="1476"/>
      <c r="F128" s="2768" t="s">
        <v>3156</v>
      </c>
      <c r="G128" s="2769" t="s">
        <v>4261</v>
      </c>
      <c r="H128" s="2770"/>
      <c r="I128" s="2770"/>
      <c r="J128" s="2770"/>
      <c r="K128" s="2770"/>
      <c r="L128" s="2770"/>
      <c r="M128" s="2770"/>
      <c r="N128" s="2770"/>
      <c r="O128" s="2770"/>
      <c r="P128" s="2770"/>
      <c r="Q128" s="2770"/>
      <c r="R128" s="2770"/>
      <c r="S128" s="2771"/>
    </row>
    <row r="129" spans="1:19" s="329" customFormat="1" ht="31.5" customHeight="1">
      <c r="B129" s="575"/>
      <c r="C129" s="819" t="s">
        <v>521</v>
      </c>
      <c r="D129" s="1475" t="s">
        <v>2976</v>
      </c>
      <c r="E129" s="1476"/>
      <c r="F129" s="2768" t="s">
        <v>3156</v>
      </c>
      <c r="G129" s="2769" t="s">
        <v>4261</v>
      </c>
      <c r="H129" s="2770"/>
      <c r="I129" s="2770"/>
      <c r="J129" s="2770"/>
      <c r="K129" s="2770"/>
      <c r="L129" s="2770"/>
      <c r="M129" s="2770"/>
      <c r="N129" s="2770"/>
      <c r="O129" s="2770"/>
      <c r="P129" s="2770"/>
      <c r="Q129" s="2770"/>
      <c r="R129" s="2770"/>
      <c r="S129" s="2771"/>
    </row>
    <row r="130" spans="1:19" s="329" customFormat="1" ht="31.5" customHeight="1">
      <c r="B130" s="575"/>
      <c r="C130" s="819" t="s">
        <v>522</v>
      </c>
      <c r="D130" s="1475" t="s">
        <v>1659</v>
      </c>
      <c r="E130" s="1476"/>
      <c r="F130" s="2772" t="s">
        <v>3153</v>
      </c>
      <c r="G130" s="2773" t="s">
        <v>4262</v>
      </c>
      <c r="H130" s="2774"/>
      <c r="I130" s="2774"/>
      <c r="J130" s="2774"/>
      <c r="K130" s="2774"/>
      <c r="L130" s="2774"/>
      <c r="M130" s="2774"/>
      <c r="N130" s="2774"/>
      <c r="O130" s="2774"/>
      <c r="P130" s="2774"/>
      <c r="Q130" s="2774"/>
      <c r="R130" s="2774"/>
      <c r="S130" s="2775"/>
    </row>
    <row r="131" spans="1:19" s="329" customFormat="1" ht="13.15" customHeight="1">
      <c r="A131" s="331" t="s">
        <v>1858</v>
      </c>
      <c r="B131" s="331" t="s">
        <v>2986</v>
      </c>
      <c r="F131" s="331"/>
      <c r="G131" s="1403"/>
      <c r="H131" s="1403"/>
      <c r="I131" s="1403"/>
      <c r="J131" s="1403"/>
      <c r="K131" s="1403"/>
      <c r="L131" s="1403"/>
      <c r="M131" s="1403"/>
      <c r="N131" s="1403"/>
      <c r="O131" s="1403"/>
      <c r="P131" s="1403"/>
      <c r="Q131" s="1393"/>
    </row>
    <row r="132" spans="1:19" s="329" customFormat="1" ht="2.25" customHeight="1">
      <c r="A132" s="331"/>
      <c r="B132" s="331"/>
      <c r="F132" s="331"/>
      <c r="G132" s="1403"/>
      <c r="H132" s="1403"/>
      <c r="I132" s="1403"/>
      <c r="J132" s="1403"/>
      <c r="K132" s="1403"/>
      <c r="L132" s="1403"/>
      <c r="M132" s="1403"/>
      <c r="N132" s="1403"/>
      <c r="O132" s="1403"/>
      <c r="P132" s="1403"/>
      <c r="Q132" s="1393"/>
    </row>
    <row r="133" spans="1:19" ht="13.15" customHeight="1">
      <c r="B133" s="331" t="s">
        <v>779</v>
      </c>
      <c r="C133" s="331" t="s">
        <v>2977</v>
      </c>
    </row>
    <row r="134" spans="1:19" s="329" customFormat="1" ht="13.5" customHeight="1">
      <c r="A134" s="1486" t="s">
        <v>664</v>
      </c>
      <c r="B134" s="1487"/>
      <c r="C134" s="1487"/>
      <c r="D134" s="1487"/>
      <c r="E134" s="1507" t="s">
        <v>3691</v>
      </c>
      <c r="F134" s="1508"/>
      <c r="G134" s="1508"/>
      <c r="H134" s="1508"/>
      <c r="I134" s="1509"/>
      <c r="J134" s="1504" t="s">
        <v>3692</v>
      </c>
      <c r="K134" s="1513" t="s">
        <v>3064</v>
      </c>
      <c r="L134" s="1513" t="s">
        <v>3065</v>
      </c>
      <c r="M134" s="1498" t="s">
        <v>3708</v>
      </c>
      <c r="N134" s="1499"/>
      <c r="O134" s="1499"/>
      <c r="P134" s="1499"/>
      <c r="Q134" s="1499"/>
      <c r="R134" s="1499"/>
      <c r="S134" s="1500"/>
    </row>
    <row r="135" spans="1:19" s="329"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9"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9" customFormat="1" ht="23.25" customHeight="1">
      <c r="A137" s="1488"/>
      <c r="B137" s="1489"/>
      <c r="C137" s="1489"/>
      <c r="D137" s="1489"/>
      <c r="E137" s="1492" t="s">
        <v>3724</v>
      </c>
      <c r="F137" s="1493"/>
      <c r="G137" s="1493"/>
      <c r="H137" s="1494"/>
      <c r="I137" s="820"/>
      <c r="J137" s="1505"/>
      <c r="K137" s="1514"/>
      <c r="L137" s="1514"/>
      <c r="M137" s="1501"/>
      <c r="N137" s="1502"/>
      <c r="O137" s="1502"/>
      <c r="P137" s="1502"/>
      <c r="Q137" s="1502"/>
      <c r="R137" s="1502"/>
      <c r="S137" s="1503"/>
    </row>
    <row r="138" spans="1:19" s="329" customFormat="1" ht="13.5" customHeight="1">
      <c r="A138" s="1490"/>
      <c r="B138" s="1491"/>
      <c r="C138" s="1491"/>
      <c r="D138" s="1491"/>
      <c r="E138" s="1495"/>
      <c r="F138" s="1496"/>
      <c r="G138" s="1496"/>
      <c r="H138" s="1497"/>
      <c r="I138" s="1134" t="s">
        <v>2597</v>
      </c>
      <c r="J138" s="1506"/>
      <c r="K138" s="1515"/>
      <c r="L138" s="1514"/>
      <c r="M138" s="406" t="s">
        <v>2597</v>
      </c>
      <c r="N138" s="1458" t="s">
        <v>3063</v>
      </c>
      <c r="O138" s="1458"/>
      <c r="P138" s="1458"/>
      <c r="Q138" s="1458"/>
      <c r="R138" s="1458"/>
      <c r="S138" s="1516"/>
    </row>
    <row r="139" spans="1:19" s="329" customFormat="1" ht="36.75" customHeight="1">
      <c r="A139" s="1483" t="s">
        <v>3686</v>
      </c>
      <c r="B139" s="1484"/>
      <c r="C139" s="1484"/>
      <c r="D139" s="1485"/>
      <c r="E139" s="2765" t="s">
        <v>4279</v>
      </c>
      <c r="F139" s="2766"/>
      <c r="G139" s="2766"/>
      <c r="H139" s="2766"/>
      <c r="I139" s="2776" t="s">
        <v>3156</v>
      </c>
      <c r="J139" s="2764" t="s">
        <v>3156</v>
      </c>
      <c r="K139" s="2777" t="s">
        <v>4218</v>
      </c>
      <c r="L139" s="2778">
        <v>1E-4</v>
      </c>
      <c r="M139" s="2779" t="s">
        <v>3153</v>
      </c>
      <c r="N139" s="2780" t="s">
        <v>4264</v>
      </c>
      <c r="O139" s="2766"/>
      <c r="P139" s="2766"/>
      <c r="Q139" s="2766"/>
      <c r="R139" s="2766"/>
      <c r="S139" s="2767"/>
    </row>
    <row r="140" spans="1:19" s="329" customFormat="1" ht="24" customHeight="1">
      <c r="A140" s="1480" t="s">
        <v>3687</v>
      </c>
      <c r="B140" s="1481"/>
      <c r="C140" s="1481"/>
      <c r="D140" s="1482"/>
      <c r="E140" s="2769"/>
      <c r="F140" s="2770"/>
      <c r="G140" s="2770"/>
      <c r="H140" s="2770"/>
      <c r="I140" s="2781"/>
      <c r="J140" s="2768"/>
      <c r="K140" s="2782"/>
      <c r="L140" s="2783"/>
      <c r="M140" s="2784"/>
      <c r="N140" s="2785"/>
      <c r="O140" s="2770"/>
      <c r="P140" s="2770"/>
      <c r="Q140" s="2770"/>
      <c r="R140" s="2770"/>
      <c r="S140" s="2771"/>
    </row>
    <row r="141" spans="1:19" s="329" customFormat="1" ht="24" customHeight="1">
      <c r="A141" s="1480" t="s">
        <v>3688</v>
      </c>
      <c r="B141" s="1481"/>
      <c r="C141" s="1481"/>
      <c r="D141" s="1482"/>
      <c r="E141" s="2769"/>
      <c r="F141" s="2770"/>
      <c r="G141" s="2770"/>
      <c r="H141" s="2770"/>
      <c r="I141" s="2781"/>
      <c r="J141" s="2768"/>
      <c r="K141" s="2782"/>
      <c r="L141" s="2783"/>
      <c r="M141" s="2784"/>
      <c r="N141" s="2785"/>
      <c r="O141" s="2770"/>
      <c r="P141" s="2770"/>
      <c r="Q141" s="2770"/>
      <c r="R141" s="2770"/>
      <c r="S141" s="2771"/>
    </row>
    <row r="142" spans="1:19" s="329" customFormat="1" ht="24" customHeight="1">
      <c r="A142" s="1480" t="s">
        <v>3689</v>
      </c>
      <c r="B142" s="1481"/>
      <c r="C142" s="1481"/>
      <c r="D142" s="1482"/>
      <c r="E142" s="2769" t="s">
        <v>4220</v>
      </c>
      <c r="F142" s="2770"/>
      <c r="G142" s="2770"/>
      <c r="H142" s="2770"/>
      <c r="I142" s="2781" t="s">
        <v>3156</v>
      </c>
      <c r="J142" s="2768" t="s">
        <v>3156</v>
      </c>
      <c r="K142" s="2782" t="s">
        <v>2688</v>
      </c>
      <c r="L142" s="2783">
        <v>0.99980000000000002</v>
      </c>
      <c r="M142" s="2784" t="s">
        <v>3156</v>
      </c>
      <c r="N142" s="2785" t="s">
        <v>1006</v>
      </c>
      <c r="O142" s="2770"/>
      <c r="P142" s="2770"/>
      <c r="Q142" s="2770"/>
      <c r="R142" s="2770"/>
      <c r="S142" s="2771"/>
    </row>
    <row r="143" spans="1:19" s="329" customFormat="1" ht="24" customHeight="1">
      <c r="A143" s="1480" t="s">
        <v>3690</v>
      </c>
      <c r="B143" s="1481"/>
      <c r="C143" s="1481"/>
      <c r="D143" s="1482"/>
      <c r="E143" s="2769" t="s">
        <v>4227</v>
      </c>
      <c r="F143" s="2770"/>
      <c r="G143" s="2770"/>
      <c r="H143" s="2770"/>
      <c r="I143" s="2781" t="s">
        <v>3156</v>
      </c>
      <c r="J143" s="2768" t="s">
        <v>3156</v>
      </c>
      <c r="K143" s="2782" t="s">
        <v>4218</v>
      </c>
      <c r="L143" s="2783">
        <v>1E-4</v>
      </c>
      <c r="M143" s="2784" t="s">
        <v>3156</v>
      </c>
      <c r="N143" s="2785" t="s">
        <v>1006</v>
      </c>
      <c r="O143" s="2770"/>
      <c r="P143" s="2770"/>
      <c r="Q143" s="2770"/>
      <c r="R143" s="2770"/>
      <c r="S143" s="2771"/>
    </row>
    <row r="144" spans="1:19" s="329" customFormat="1" ht="24" customHeight="1">
      <c r="A144" s="1480" t="s">
        <v>3038</v>
      </c>
      <c r="B144" s="1481"/>
      <c r="C144" s="1481"/>
      <c r="D144" s="1482"/>
      <c r="E144" s="2769"/>
      <c r="F144" s="2770"/>
      <c r="G144" s="2770"/>
      <c r="H144" s="2770"/>
      <c r="I144" s="2781"/>
      <c r="J144" s="2768"/>
      <c r="K144" s="2782"/>
      <c r="L144" s="2783"/>
      <c r="M144" s="2784"/>
      <c r="N144" s="2785"/>
      <c r="O144" s="2770"/>
      <c r="P144" s="2770"/>
      <c r="Q144" s="2770"/>
      <c r="R144" s="2770"/>
      <c r="S144" s="2771"/>
    </row>
    <row r="145" spans="1:24" s="329" customFormat="1" ht="50.25" customHeight="1">
      <c r="A145" s="1480" t="s">
        <v>678</v>
      </c>
      <c r="B145" s="1481"/>
      <c r="C145" s="1481"/>
      <c r="D145" s="1482"/>
      <c r="E145" s="2769" t="s">
        <v>4234</v>
      </c>
      <c r="F145" s="2770"/>
      <c r="G145" s="2770"/>
      <c r="H145" s="2770"/>
      <c r="I145" s="2781" t="s">
        <v>3156</v>
      </c>
      <c r="J145" s="2768" t="s">
        <v>3156</v>
      </c>
      <c r="K145" s="2782" t="s">
        <v>4218</v>
      </c>
      <c r="L145" s="2783">
        <v>0</v>
      </c>
      <c r="M145" s="2784" t="s">
        <v>3156</v>
      </c>
      <c r="N145" s="2785" t="s">
        <v>4263</v>
      </c>
      <c r="O145" s="2770"/>
      <c r="P145" s="2770"/>
      <c r="Q145" s="2770"/>
      <c r="R145" s="2770"/>
      <c r="S145" s="2771"/>
    </row>
    <row r="146" spans="1:24" s="329" customFormat="1" ht="24" customHeight="1">
      <c r="A146" s="1480" t="s">
        <v>3039</v>
      </c>
      <c r="B146" s="1481"/>
      <c r="C146" s="1481"/>
      <c r="D146" s="1482"/>
      <c r="E146" s="2769"/>
      <c r="F146" s="2770"/>
      <c r="G146" s="2770"/>
      <c r="H146" s="2770"/>
      <c r="I146" s="2781"/>
      <c r="J146" s="2768"/>
      <c r="K146" s="2782"/>
      <c r="L146" s="2783"/>
      <c r="M146" s="2784"/>
      <c r="N146" s="2785"/>
      <c r="O146" s="2770"/>
      <c r="P146" s="2770"/>
      <c r="Q146" s="2770"/>
      <c r="R146" s="2770"/>
      <c r="S146" s="2771"/>
    </row>
    <row r="147" spans="1:24" s="329" customFormat="1" ht="24" customHeight="1">
      <c r="A147" s="1480" t="s">
        <v>3040</v>
      </c>
      <c r="B147" s="1481"/>
      <c r="C147" s="1481"/>
      <c r="D147" s="1482"/>
      <c r="E147" s="2769"/>
      <c r="F147" s="2770"/>
      <c r="G147" s="2770"/>
      <c r="H147" s="2770"/>
      <c r="I147" s="2781"/>
      <c r="J147" s="2768"/>
      <c r="K147" s="2782"/>
      <c r="L147" s="2783"/>
      <c r="M147" s="2784"/>
      <c r="N147" s="2785"/>
      <c r="O147" s="2770"/>
      <c r="P147" s="2770"/>
      <c r="Q147" s="2770"/>
      <c r="R147" s="2770"/>
      <c r="S147" s="2771"/>
    </row>
    <row r="148" spans="1:24" s="329" customFormat="1" ht="24" customHeight="1">
      <c r="A148" s="1480" t="s">
        <v>3042</v>
      </c>
      <c r="B148" s="1481"/>
      <c r="C148" s="1481"/>
      <c r="D148" s="1482"/>
      <c r="E148" s="2769"/>
      <c r="F148" s="2770"/>
      <c r="G148" s="2770"/>
      <c r="H148" s="2770"/>
      <c r="I148" s="2781"/>
      <c r="J148" s="2768"/>
      <c r="K148" s="2782"/>
      <c r="L148" s="2783"/>
      <c r="M148" s="2784"/>
      <c r="N148" s="2785"/>
      <c r="O148" s="2770"/>
      <c r="P148" s="2770"/>
      <c r="Q148" s="2770"/>
      <c r="R148" s="2770"/>
      <c r="S148" s="2771"/>
    </row>
    <row r="149" spans="1:24" s="329" customFormat="1" ht="24" customHeight="1">
      <c r="A149" s="1480" t="s">
        <v>3041</v>
      </c>
      <c r="B149" s="1481"/>
      <c r="C149" s="1481"/>
      <c r="D149" s="1482"/>
      <c r="E149" s="2769"/>
      <c r="F149" s="2770"/>
      <c r="G149" s="2770"/>
      <c r="H149" s="2770"/>
      <c r="I149" s="2781"/>
      <c r="J149" s="2768"/>
      <c r="K149" s="2782"/>
      <c r="L149" s="2783"/>
      <c r="M149" s="2784"/>
      <c r="N149" s="2785"/>
      <c r="O149" s="2770"/>
      <c r="P149" s="2770"/>
      <c r="Q149" s="2770"/>
      <c r="R149" s="2770"/>
      <c r="S149" s="2771"/>
    </row>
    <row r="150" spans="1:24" s="329" customFormat="1" ht="24" customHeight="1">
      <c r="A150" s="1480" t="s">
        <v>1586</v>
      </c>
      <c r="B150" s="1481"/>
      <c r="C150" s="1481"/>
      <c r="D150" s="1482"/>
      <c r="E150" s="2769" t="s">
        <v>4235</v>
      </c>
      <c r="F150" s="2770"/>
      <c r="G150" s="2770"/>
      <c r="H150" s="2770"/>
      <c r="I150" s="2781" t="s">
        <v>3156</v>
      </c>
      <c r="J150" s="2768" t="s">
        <v>3156</v>
      </c>
      <c r="K150" s="2782" t="s">
        <v>4218</v>
      </c>
      <c r="L150" s="2783">
        <v>0</v>
      </c>
      <c r="M150" s="2784" t="s">
        <v>3156</v>
      </c>
      <c r="N150" s="2785" t="s">
        <v>1006</v>
      </c>
      <c r="O150" s="2770"/>
      <c r="P150" s="2770"/>
      <c r="Q150" s="2770"/>
      <c r="R150" s="2770"/>
      <c r="S150" s="2771"/>
    </row>
    <row r="151" spans="1:24" s="329" customFormat="1" ht="36.75" customHeight="1">
      <c r="A151" s="1477" t="s">
        <v>3043</v>
      </c>
      <c r="B151" s="1478"/>
      <c r="C151" s="1478"/>
      <c r="D151" s="1479"/>
      <c r="E151" s="2773" t="s">
        <v>4241</v>
      </c>
      <c r="F151" s="2774"/>
      <c r="G151" s="2774"/>
      <c r="H151" s="2774"/>
      <c r="I151" s="2786" t="s">
        <v>3156</v>
      </c>
      <c r="J151" s="2772" t="s">
        <v>3156</v>
      </c>
      <c r="K151" s="2787" t="s">
        <v>4218</v>
      </c>
      <c r="L151" s="2788">
        <v>0</v>
      </c>
      <c r="M151" s="2789" t="s">
        <v>3153</v>
      </c>
      <c r="N151" s="2790" t="s">
        <v>4389</v>
      </c>
      <c r="O151" s="2774"/>
      <c r="P151" s="2774"/>
      <c r="Q151" s="2774"/>
      <c r="R151" s="2774"/>
      <c r="S151" s="2775"/>
    </row>
    <row r="152" spans="1:24" s="1399" customFormat="1" ht="12" customHeight="1">
      <c r="G152" s="340"/>
      <c r="H152" s="340"/>
      <c r="I152" s="340"/>
      <c r="J152" s="1403"/>
      <c r="K152" s="355" t="s">
        <v>558</v>
      </c>
      <c r="L152" s="650">
        <f>SUM(L139:S151)</f>
        <v>1</v>
      </c>
      <c r="M152" s="1403"/>
      <c r="P152" s="338"/>
    </row>
    <row r="153" spans="1:24" ht="11.25" customHeight="1">
      <c r="A153" s="357" t="s">
        <v>1860</v>
      </c>
      <c r="B153" s="371"/>
      <c r="C153" s="357" t="s">
        <v>593</v>
      </c>
      <c r="N153" s="357" t="s">
        <v>549</v>
      </c>
      <c r="O153" s="357" t="s">
        <v>81</v>
      </c>
    </row>
    <row r="154" spans="1:24" ht="60" customHeight="1">
      <c r="A154" s="2732" t="s">
        <v>4390</v>
      </c>
      <c r="B154" s="2733"/>
      <c r="C154" s="2733"/>
      <c r="D154" s="2733"/>
      <c r="E154" s="2733"/>
      <c r="F154" s="2733"/>
      <c r="G154" s="2733"/>
      <c r="H154" s="2733"/>
      <c r="I154" s="2733"/>
      <c r="J154" s="2733"/>
      <c r="K154" s="2733"/>
      <c r="L154" s="2733"/>
      <c r="M154" s="2734"/>
      <c r="N154" s="2735"/>
      <c r="O154" s="2736"/>
      <c r="P154" s="2736"/>
      <c r="Q154" s="2736"/>
      <c r="R154" s="2736"/>
      <c r="S154" s="2737"/>
      <c r="T154" s="1444" t="s">
        <v>2796</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1"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2" t="s">
        <v>870</v>
      </c>
    </row>
    <row r="161" spans="1:16" s="329" customFormat="1" ht="12" customHeight="1">
      <c r="A161" s="372"/>
      <c r="B161" s="348"/>
      <c r="C161" s="348"/>
      <c r="D161" s="348"/>
      <c r="E161" s="348"/>
      <c r="F161" s="348"/>
      <c r="G161" s="348"/>
      <c r="H161" s="348"/>
      <c r="I161" s="348"/>
      <c r="J161" s="348"/>
      <c r="K161" s="348"/>
      <c r="L161" s="348"/>
      <c r="M161" s="348"/>
      <c r="N161" s="348"/>
      <c r="O161" s="348"/>
      <c r="P161" s="2792" t="s">
        <v>871</v>
      </c>
    </row>
    <row r="162" spans="1:16" s="329" customFormat="1" ht="12" customHeight="1">
      <c r="A162" s="372"/>
      <c r="B162" s="348"/>
      <c r="C162" s="348"/>
      <c r="D162" s="348"/>
      <c r="E162" s="348"/>
      <c r="F162" s="348"/>
      <c r="G162" s="348"/>
      <c r="H162" s="348"/>
      <c r="I162" s="348"/>
      <c r="J162" s="348"/>
      <c r="K162" s="348"/>
      <c r="L162" s="348"/>
      <c r="M162" s="348"/>
      <c r="N162" s="348"/>
      <c r="O162" s="348"/>
      <c r="P162" s="2792" t="s">
        <v>872</v>
      </c>
    </row>
    <row r="163" spans="1:16" s="329" customFormat="1" ht="12" customHeight="1">
      <c r="A163" s="543"/>
      <c r="B163" s="348"/>
      <c r="C163" s="348"/>
      <c r="D163" s="348"/>
      <c r="E163" s="348"/>
      <c r="F163" s="348"/>
      <c r="G163" s="348"/>
      <c r="H163" s="348"/>
      <c r="I163" s="348"/>
      <c r="J163" s="348"/>
      <c r="K163" s="348"/>
      <c r="L163" s="348"/>
      <c r="M163" s="348"/>
      <c r="N163" s="348"/>
      <c r="O163" s="348"/>
      <c r="P163" s="2792" t="s">
        <v>873</v>
      </c>
    </row>
    <row r="164" spans="1:16" s="329" customFormat="1" ht="12" customHeight="1">
      <c r="B164" s="348"/>
      <c r="C164" s="348"/>
      <c r="D164" s="348"/>
      <c r="E164" s="348"/>
      <c r="F164" s="348"/>
      <c r="G164" s="348"/>
      <c r="H164" s="348"/>
      <c r="I164" s="348"/>
      <c r="J164" s="348"/>
      <c r="K164" s="348"/>
      <c r="L164" s="348"/>
      <c r="M164" s="348"/>
      <c r="N164" s="348"/>
      <c r="O164" s="348"/>
      <c r="P164" s="2792" t="s">
        <v>874</v>
      </c>
    </row>
    <row r="165" spans="1:16" s="329" customFormat="1" ht="12" customHeight="1">
      <c r="B165" s="348"/>
      <c r="C165" s="348"/>
      <c r="D165" s="348"/>
      <c r="E165" s="348"/>
      <c r="F165" s="348"/>
      <c r="G165" s="348"/>
      <c r="H165" s="348"/>
      <c r="I165" s="348"/>
      <c r="J165" s="348"/>
      <c r="K165" s="348"/>
      <c r="L165" s="348"/>
      <c r="M165" s="348"/>
      <c r="N165" s="348"/>
      <c r="O165" s="348"/>
      <c r="P165" s="2792" t="s">
        <v>875</v>
      </c>
    </row>
    <row r="166" spans="1:16" s="329" customFormat="1" ht="12" customHeight="1">
      <c r="B166" s="348"/>
      <c r="C166" s="348"/>
      <c r="D166" s="348"/>
      <c r="E166" s="348"/>
      <c r="F166" s="348"/>
      <c r="G166" s="348"/>
      <c r="H166" s="348"/>
      <c r="I166" s="348"/>
      <c r="J166" s="348"/>
      <c r="K166" s="348"/>
      <c r="L166" s="348"/>
      <c r="M166" s="348"/>
      <c r="N166" s="348"/>
      <c r="O166" s="348"/>
      <c r="P166" s="2792" t="s">
        <v>876</v>
      </c>
    </row>
    <row r="167" spans="1:16" s="329" customFormat="1" ht="12" customHeight="1">
      <c r="B167" s="348"/>
      <c r="C167" s="348"/>
      <c r="D167" s="348"/>
      <c r="E167" s="348"/>
      <c r="F167" s="348"/>
      <c r="G167" s="348"/>
      <c r="H167" s="348"/>
      <c r="I167" s="348"/>
      <c r="J167" s="348"/>
      <c r="K167" s="348"/>
      <c r="L167" s="348"/>
      <c r="M167" s="348"/>
      <c r="N167" s="348"/>
      <c r="O167" s="348"/>
      <c r="P167" s="2792" t="s">
        <v>877</v>
      </c>
    </row>
    <row r="168" spans="1:16" ht="12" customHeight="1">
      <c r="P168" s="2792" t="s">
        <v>878</v>
      </c>
    </row>
    <row r="169" spans="1:16" ht="12" customHeight="1">
      <c r="A169" s="357"/>
      <c r="P169" s="2792" t="s">
        <v>879</v>
      </c>
    </row>
    <row r="170" spans="1:16" ht="12" customHeight="1">
      <c r="P170" s="2792" t="s">
        <v>880</v>
      </c>
    </row>
    <row r="171" spans="1:16" ht="12" customHeight="1">
      <c r="P171" s="2792" t="s">
        <v>881</v>
      </c>
    </row>
    <row r="172" spans="1:16" ht="12" customHeight="1">
      <c r="P172" s="2792" t="s">
        <v>882</v>
      </c>
    </row>
    <row r="173" spans="1:16" ht="12" customHeight="1">
      <c r="P173" s="2792" t="s">
        <v>883</v>
      </c>
    </row>
    <row r="174" spans="1:16" ht="12" customHeight="1">
      <c r="P174" s="2792" t="s">
        <v>884</v>
      </c>
    </row>
    <row r="175" spans="1:16" ht="12" customHeight="1">
      <c r="P175" s="2792" t="s">
        <v>885</v>
      </c>
    </row>
    <row r="176" spans="1:16" ht="12" customHeight="1">
      <c r="P176" s="2792" t="s">
        <v>886</v>
      </c>
    </row>
    <row r="177" spans="16:16" ht="12" customHeight="1">
      <c r="P177" s="2792" t="s">
        <v>887</v>
      </c>
    </row>
    <row r="178" spans="16:16" ht="12" customHeight="1">
      <c r="P178" s="2792" t="s">
        <v>888</v>
      </c>
    </row>
    <row r="179" spans="16:16" ht="12" customHeight="1">
      <c r="P179" s="2792" t="s">
        <v>889</v>
      </c>
    </row>
    <row r="180" spans="16:16" ht="12" customHeight="1">
      <c r="P180" s="2792" t="s">
        <v>890</v>
      </c>
    </row>
    <row r="181" spans="16:16" ht="12" customHeight="1">
      <c r="P181" s="2792" t="s">
        <v>891</v>
      </c>
    </row>
    <row r="182" spans="16:16" ht="12" customHeight="1">
      <c r="P182" s="2792" t="s">
        <v>892</v>
      </c>
    </row>
    <row r="183" spans="16:16" ht="12" customHeight="1">
      <c r="P183" s="2792" t="s">
        <v>893</v>
      </c>
    </row>
    <row r="184" spans="16:16" ht="12" customHeight="1">
      <c r="P184" s="2792" t="s">
        <v>894</v>
      </c>
    </row>
    <row r="185" spans="16:16" ht="12" customHeight="1">
      <c r="P185" s="2792" t="s">
        <v>1391</v>
      </c>
    </row>
    <row r="186" spans="16:16" ht="12" customHeight="1">
      <c r="P186" s="2792" t="s">
        <v>1392</v>
      </c>
    </row>
    <row r="187" spans="16:16" ht="12" customHeight="1">
      <c r="P187" s="2792" t="s">
        <v>1393</v>
      </c>
    </row>
    <row r="188" spans="16:16" ht="12" customHeight="1">
      <c r="P188" s="2792" t="s">
        <v>1394</v>
      </c>
    </row>
    <row r="189" spans="16:16" ht="12" customHeight="1">
      <c r="P189" s="2792" t="s">
        <v>1395</v>
      </c>
    </row>
    <row r="190" spans="16:16" ht="13.5">
      <c r="P190" s="2792" t="s">
        <v>1396</v>
      </c>
    </row>
    <row r="191" spans="16:16" ht="12" customHeight="1">
      <c r="P191" s="2792" t="s">
        <v>1397</v>
      </c>
    </row>
    <row r="192" spans="16:16" ht="12" customHeight="1">
      <c r="P192" s="2792" t="s">
        <v>1398</v>
      </c>
    </row>
    <row r="193" spans="16:16" ht="12" customHeight="1">
      <c r="P193" s="2792" t="s">
        <v>1399</v>
      </c>
    </row>
    <row r="194" spans="16:16" ht="12" customHeight="1">
      <c r="P194" s="2792" t="s">
        <v>1400</v>
      </c>
    </row>
    <row r="195" spans="16:16" ht="12" customHeight="1">
      <c r="P195" s="2792" t="s">
        <v>1401</v>
      </c>
    </row>
    <row r="196" spans="16:16" ht="12" customHeight="1">
      <c r="P196" s="2792" t="s">
        <v>1402</v>
      </c>
    </row>
    <row r="197" spans="16:16" ht="12" customHeight="1">
      <c r="P197" s="2792" t="s">
        <v>1403</v>
      </c>
    </row>
    <row r="198" spans="16:16" ht="12" customHeight="1">
      <c r="P198" s="2792" t="s">
        <v>1404</v>
      </c>
    </row>
    <row r="199" spans="16:16" ht="12" customHeight="1">
      <c r="P199" s="2792" t="s">
        <v>1405</v>
      </c>
    </row>
    <row r="200" spans="16:16" ht="12" customHeight="1">
      <c r="P200" s="2792" t="s">
        <v>1406</v>
      </c>
    </row>
    <row r="201" spans="16:16" ht="12" customHeight="1">
      <c r="P201" s="2792" t="s">
        <v>1407</v>
      </c>
    </row>
    <row r="202" spans="16:16" ht="12" customHeight="1">
      <c r="P202" s="2792" t="s">
        <v>1408</v>
      </c>
    </row>
    <row r="203" spans="16:16" ht="12" customHeight="1">
      <c r="P203" s="2792" t="s">
        <v>1409</v>
      </c>
    </row>
    <row r="204" spans="16:16" ht="12" customHeight="1">
      <c r="P204" s="2792" t="s">
        <v>1410</v>
      </c>
    </row>
    <row r="205" spans="16:16" ht="12" customHeight="1">
      <c r="P205" s="2792" t="s">
        <v>1411</v>
      </c>
    </row>
    <row r="206" spans="16:16" ht="12" customHeight="1">
      <c r="P206" s="2792" t="s">
        <v>1412</v>
      </c>
    </row>
    <row r="207" spans="16:16" ht="12" customHeight="1">
      <c r="P207" s="2792" t="s">
        <v>1413</v>
      </c>
    </row>
    <row r="208" spans="16:16" ht="12" customHeight="1">
      <c r="P208" s="2792" t="s">
        <v>1414</v>
      </c>
    </row>
    <row r="209" spans="16:16" ht="12" customHeight="1">
      <c r="P209" s="2792" t="s">
        <v>1415</v>
      </c>
    </row>
    <row r="210" spans="16:16" ht="12" customHeight="1">
      <c r="P210" s="2792" t="s">
        <v>1416</v>
      </c>
    </row>
  </sheetData>
  <sheetProtection algorithmName="SHA-512" hashValue="Sn0gcj6NypsKRri+4RWNl4KuYU7ZDTcK1TvuP5jLmCYcf1OMQmfRcc7u4Ei9UcDqbjq7Wnm56aNNqI3OKEHcEw==" saltValue="ireS56XdtU43Hf/j1mjta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0" zoomScale="130" zoomScaleNormal="130" zoomScaleSheetLayoutView="90" workbookViewId="0">
      <selection activeCell="A4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2016-079 The Pines Apartments, St. Marys, Camden County</v>
      </c>
      <c r="B1" s="1518"/>
      <c r="C1" s="1518"/>
      <c r="D1" s="1518"/>
      <c r="E1" s="1518"/>
      <c r="F1" s="1518"/>
      <c r="G1" s="1518"/>
      <c r="H1" s="1518"/>
      <c r="I1" s="1518"/>
      <c r="J1" s="1518"/>
      <c r="K1" s="1518"/>
      <c r="L1" s="1518"/>
      <c r="M1" s="1518"/>
      <c r="N1" s="1518"/>
      <c r="O1" s="1518"/>
      <c r="P1" s="1518"/>
      <c r="Q1" s="1519"/>
      <c r="S1" s="1527" t="str">
        <f>$A$1</f>
        <v>PART THREE - SOURCES OF FUNDS  -  2016-079 The Pines Apartments, St. Marys, Camden County</v>
      </c>
      <c r="T1" s="1527"/>
    </row>
    <row r="2" spans="1:20" ht="17.45" customHeight="1" thickBot="1">
      <c r="A2" s="348"/>
      <c r="B2" s="348"/>
      <c r="C2" s="348"/>
      <c r="D2" s="348"/>
      <c r="E2" s="348"/>
      <c r="F2" s="348"/>
      <c r="G2" s="348"/>
      <c r="H2" s="1465" t="s">
        <v>4197</v>
      </c>
      <c r="I2" s="1466"/>
      <c r="J2" s="1467"/>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20" t="s">
        <v>2778</v>
      </c>
      <c r="T4" s="1520"/>
    </row>
    <row r="5" spans="1:20" s="297" customFormat="1" ht="15" customHeight="1">
      <c r="A5" s="543"/>
      <c r="B5" s="2793" t="s">
        <v>3153</v>
      </c>
      <c r="C5" s="1389" t="s">
        <v>2495</v>
      </c>
      <c r="D5" s="329"/>
      <c r="H5" s="2793" t="s">
        <v>3156</v>
      </c>
      <c r="I5" s="1389" t="s">
        <v>1594</v>
      </c>
      <c r="L5" s="2793" t="s">
        <v>3156</v>
      </c>
      <c r="M5" s="334" t="s">
        <v>4126</v>
      </c>
      <c r="S5" s="2794"/>
      <c r="T5" s="2795"/>
    </row>
    <row r="6" spans="1:20" s="297" customFormat="1" ht="15" customHeight="1">
      <c r="A6" s="543"/>
      <c r="B6" s="2796" t="s">
        <v>3156</v>
      </c>
      <c r="C6" s="1389" t="s">
        <v>569</v>
      </c>
      <c r="D6" s="329"/>
      <c r="H6" s="2793" t="s">
        <v>3153</v>
      </c>
      <c r="I6" s="1389" t="s">
        <v>568</v>
      </c>
      <c r="L6" s="2796" t="s">
        <v>3153</v>
      </c>
      <c r="M6" s="334" t="s">
        <v>2697</v>
      </c>
      <c r="Q6" s="575"/>
      <c r="S6" s="2797"/>
      <c r="T6" s="2798"/>
    </row>
    <row r="7" spans="1:20" s="297" customFormat="1" ht="15" customHeight="1">
      <c r="A7" s="329"/>
      <c r="B7" s="2796" t="s">
        <v>3156</v>
      </c>
      <c r="C7" s="1389" t="s">
        <v>4098</v>
      </c>
      <c r="E7" s="2799">
        <v>0</v>
      </c>
      <c r="F7" s="2800"/>
      <c r="H7" s="2793" t="s">
        <v>3156</v>
      </c>
      <c r="I7" s="1389" t="s">
        <v>4125</v>
      </c>
      <c r="L7" s="2796" t="s">
        <v>3156</v>
      </c>
      <c r="M7" s="334" t="s">
        <v>4133</v>
      </c>
      <c r="S7" s="2797"/>
      <c r="T7" s="2798"/>
    </row>
    <row r="8" spans="1:20" s="297" customFormat="1" ht="15" customHeight="1">
      <c r="A8" s="543"/>
      <c r="B8" s="2796" t="s">
        <v>3156</v>
      </c>
      <c r="C8" s="1389" t="s">
        <v>1870</v>
      </c>
      <c r="D8" s="329"/>
      <c r="H8" s="2793" t="s">
        <v>3156</v>
      </c>
      <c r="I8" s="329" t="s">
        <v>2698</v>
      </c>
      <c r="L8" s="2796" t="s">
        <v>3156</v>
      </c>
      <c r="M8" s="1399" t="s">
        <v>2689</v>
      </c>
      <c r="S8" s="2801"/>
      <c r="T8" s="2802"/>
    </row>
    <row r="9" spans="1:20" s="297" customFormat="1" ht="15" customHeight="1">
      <c r="A9" s="543"/>
      <c r="B9" s="2796" t="s">
        <v>3156</v>
      </c>
      <c r="C9" s="1389" t="s">
        <v>570</v>
      </c>
      <c r="H9" s="2793" t="s">
        <v>3156</v>
      </c>
      <c r="I9" s="329" t="s">
        <v>2696</v>
      </c>
      <c r="L9" s="2803" t="s">
        <v>3156</v>
      </c>
      <c r="M9" s="353" t="s">
        <v>2690</v>
      </c>
      <c r="P9" s="329"/>
      <c r="Q9" s="329"/>
      <c r="S9" s="2794"/>
      <c r="T9" s="2795"/>
    </row>
    <row r="10" spans="1:20" s="297" customFormat="1" ht="15" customHeight="1">
      <c r="A10" s="543"/>
      <c r="B10" s="2796" t="s">
        <v>3156</v>
      </c>
      <c r="C10" s="1389" t="s">
        <v>4135</v>
      </c>
      <c r="D10" s="329"/>
      <c r="E10" s="2804">
        <v>0</v>
      </c>
      <c r="F10" s="2805"/>
      <c r="G10" s="821"/>
      <c r="H10" s="2793" t="s">
        <v>3156</v>
      </c>
      <c r="I10" s="1475" t="s">
        <v>2914</v>
      </c>
      <c r="J10" s="1475"/>
      <c r="L10" s="2749" t="s">
        <v>3156</v>
      </c>
      <c r="M10" s="2806" t="s">
        <v>4137</v>
      </c>
      <c r="N10" s="2807"/>
      <c r="O10" s="2807"/>
      <c r="P10" s="2807"/>
      <c r="Q10" s="2808"/>
      <c r="S10" s="2797"/>
      <c r="T10" s="2798"/>
    </row>
    <row r="11" spans="1:20" s="297" customFormat="1" ht="15" customHeight="1">
      <c r="A11" s="543"/>
      <c r="B11" s="2796" t="s">
        <v>3156</v>
      </c>
      <c r="C11" s="1389" t="s">
        <v>4131</v>
      </c>
      <c r="I11" s="1475"/>
      <c r="J11" s="1475"/>
      <c r="M11" s="2809" t="s">
        <v>4149</v>
      </c>
      <c r="N11" s="2810"/>
      <c r="O11" s="2810"/>
      <c r="P11" s="2810"/>
      <c r="Q11" s="2811"/>
      <c r="S11" s="2797"/>
      <c r="T11" s="2798"/>
    </row>
    <row r="12" spans="1:20" s="297" customFormat="1" ht="15" customHeight="1">
      <c r="A12" s="543"/>
      <c r="B12" s="543"/>
      <c r="C12" s="297" t="s">
        <v>4132</v>
      </c>
      <c r="E12" s="2809" t="s">
        <v>3693</v>
      </c>
      <c r="F12" s="2810"/>
      <c r="G12" s="2810"/>
      <c r="H12" s="2810"/>
      <c r="I12" s="2811"/>
      <c r="S12" s="2801"/>
      <c r="T12" s="2802"/>
    </row>
    <row r="13" spans="1:20" s="297" customFormat="1" ht="15" customHeight="1">
      <c r="A13" s="543"/>
      <c r="C13" s="297" t="s">
        <v>4134</v>
      </c>
      <c r="E13" s="2804">
        <v>0</v>
      </c>
      <c r="F13" s="2805"/>
      <c r="Q13" s="329"/>
    </row>
    <row r="14" spans="1:20" s="297" customFormat="1" ht="16.899999999999999" customHeight="1">
      <c r="A14" s="543"/>
      <c r="B14" s="297" t="s">
        <v>4136</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50"/>
      <c r="O16" s="1450"/>
      <c r="P16" s="329"/>
      <c r="Q16" s="329"/>
      <c r="S16" s="379" t="str">
        <f>B16</f>
        <v>CONSTRUCTION FINANCING</v>
      </c>
    </row>
    <row r="17" spans="1:20" s="379" customFormat="1" ht="13.9" customHeight="1">
      <c r="A17" s="331"/>
      <c r="B17" s="296"/>
      <c r="C17" s="329"/>
      <c r="K17" s="329"/>
      <c r="L17" s="329"/>
      <c r="M17" s="1399"/>
      <c r="N17" s="1393"/>
      <c r="O17" s="1393"/>
      <c r="P17" s="329"/>
      <c r="Q17" s="329"/>
    </row>
    <row r="18" spans="1:20" s="297" customFormat="1" ht="16.899999999999999" customHeight="1">
      <c r="A18" s="329"/>
      <c r="B18" s="1389" t="s">
        <v>1942</v>
      </c>
      <c r="C18" s="329"/>
      <c r="D18" s="329"/>
      <c r="E18" s="329"/>
      <c r="F18" s="329"/>
      <c r="G18" s="329"/>
      <c r="H18" s="1522" t="s">
        <v>1346</v>
      </c>
      <c r="I18" s="1522"/>
      <c r="J18" s="1522"/>
      <c r="K18" s="1522"/>
      <c r="L18" s="1457" t="s">
        <v>2066</v>
      </c>
      <c r="M18" s="1457"/>
      <c r="N18" s="1457" t="s">
        <v>1564</v>
      </c>
      <c r="O18" s="1457"/>
      <c r="P18" s="1457" t="s">
        <v>1689</v>
      </c>
      <c r="Q18" s="1457"/>
      <c r="S18" s="1520" t="s">
        <v>2778</v>
      </c>
      <c r="T18" s="1520"/>
    </row>
    <row r="19" spans="1:20" s="297" customFormat="1" ht="16.899999999999999" customHeight="1">
      <c r="A19" s="329"/>
      <c r="B19" s="1530" t="s">
        <v>1648</v>
      </c>
      <c r="C19" s="1531"/>
      <c r="D19" s="1531"/>
      <c r="E19" s="1400"/>
      <c r="F19" s="1400"/>
      <c r="G19" s="1400"/>
      <c r="H19" s="2812" t="s">
        <v>4281</v>
      </c>
      <c r="I19" s="2813"/>
      <c r="J19" s="2813"/>
      <c r="K19" s="2814"/>
      <c r="L19" s="2815">
        <v>1600000</v>
      </c>
      <c r="M19" s="2816"/>
      <c r="N19" s="2817">
        <v>5.2499999999999998E-2</v>
      </c>
      <c r="O19" s="2818"/>
      <c r="P19" s="2819">
        <v>480</v>
      </c>
      <c r="Q19" s="2820"/>
      <c r="S19" s="2794"/>
      <c r="T19" s="2795"/>
    </row>
    <row r="20" spans="1:20" s="297" customFormat="1" ht="16.899999999999999" customHeight="1">
      <c r="A20" s="329"/>
      <c r="B20" s="1528" t="s">
        <v>1649</v>
      </c>
      <c r="C20" s="1529"/>
      <c r="D20" s="1529"/>
      <c r="E20" s="1399"/>
      <c r="F20" s="1399"/>
      <c r="G20" s="1399"/>
      <c r="H20" s="2821"/>
      <c r="I20" s="2822"/>
      <c r="J20" s="2822"/>
      <c r="K20" s="2823"/>
      <c r="L20" s="2824"/>
      <c r="M20" s="2825"/>
      <c r="N20" s="2826"/>
      <c r="O20" s="2827"/>
      <c r="P20" s="2828"/>
      <c r="Q20" s="2829"/>
      <c r="S20" s="2797"/>
      <c r="T20" s="2798"/>
    </row>
    <row r="21" spans="1:20" s="297" customFormat="1" ht="16.899999999999999" customHeight="1">
      <c r="A21" s="329"/>
      <c r="B21" s="1532" t="s">
        <v>1650</v>
      </c>
      <c r="C21" s="1533"/>
      <c r="D21" s="1533"/>
      <c r="E21" s="1405"/>
      <c r="F21" s="1405"/>
      <c r="G21" s="1405"/>
      <c r="H21" s="2830"/>
      <c r="I21" s="2831"/>
      <c r="J21" s="2831"/>
      <c r="K21" s="2832"/>
      <c r="L21" s="2833"/>
      <c r="M21" s="2834"/>
      <c r="N21" s="2835"/>
      <c r="O21" s="2836"/>
      <c r="P21" s="2837"/>
      <c r="Q21" s="2838"/>
      <c r="S21" s="2797"/>
      <c r="T21" s="2798"/>
    </row>
    <row r="22" spans="1:20" s="297" customFormat="1" ht="16.899999999999999" customHeight="1">
      <c r="A22" s="329"/>
      <c r="B22" s="1530" t="s">
        <v>2294</v>
      </c>
      <c r="C22" s="1531"/>
      <c r="D22" s="1531"/>
      <c r="E22" s="1399"/>
      <c r="F22" s="1399"/>
      <c r="G22" s="1399"/>
      <c r="H22" s="2839"/>
      <c r="I22" s="2840"/>
      <c r="J22" s="2840"/>
      <c r="K22" s="2841"/>
      <c r="L22" s="2842"/>
      <c r="M22" s="2843"/>
      <c r="N22" s="1523"/>
      <c r="O22" s="1524"/>
      <c r="P22" s="1521"/>
      <c r="Q22" s="1521"/>
      <c r="S22" s="2797"/>
      <c r="T22" s="2798"/>
    </row>
    <row r="23" spans="1:20" s="297" customFormat="1" ht="16.899999999999999" customHeight="1">
      <c r="A23" s="329"/>
      <c r="B23" s="1528" t="s">
        <v>833</v>
      </c>
      <c r="C23" s="1529"/>
      <c r="D23" s="1529"/>
      <c r="E23" s="1399"/>
      <c r="H23" s="2821"/>
      <c r="I23" s="2822"/>
      <c r="J23" s="2822"/>
      <c r="K23" s="2823"/>
      <c r="L23" s="2824"/>
      <c r="M23" s="2825"/>
      <c r="N23" s="1523"/>
      <c r="O23" s="1524"/>
      <c r="P23" s="1521"/>
      <c r="Q23" s="1521"/>
      <c r="S23" s="2797"/>
      <c r="T23" s="2798"/>
    </row>
    <row r="24" spans="1:20" s="297" customFormat="1" ht="16.899999999999999" customHeight="1">
      <c r="A24" s="329"/>
      <c r="B24" s="1528" t="s">
        <v>665</v>
      </c>
      <c r="C24" s="1529"/>
      <c r="D24" s="1529"/>
      <c r="E24" s="1399"/>
      <c r="H24" s="2821" t="s">
        <v>4234</v>
      </c>
      <c r="I24" s="2822"/>
      <c r="J24" s="2822"/>
      <c r="K24" s="2823"/>
      <c r="L24" s="2824">
        <f>I42</f>
        <v>1613</v>
      </c>
      <c r="M24" s="2825"/>
      <c r="N24" s="1523"/>
      <c r="O24" s="1524"/>
      <c r="P24" s="1521"/>
      <c r="Q24" s="1521"/>
      <c r="S24" s="2797"/>
      <c r="T24" s="2798"/>
    </row>
    <row r="25" spans="1:20" s="297" customFormat="1" ht="16.899999999999999" customHeight="1">
      <c r="A25" s="329"/>
      <c r="B25" s="1528" t="s">
        <v>834</v>
      </c>
      <c r="C25" s="1529"/>
      <c r="D25" s="1529"/>
      <c r="E25" s="1399"/>
      <c r="H25" s="2821" t="s">
        <v>4266</v>
      </c>
      <c r="I25" s="2822"/>
      <c r="J25" s="2822"/>
      <c r="K25" s="2823"/>
      <c r="L25" s="2824">
        <f>I45*0.8</f>
        <v>4421147.2</v>
      </c>
      <c r="M25" s="2825"/>
      <c r="N25" s="329"/>
      <c r="O25" s="329"/>
      <c r="P25" s="329"/>
      <c r="Q25" s="329"/>
      <c r="S25" s="2801"/>
      <c r="T25" s="2802"/>
    </row>
    <row r="26" spans="1:20" s="297" customFormat="1" ht="16.899999999999999" customHeight="1">
      <c r="A26" s="329"/>
      <c r="B26" s="1528" t="s">
        <v>835</v>
      </c>
      <c r="C26" s="1529"/>
      <c r="D26" s="1529"/>
      <c r="E26" s="1399"/>
      <c r="H26" s="2821" t="s">
        <v>4227</v>
      </c>
      <c r="I26" s="2822"/>
      <c r="J26" s="2822"/>
      <c r="K26" s="2823"/>
      <c r="L26" s="2824">
        <f>I46*0.8</f>
        <v>1989516</v>
      </c>
      <c r="M26" s="2825"/>
      <c r="N26" s="329"/>
      <c r="Q26" s="329"/>
      <c r="S26" s="2794"/>
      <c r="T26" s="2795"/>
    </row>
    <row r="27" spans="1:20" s="297" customFormat="1" ht="16.899999999999999" customHeight="1">
      <c r="A27" s="329"/>
      <c r="B27" s="1398" t="s">
        <v>253</v>
      </c>
      <c r="C27" s="1399"/>
      <c r="D27" s="2844"/>
      <c r="E27" s="2844"/>
      <c r="F27" s="2844"/>
      <c r="G27" s="2844"/>
      <c r="H27" s="2821"/>
      <c r="I27" s="2822"/>
      <c r="J27" s="2822"/>
      <c r="K27" s="2823"/>
      <c r="L27" s="2824"/>
      <c r="M27" s="2825"/>
      <c r="N27" s="329"/>
      <c r="Q27" s="329"/>
      <c r="S27" s="2797"/>
      <c r="T27" s="2798"/>
    </row>
    <row r="28" spans="1:20" s="297" customFormat="1" ht="16.899999999999999" customHeight="1">
      <c r="A28" s="329"/>
      <c r="B28" s="1398" t="s">
        <v>253</v>
      </c>
      <c r="C28" s="1399"/>
      <c r="D28" s="2845"/>
      <c r="E28" s="2845"/>
      <c r="F28" s="2845"/>
      <c r="G28" s="2845"/>
      <c r="H28" s="2821"/>
      <c r="I28" s="2822"/>
      <c r="J28" s="2822"/>
      <c r="K28" s="2823"/>
      <c r="L28" s="2824"/>
      <c r="M28" s="2825"/>
      <c r="N28" s="329"/>
      <c r="S28" s="2797"/>
      <c r="T28" s="2798"/>
    </row>
    <row r="29" spans="1:20" s="297" customFormat="1" ht="16.899999999999999" customHeight="1">
      <c r="A29" s="329"/>
      <c r="B29" s="1404" t="s">
        <v>253</v>
      </c>
      <c r="C29" s="1405"/>
      <c r="D29" s="2846"/>
      <c r="E29" s="2846"/>
      <c r="F29" s="2846"/>
      <c r="G29" s="2846"/>
      <c r="H29" s="2830"/>
      <c r="I29" s="2831"/>
      <c r="J29" s="2831"/>
      <c r="K29" s="2832"/>
      <c r="L29" s="2833"/>
      <c r="M29" s="2834"/>
      <c r="N29" s="329"/>
      <c r="S29" s="2797"/>
      <c r="T29" s="2798"/>
    </row>
    <row r="30" spans="1:20" s="297" customFormat="1" ht="16.899999999999999" customHeight="1">
      <c r="A30" s="329"/>
      <c r="B30" s="296" t="s">
        <v>1347</v>
      </c>
      <c r="C30" s="329"/>
      <c r="D30" s="329"/>
      <c r="E30" s="329"/>
      <c r="F30" s="329"/>
      <c r="G30" s="329"/>
      <c r="H30" s="329"/>
      <c r="I30" s="329"/>
      <c r="L30" s="1525">
        <f>SUM(L19:L29)</f>
        <v>8012276.2000000002</v>
      </c>
      <c r="M30" s="1526"/>
      <c r="N30" s="348"/>
      <c r="S30" s="2797"/>
      <c r="T30" s="2798"/>
    </row>
    <row r="31" spans="1:20" s="297" customFormat="1" ht="16.899999999999999" customHeight="1">
      <c r="A31" s="329"/>
      <c r="B31" s="1389" t="s">
        <v>1348</v>
      </c>
      <c r="C31" s="329"/>
      <c r="D31" s="329"/>
      <c r="E31" s="329"/>
      <c r="F31" s="329"/>
      <c r="G31" s="329"/>
      <c r="H31" s="329"/>
      <c r="I31" s="329"/>
      <c r="L31" s="284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7686836</v>
      </c>
      <c r="M31" s="2848"/>
      <c r="N31" s="1135"/>
      <c r="S31" s="2797"/>
      <c r="T31" s="2798"/>
    </row>
    <row r="32" spans="1:20" s="297" customFormat="1" ht="16.899999999999999" customHeight="1">
      <c r="A32" s="329"/>
      <c r="B32" s="334" t="s">
        <v>2235</v>
      </c>
      <c r="C32" s="329"/>
      <c r="D32" s="329"/>
      <c r="E32" s="329"/>
      <c r="F32" s="329"/>
      <c r="G32" s="329"/>
      <c r="H32" s="329"/>
      <c r="I32" s="329"/>
      <c r="L32" s="1536">
        <f>L30-L31</f>
        <v>325440.20000000019</v>
      </c>
      <c r="M32" s="1537"/>
      <c r="N32" s="1135"/>
      <c r="S32" s="2801"/>
      <c r="T32" s="2802"/>
    </row>
    <row r="33" spans="1:20" ht="9.6" customHeight="1">
      <c r="A33" s="357"/>
      <c r="B33" s="296"/>
      <c r="C33" s="348"/>
      <c r="D33" s="348"/>
      <c r="E33" s="348"/>
      <c r="F33" s="348"/>
      <c r="G33" s="348"/>
      <c r="H33" s="348"/>
      <c r="I33" s="348"/>
      <c r="J33" s="348"/>
      <c r="K33" s="348"/>
      <c r="L33" s="348"/>
      <c r="M33" s="1403"/>
      <c r="N33" s="1403"/>
    </row>
    <row r="34" spans="1:20" ht="9.6" customHeight="1">
      <c r="A34" s="331" t="s">
        <v>772</v>
      </c>
      <c r="B34" s="296" t="s">
        <v>832</v>
      </c>
      <c r="C34" s="348"/>
      <c r="D34" s="348"/>
      <c r="E34" s="348"/>
      <c r="F34" s="348"/>
      <c r="G34" s="348"/>
      <c r="H34" s="348"/>
      <c r="I34" s="348"/>
      <c r="J34" s="348"/>
      <c r="K34" s="348"/>
      <c r="L34" s="348"/>
      <c r="M34" s="1403"/>
      <c r="N34" s="1403"/>
      <c r="O34" s="348"/>
      <c r="S34" s="379" t="str">
        <f>B34</f>
        <v>PERMANENT FINANCING</v>
      </c>
    </row>
    <row r="35" spans="1:20" s="297" customFormat="1" ht="13.15" customHeight="1">
      <c r="A35" s="329"/>
      <c r="B35" s="329"/>
      <c r="C35" s="329"/>
      <c r="D35" s="329"/>
      <c r="E35" s="329"/>
      <c r="F35" s="1403"/>
      <c r="G35" s="1403"/>
      <c r="H35" s="1521"/>
      <c r="I35" s="1521"/>
      <c r="K35" s="406" t="s">
        <v>2177</v>
      </c>
      <c r="L35" s="1403" t="s">
        <v>1344</v>
      </c>
      <c r="M35" s="1403" t="s">
        <v>1349</v>
      </c>
      <c r="N35" s="1545" t="s">
        <v>36</v>
      </c>
      <c r="O35" s="1545"/>
      <c r="P35" s="1403"/>
      <c r="Q35" s="331"/>
      <c r="S35" s="379"/>
    </row>
    <row r="36" spans="1:20" s="297" customFormat="1" ht="13.15" customHeight="1">
      <c r="A36" s="329"/>
      <c r="B36" s="1406" t="s">
        <v>1942</v>
      </c>
      <c r="C36" s="1405"/>
      <c r="D36" s="1405"/>
      <c r="E36" s="1447" t="s">
        <v>1346</v>
      </c>
      <c r="F36" s="1447"/>
      <c r="G36" s="1447"/>
      <c r="H36" s="1447"/>
      <c r="I36" s="1457" t="s">
        <v>506</v>
      </c>
      <c r="J36" s="1457"/>
      <c r="K36" s="1391" t="s">
        <v>1874</v>
      </c>
      <c r="L36" s="1391" t="s">
        <v>2293</v>
      </c>
      <c r="M36" s="1391" t="s">
        <v>2293</v>
      </c>
      <c r="N36" s="2849"/>
      <c r="O36" s="2849"/>
      <c r="P36" s="1457" t="s">
        <v>76</v>
      </c>
      <c r="Q36" s="1457"/>
      <c r="S36" s="1520" t="s">
        <v>2778</v>
      </c>
      <c r="T36" s="1520"/>
    </row>
    <row r="37" spans="1:20" s="297" customFormat="1" ht="16.5" customHeight="1">
      <c r="A37" s="329"/>
      <c r="B37" s="1530" t="s">
        <v>2702</v>
      </c>
      <c r="C37" s="1531"/>
      <c r="D37" s="1531"/>
      <c r="E37" s="2812" t="s">
        <v>4281</v>
      </c>
      <c r="F37" s="2813"/>
      <c r="G37" s="2813"/>
      <c r="H37" s="2814"/>
      <c r="I37" s="2850">
        <v>1600000</v>
      </c>
      <c r="J37" s="2851"/>
      <c r="K37" s="2852">
        <v>5.2499999999999998E-2</v>
      </c>
      <c r="L37" s="2793">
        <v>40</v>
      </c>
      <c r="M37" s="2793">
        <v>40</v>
      </c>
      <c r="N37" s="2853">
        <f t="shared" ref="N37:N41" si="0">IF(OR(I37&lt;=0,I37=""),"",IF(P37="Amortizing",-PMT(K37/12,M37*12,I37,0,0)*12,""))</f>
        <v>95783.104757729001</v>
      </c>
      <c r="O37" s="2853"/>
      <c r="P37" s="2854" t="s">
        <v>4265</v>
      </c>
      <c r="Q37" s="2854"/>
      <c r="S37" s="2794"/>
      <c r="T37" s="2795"/>
    </row>
    <row r="38" spans="1:20" s="297" customFormat="1" ht="16.5" customHeight="1">
      <c r="A38" s="329"/>
      <c r="B38" s="1528" t="s">
        <v>2703</v>
      </c>
      <c r="C38" s="1529"/>
      <c r="D38" s="1529"/>
      <c r="E38" s="2821"/>
      <c r="F38" s="2822"/>
      <c r="G38" s="2822"/>
      <c r="H38" s="2823"/>
      <c r="I38" s="2855"/>
      <c r="J38" s="2856"/>
      <c r="K38" s="2857"/>
      <c r="L38" s="2796"/>
      <c r="M38" s="2796"/>
      <c r="N38" s="2858" t="str">
        <f t="shared" si="0"/>
        <v/>
      </c>
      <c r="O38" s="2858"/>
      <c r="P38" s="2859"/>
      <c r="Q38" s="2859"/>
      <c r="S38" s="2797"/>
      <c r="T38" s="2798"/>
    </row>
    <row r="39" spans="1:20" s="297" customFormat="1" ht="16.5" customHeight="1">
      <c r="A39" s="329"/>
      <c r="B39" s="1528" t="s">
        <v>2704</v>
      </c>
      <c r="C39" s="1529"/>
      <c r="D39" s="1529"/>
      <c r="E39" s="2821"/>
      <c r="F39" s="2822"/>
      <c r="G39" s="2822"/>
      <c r="H39" s="2823"/>
      <c r="I39" s="2855"/>
      <c r="J39" s="2856"/>
      <c r="K39" s="2857"/>
      <c r="L39" s="2796"/>
      <c r="M39" s="2796"/>
      <c r="N39" s="2858" t="str">
        <f t="shared" si="0"/>
        <v/>
      </c>
      <c r="O39" s="2858"/>
      <c r="P39" s="2859"/>
      <c r="Q39" s="2859"/>
      <c r="S39" s="2797"/>
      <c r="T39" s="2798"/>
    </row>
    <row r="40" spans="1:20" s="297" customFormat="1" ht="16.5" customHeight="1">
      <c r="A40" s="329"/>
      <c r="B40" s="1398" t="s">
        <v>771</v>
      </c>
      <c r="C40" s="2650"/>
      <c r="D40" s="2652"/>
      <c r="E40" s="2821"/>
      <c r="F40" s="2822"/>
      <c r="G40" s="2822"/>
      <c r="H40" s="2823"/>
      <c r="I40" s="2855"/>
      <c r="J40" s="2856"/>
      <c r="K40" s="2860"/>
      <c r="L40" s="2803"/>
      <c r="M40" s="2803"/>
      <c r="N40" s="2861" t="str">
        <f t="shared" si="0"/>
        <v/>
      </c>
      <c r="O40" s="2861"/>
      <c r="P40" s="2862"/>
      <c r="Q40" s="2862"/>
      <c r="S40" s="2797"/>
      <c r="T40" s="2798"/>
    </row>
    <row r="41" spans="1:20" s="297" customFormat="1" ht="16.5" customHeight="1">
      <c r="A41" s="329"/>
      <c r="B41" s="1398" t="s">
        <v>2864</v>
      </c>
      <c r="C41" s="1399"/>
      <c r="D41" s="1401"/>
      <c r="E41" s="2821"/>
      <c r="F41" s="2822"/>
      <c r="G41" s="2822"/>
      <c r="H41" s="2823"/>
      <c r="I41" s="2855"/>
      <c r="J41" s="2856"/>
      <c r="K41" s="521"/>
      <c r="L41" s="1397"/>
      <c r="M41" s="1397"/>
      <c r="N41" s="1551" t="str">
        <f t="shared" si="0"/>
        <v/>
      </c>
      <c r="O41" s="1551"/>
      <c r="P41" s="1550"/>
      <c r="Q41" s="1550"/>
      <c r="S41" s="2797"/>
      <c r="T41" s="2798"/>
    </row>
    <row r="42" spans="1:20" s="297" customFormat="1" ht="16.5" customHeight="1">
      <c r="A42" s="329"/>
      <c r="B42" s="1404" t="s">
        <v>237</v>
      </c>
      <c r="C42" s="1405"/>
      <c r="D42" s="407">
        <f>IF(OR(I42="",I42=0,'Part IV-Uses of Funds'!$G$117="",'Part IV-Uses of Funds'!$G$117=0),"",I42/'Part IV-Uses of Funds'!$G$117)</f>
        <v>1.2869037399193871E-3</v>
      </c>
      <c r="E42" s="2830" t="s">
        <v>4234</v>
      </c>
      <c r="F42" s="2831"/>
      <c r="G42" s="2831"/>
      <c r="H42" s="2832"/>
      <c r="I42" s="2863">
        <v>1613</v>
      </c>
      <c r="J42" s="2864"/>
      <c r="K42" s="2865">
        <v>0</v>
      </c>
      <c r="L42" s="2749">
        <v>1</v>
      </c>
      <c r="M42" s="2749">
        <v>1</v>
      </c>
      <c r="N42" s="2866">
        <v>0</v>
      </c>
      <c r="O42" s="2867"/>
      <c r="P42" s="2868" t="s">
        <v>1207</v>
      </c>
      <c r="Q42" s="2869"/>
      <c r="S42" s="2797"/>
      <c r="T42" s="2798"/>
    </row>
    <row r="43" spans="1:20" s="297" customFormat="1" ht="16.5" customHeight="1">
      <c r="A43" s="329"/>
      <c r="B43" s="1530" t="s">
        <v>2294</v>
      </c>
      <c r="C43" s="1531"/>
      <c r="D43" s="1538"/>
      <c r="E43" s="2839"/>
      <c r="F43" s="2840"/>
      <c r="G43" s="2840"/>
      <c r="H43" s="2841"/>
      <c r="I43" s="2870"/>
      <c r="J43" s="2871"/>
      <c r="K43" s="408"/>
      <c r="L43" s="408"/>
      <c r="M43" s="408"/>
      <c r="N43" s="408"/>
      <c r="O43" s="408"/>
      <c r="P43" s="408"/>
      <c r="Q43" s="408"/>
      <c r="S43" s="2794"/>
      <c r="T43" s="2795"/>
    </row>
    <row r="44" spans="1:20" s="297" customFormat="1" ht="16.5" customHeight="1">
      <c r="A44" s="329"/>
      <c r="B44" s="1528" t="s">
        <v>833</v>
      </c>
      <c r="C44" s="1529"/>
      <c r="D44" s="1539"/>
      <c r="E44" s="2821"/>
      <c r="F44" s="2822"/>
      <c r="G44" s="2822"/>
      <c r="H44" s="2823"/>
      <c r="I44" s="2855"/>
      <c r="J44" s="2856"/>
      <c r="L44" s="1544" t="s">
        <v>536</v>
      </c>
      <c r="M44" s="1544"/>
      <c r="N44" s="1543" t="s">
        <v>537</v>
      </c>
      <c r="O44" s="1543"/>
      <c r="P44" s="448" t="s">
        <v>535</v>
      </c>
      <c r="Q44" s="408"/>
      <c r="S44" s="2797"/>
      <c r="T44" s="2798"/>
    </row>
    <row r="45" spans="1:20" s="297" customFormat="1" ht="16.5" customHeight="1">
      <c r="A45" s="329"/>
      <c r="B45" s="1528" t="s">
        <v>834</v>
      </c>
      <c r="C45" s="1529"/>
      <c r="D45" s="1539"/>
      <c r="E45" s="2821" t="s">
        <v>4266</v>
      </c>
      <c r="F45" s="2822"/>
      <c r="G45" s="2822"/>
      <c r="H45" s="2823"/>
      <c r="I45" s="2855">
        <v>5526434</v>
      </c>
      <c r="J45" s="2855"/>
      <c r="L45" s="1535">
        <f>'Part IV-Uses of Funds'!$J$174*10*'Part IV-Uses of Funds'!$N$167</f>
        <v>5527540</v>
      </c>
      <c r="M45" s="1535"/>
      <c r="N45" s="1542">
        <f>I45-L45</f>
        <v>-1106</v>
      </c>
      <c r="O45" s="1542"/>
      <c r="P45" s="449" t="s">
        <v>2648</v>
      </c>
      <c r="Q45" s="408"/>
      <c r="S45" s="2797"/>
      <c r="T45" s="2798"/>
    </row>
    <row r="46" spans="1:20" s="297" customFormat="1" ht="16.5" customHeight="1">
      <c r="A46" s="329"/>
      <c r="B46" s="1528" t="s">
        <v>835</v>
      </c>
      <c r="C46" s="1529"/>
      <c r="D46" s="1539"/>
      <c r="E46" s="2821" t="s">
        <v>4227</v>
      </c>
      <c r="F46" s="2822"/>
      <c r="G46" s="2822"/>
      <c r="H46" s="2823"/>
      <c r="I46" s="2855">
        <v>2486895</v>
      </c>
      <c r="J46" s="2855"/>
      <c r="L46" s="1535">
        <f>'Part IV-Uses of Funds'!$J$174*10*'Part IV-Uses of Funds'!$Q$167</f>
        <v>2487393</v>
      </c>
      <c r="M46" s="1535"/>
      <c r="N46" s="1542">
        <f>I46-L46</f>
        <v>-498</v>
      </c>
      <c r="O46" s="1542"/>
      <c r="P46" s="450">
        <f>I45/I55</f>
        <v>0.57477559407014622</v>
      </c>
      <c r="Q46" s="408"/>
      <c r="S46" s="2797"/>
      <c r="T46" s="2798"/>
    </row>
    <row r="47" spans="1:20" s="297" customFormat="1" ht="16.5" customHeight="1">
      <c r="A47" s="329"/>
      <c r="B47" s="1528" t="s">
        <v>1464</v>
      </c>
      <c r="C47" s="1529"/>
      <c r="D47" s="1539"/>
      <c r="E47" s="2821"/>
      <c r="F47" s="2822"/>
      <c r="G47" s="2822"/>
      <c r="H47" s="2823"/>
      <c r="I47" s="2855"/>
      <c r="J47" s="2855"/>
      <c r="P47" s="450">
        <f>I46/I55</f>
        <v>0.25864898613012954</v>
      </c>
      <c r="Q47" s="408"/>
      <c r="S47" s="2801"/>
      <c r="T47" s="2802"/>
    </row>
    <row r="48" spans="1:20" s="297" customFormat="1" ht="16.5" customHeight="1">
      <c r="A48" s="329"/>
      <c r="B48" s="1398" t="s">
        <v>550</v>
      </c>
      <c r="C48" s="1399"/>
      <c r="D48" s="1401"/>
      <c r="E48" s="2821"/>
      <c r="F48" s="2822"/>
      <c r="G48" s="2822"/>
      <c r="H48" s="2823"/>
      <c r="I48" s="2855"/>
      <c r="J48" s="2855"/>
      <c r="K48" s="329"/>
      <c r="P48" s="451">
        <f>SUM(P46:P47)</f>
        <v>0.83342458020027577</v>
      </c>
      <c r="Q48" s="408"/>
      <c r="S48" s="2797"/>
      <c r="T48" s="2798"/>
    </row>
    <row r="49" spans="1:23" s="297" customFormat="1" ht="16.5" customHeight="1">
      <c r="A49" s="329"/>
      <c r="B49" s="1398" t="s">
        <v>1940</v>
      </c>
      <c r="C49" s="1399"/>
      <c r="D49" s="1401"/>
      <c r="E49" s="2821"/>
      <c r="F49" s="2822"/>
      <c r="G49" s="2822"/>
      <c r="H49" s="2823"/>
      <c r="I49" s="2855"/>
      <c r="J49" s="2855"/>
      <c r="N49" s="409"/>
      <c r="O49" s="409"/>
      <c r="P49" s="409"/>
      <c r="Q49" s="408"/>
      <c r="S49" s="2797"/>
      <c r="T49" s="2798"/>
    </row>
    <row r="50" spans="1:23" s="297" customFormat="1" ht="16.5" customHeight="1">
      <c r="A50" s="329"/>
      <c r="B50" s="1398" t="s">
        <v>1941</v>
      </c>
      <c r="C50" s="1399"/>
      <c r="D50" s="1401"/>
      <c r="E50" s="2821"/>
      <c r="F50" s="2822"/>
      <c r="G50" s="2822"/>
      <c r="H50" s="2823"/>
      <c r="I50" s="2855"/>
      <c r="J50" s="2855"/>
      <c r="M50" s="409"/>
      <c r="N50" s="409"/>
      <c r="O50" s="409"/>
      <c r="P50" s="409"/>
      <c r="Q50" s="408"/>
      <c r="S50" s="2797"/>
      <c r="T50" s="2798"/>
    </row>
    <row r="51" spans="1:23" s="297" customFormat="1" ht="16.5" customHeight="1">
      <c r="A51" s="329"/>
      <c r="B51" s="1398" t="s">
        <v>771</v>
      </c>
      <c r="C51" s="2844"/>
      <c r="D51" s="2844"/>
      <c r="E51" s="2821"/>
      <c r="F51" s="2822"/>
      <c r="G51" s="2822"/>
      <c r="H51" s="2823"/>
      <c r="I51" s="2855"/>
      <c r="J51" s="2855"/>
      <c r="M51" s="409"/>
      <c r="N51" s="409"/>
      <c r="O51" s="409"/>
      <c r="P51" s="409"/>
      <c r="Q51" s="408"/>
      <c r="S51" s="2797"/>
      <c r="T51" s="2798"/>
    </row>
    <row r="52" spans="1:23" s="297" customFormat="1" ht="16.5" customHeight="1">
      <c r="A52" s="329"/>
      <c r="B52" s="1398" t="s">
        <v>771</v>
      </c>
      <c r="C52" s="2845"/>
      <c r="D52" s="2845"/>
      <c r="E52" s="2821"/>
      <c r="F52" s="2822"/>
      <c r="G52" s="2822"/>
      <c r="H52" s="2823"/>
      <c r="I52" s="2855"/>
      <c r="J52" s="2855"/>
      <c r="K52" s="329"/>
      <c r="L52" s="410"/>
      <c r="M52" s="409"/>
      <c r="N52" s="409"/>
      <c r="O52" s="409"/>
      <c r="P52" s="409"/>
      <c r="Q52" s="408"/>
      <c r="S52" s="2797"/>
      <c r="T52" s="2798"/>
    </row>
    <row r="53" spans="1:23" s="297" customFormat="1" ht="16.5" customHeight="1">
      <c r="A53" s="329"/>
      <c r="B53" s="1404" t="s">
        <v>771</v>
      </c>
      <c r="C53" s="2846"/>
      <c r="D53" s="2846"/>
      <c r="E53" s="2830"/>
      <c r="F53" s="2831"/>
      <c r="G53" s="2831"/>
      <c r="H53" s="2832"/>
      <c r="I53" s="2863"/>
      <c r="J53" s="2863"/>
      <c r="K53" s="329"/>
      <c r="L53" s="410"/>
      <c r="M53" s="409"/>
      <c r="N53" s="409"/>
      <c r="O53" s="409"/>
      <c r="P53" s="409"/>
      <c r="Q53" s="408"/>
      <c r="S53" s="2797"/>
      <c r="T53" s="2798"/>
    </row>
    <row r="54" spans="1:23" s="297" customFormat="1" ht="16.5" customHeight="1">
      <c r="A54" s="329"/>
      <c r="B54" s="1389" t="s">
        <v>2295</v>
      </c>
      <c r="C54" s="329"/>
      <c r="D54" s="329"/>
      <c r="E54" s="329"/>
      <c r="F54" s="329"/>
      <c r="G54" s="329"/>
      <c r="I54" s="1548">
        <f>SUM(I37:J53)</f>
        <v>9614942</v>
      </c>
      <c r="J54" s="1549"/>
      <c r="K54" s="329"/>
      <c r="L54" s="410"/>
      <c r="M54" s="409"/>
      <c r="N54" s="409"/>
      <c r="O54" s="409"/>
      <c r="P54" s="409"/>
      <c r="Q54" s="408"/>
      <c r="S54" s="2797"/>
      <c r="T54" s="2798"/>
    </row>
    <row r="55" spans="1:23" s="297" customFormat="1" ht="16.5" customHeight="1" thickBot="1">
      <c r="A55" s="329"/>
      <c r="B55" s="1389" t="s">
        <v>2296</v>
      </c>
      <c r="C55" s="329"/>
      <c r="D55" s="329"/>
      <c r="E55" s="329"/>
      <c r="F55" s="329"/>
      <c r="G55" s="329"/>
      <c r="I55" s="1546">
        <f>'Part IV-Uses of Funds'!$G$131</f>
        <v>9614942</v>
      </c>
      <c r="J55" s="1547"/>
      <c r="K55" s="329"/>
      <c r="L55" s="410"/>
      <c r="M55" s="409"/>
      <c r="N55" s="409"/>
      <c r="O55" s="409"/>
      <c r="P55" s="409"/>
      <c r="Q55" s="408"/>
      <c r="S55" s="2797"/>
      <c r="T55" s="2798"/>
    </row>
    <row r="56" spans="1:23" s="297" customFormat="1" ht="16.5" customHeight="1" thickBot="1">
      <c r="A56" s="329"/>
      <c r="B56" s="334" t="s">
        <v>1582</v>
      </c>
      <c r="C56" s="329"/>
      <c r="D56" s="329"/>
      <c r="E56" s="329"/>
      <c r="F56" s="329"/>
      <c r="G56" s="329"/>
      <c r="I56" s="1540">
        <f>I54-I55</f>
        <v>0</v>
      </c>
      <c r="J56" s="1541"/>
      <c r="K56" s="329"/>
      <c r="L56" s="410"/>
      <c r="M56" s="409"/>
      <c r="N56" s="409"/>
      <c r="O56" s="409"/>
      <c r="P56" s="409"/>
      <c r="Q56" s="408"/>
      <c r="S56" s="2801"/>
      <c r="T56" s="2802"/>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2" t="s">
        <v>4351</v>
      </c>
      <c r="B61" s="2872"/>
      <c r="C61" s="2872"/>
      <c r="D61" s="2872"/>
      <c r="E61" s="2872"/>
      <c r="F61" s="2872"/>
      <c r="G61" s="2872"/>
      <c r="H61" s="2872"/>
      <c r="I61" s="2872"/>
      <c r="J61" s="2873"/>
      <c r="K61" s="2735"/>
      <c r="L61" s="2872"/>
      <c r="M61" s="2872"/>
      <c r="N61" s="2872"/>
      <c r="O61" s="2872"/>
      <c r="P61" s="2872"/>
      <c r="Q61" s="2873"/>
      <c r="S61" s="1534" t="s">
        <v>2796</v>
      </c>
      <c r="T61" s="153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c7JCUg0UUpjHN0S+Q7qwONuRTWoOaywiFLdLn+JpuPQfa1xJ/BmwYzE9OGOVszanbwBTE8LvNo4JWinx6w+5g==" saltValue="uygRVLZAjzs0ykluu3xWRg=="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2016-079 The Pines Apartments, St. Marys, Camden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2566</v>
      </c>
      <c r="B16" s="226" t="s">
        <v>2563</v>
      </c>
      <c r="C16" s="226" t="s">
        <v>2564</v>
      </c>
      <c r="D16" s="1563" t="s">
        <v>2334</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2016-079 The Pines Apartments, St. Marys, Camden County</v>
      </c>
      <c r="B58" s="1555"/>
      <c r="C58" s="1555"/>
      <c r="D58" s="1555"/>
      <c r="E58" s="1555"/>
      <c r="F58" s="1555"/>
      <c r="G58" s="1555" t="str">
        <f>CONCATENATE('Part I-Project Information'!$O$4," ",'Part I-Project Information'!$F$24,", ",'Part I-Project Information'!$F$28,", ",'Part I-Project Information'!$J$29," County")</f>
        <v>2016-079 The Pines Apartments, St. Marys, Camden County</v>
      </c>
      <c r="H58" s="1555"/>
      <c r="I58" s="1555"/>
      <c r="J58" s="1555"/>
      <c r="K58" s="1555"/>
      <c r="L58" s="1555"/>
    </row>
    <row r="59" spans="1:12" ht="15">
      <c r="A59" s="1552" t="s">
        <v>2557</v>
      </c>
      <c r="B59" s="1552"/>
      <c r="C59" s="1552"/>
      <c r="D59" s="1552"/>
      <c r="E59" s="1552"/>
      <c r="F59" s="1552"/>
      <c r="G59" s="1552" t="s">
        <v>2557</v>
      </c>
      <c r="H59" s="1552"/>
      <c r="I59" s="1552"/>
      <c r="J59" s="1552"/>
      <c r="K59" s="1552"/>
      <c r="L59" s="1552"/>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2016-079 The Pines Apartments, St. Marys, Camden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2016-079 The Pines Apartments, St. Marys, Camden County</v>
      </c>
      <c r="B50" s="1555"/>
      <c r="C50" s="1555"/>
      <c r="D50" s="1555"/>
      <c r="E50" s="1555"/>
      <c r="F50" s="1555"/>
      <c r="G50" s="235"/>
      <c r="H50" s="235"/>
    </row>
    <row r="51" spans="1:10" ht="15">
      <c r="A51" s="1552" t="s">
        <v>2557</v>
      </c>
      <c r="B51" s="1552"/>
      <c r="C51" s="1552"/>
      <c r="D51" s="1552"/>
      <c r="E51" s="1552"/>
      <c r="F51" s="1552"/>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23" zoomScale="142" zoomScaleNormal="142" zoomScaleSheetLayoutView="90" workbookViewId="0">
      <selection activeCell="A123"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4" t="str">
        <f>CONCATENATE("PART FOUR -  USES OF FUNDS","  -  ",'Part I-Project Information'!$O$4," ",'Part I-Project Information'!$F$24,", ",'Part I-Project Information'!F28,", ",'Part I-Project Information'!J29," County")</f>
        <v>PART FOUR -  USES OF FUNDS  -  2016-079 The Pines Apartments, St. Marys, Camden County</v>
      </c>
      <c r="B1" s="1625"/>
      <c r="C1" s="1625"/>
      <c r="D1" s="1625"/>
      <c r="E1" s="1625"/>
      <c r="F1" s="1625"/>
      <c r="G1" s="1625"/>
      <c r="H1" s="1625"/>
      <c r="I1" s="1625"/>
      <c r="J1" s="1625"/>
      <c r="K1" s="1625"/>
      <c r="L1" s="1625"/>
      <c r="M1" s="1625"/>
      <c r="N1" s="1625"/>
      <c r="O1" s="1625"/>
      <c r="P1" s="1625"/>
      <c r="Q1" s="1625"/>
      <c r="R1" s="1625"/>
      <c r="S1" s="1625"/>
      <c r="T1" s="1625"/>
      <c r="W1" s="1623" t="str">
        <f>A1</f>
        <v>PART FOUR -  USES OF FUNDS  -  2016-079 The Pines Apartments, St. Marys, Camden County</v>
      </c>
      <c r="X1" s="1623"/>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5" t="s">
        <v>4197</v>
      </c>
      <c r="E5" s="1466"/>
      <c r="F5" s="1467"/>
      <c r="G5" s="557"/>
      <c r="H5" s="557"/>
      <c r="I5" s="557"/>
      <c r="J5" s="1569" t="s">
        <v>283</v>
      </c>
      <c r="K5" s="1570"/>
      <c r="L5" s="384"/>
      <c r="M5" s="1573" t="s">
        <v>507</v>
      </c>
      <c r="N5" s="1574"/>
      <c r="P5" s="1569" t="s">
        <v>284</v>
      </c>
      <c r="Q5" s="1570"/>
      <c r="S5" s="1569" t="s">
        <v>285</v>
      </c>
      <c r="T5" s="1570"/>
      <c r="W5" s="474" t="str">
        <f>B5</f>
        <v>DEVELOPMENT BUDGET</v>
      </c>
    </row>
    <row r="6" spans="1:24" s="329" customFormat="1" ht="19.5" customHeight="1" thickBot="1">
      <c r="G6" s="1626" t="s">
        <v>103</v>
      </c>
      <c r="H6" s="1627"/>
      <c r="J6" s="1571"/>
      <c r="K6" s="1572"/>
      <c r="L6" s="384"/>
      <c r="M6" s="1575"/>
      <c r="N6" s="1576"/>
      <c r="P6" s="1571"/>
      <c r="Q6" s="1572"/>
      <c r="S6" s="1571"/>
      <c r="T6" s="1572"/>
      <c r="W6" s="1643" t="s">
        <v>2778</v>
      </c>
      <c r="X6" s="1643"/>
    </row>
    <row r="7" spans="1:24" s="329" customFormat="1" ht="12" customHeight="1">
      <c r="B7" s="331" t="s">
        <v>104</v>
      </c>
      <c r="O7" s="543" t="str">
        <f>B7</f>
        <v>PRE-DEVELOPMENT COSTS</v>
      </c>
      <c r="W7" s="329" t="str">
        <f>B7</f>
        <v>PRE-DEVELOPMENT COSTS</v>
      </c>
    </row>
    <row r="8" spans="1:24" s="329" customFormat="1" ht="12.6" customHeight="1">
      <c r="B8" s="329" t="s">
        <v>2076</v>
      </c>
      <c r="G8" s="2874">
        <v>5200</v>
      </c>
      <c r="H8" s="2875"/>
      <c r="J8" s="2874"/>
      <c r="K8" s="2875"/>
      <c r="L8" s="1407"/>
      <c r="M8" s="2874"/>
      <c r="N8" s="2875"/>
      <c r="P8" s="2874">
        <f>G8</f>
        <v>5200</v>
      </c>
      <c r="Q8" s="2875"/>
      <c r="S8" s="2874"/>
      <c r="T8" s="2875"/>
      <c r="V8" s="2876"/>
      <c r="W8" s="2877"/>
      <c r="X8" s="2878"/>
    </row>
    <row r="9" spans="1:24" s="329" customFormat="1" ht="12.6" customHeight="1">
      <c r="B9" s="329" t="s">
        <v>474</v>
      </c>
      <c r="G9" s="2874">
        <v>4400</v>
      </c>
      <c r="H9" s="2875"/>
      <c r="J9" s="2874"/>
      <c r="K9" s="2875"/>
      <c r="L9" s="1407"/>
      <c r="M9" s="2874"/>
      <c r="N9" s="2875"/>
      <c r="P9" s="2874">
        <f t="shared" ref="P9:P16" si="0">G9</f>
        <v>4400</v>
      </c>
      <c r="Q9" s="2875"/>
      <c r="S9" s="2874"/>
      <c r="T9" s="2875"/>
      <c r="V9" s="2876"/>
      <c r="W9" s="2879"/>
      <c r="X9" s="2880"/>
    </row>
    <row r="10" spans="1:24" s="329" customFormat="1" ht="12.6" customHeight="1">
      <c r="B10" s="329" t="s">
        <v>504</v>
      </c>
      <c r="G10" s="2874">
        <v>6850</v>
      </c>
      <c r="H10" s="2875"/>
      <c r="J10" s="2874"/>
      <c r="K10" s="2875"/>
      <c r="L10" s="1407"/>
      <c r="M10" s="2874"/>
      <c r="N10" s="2875"/>
      <c r="P10" s="2874">
        <f t="shared" si="0"/>
        <v>6850</v>
      </c>
      <c r="Q10" s="2875"/>
      <c r="S10" s="2874"/>
      <c r="T10" s="2875"/>
      <c r="V10" s="2876"/>
      <c r="W10" s="2879"/>
      <c r="X10" s="2880"/>
    </row>
    <row r="11" spans="1:24" s="329" customFormat="1" ht="12.6" customHeight="1">
      <c r="B11" s="329" t="s">
        <v>505</v>
      </c>
      <c r="G11" s="2874">
        <v>0</v>
      </c>
      <c r="H11" s="2875"/>
      <c r="J11" s="2874"/>
      <c r="K11" s="2875"/>
      <c r="L11" s="1407"/>
      <c r="M11" s="2874"/>
      <c r="N11" s="2875"/>
      <c r="P11" s="2874">
        <f t="shared" si="0"/>
        <v>0</v>
      </c>
      <c r="Q11" s="2875"/>
      <c r="S11" s="2874"/>
      <c r="T11" s="2875"/>
      <c r="V11" s="2876"/>
      <c r="W11" s="2879"/>
      <c r="X11" s="2880"/>
    </row>
    <row r="12" spans="1:24" s="329" customFormat="1" ht="12.6" customHeight="1">
      <c r="B12" s="329" t="s">
        <v>2586</v>
      </c>
      <c r="G12" s="2874">
        <v>0</v>
      </c>
      <c r="H12" s="2875"/>
      <c r="J12" s="2874"/>
      <c r="K12" s="2875"/>
      <c r="L12" s="1407"/>
      <c r="M12" s="2874"/>
      <c r="N12" s="2875"/>
      <c r="P12" s="2874">
        <f t="shared" si="0"/>
        <v>0</v>
      </c>
      <c r="Q12" s="2875"/>
      <c r="S12" s="2874"/>
      <c r="T12" s="2875"/>
      <c r="V12" s="2876"/>
      <c r="W12" s="2879"/>
      <c r="X12" s="2880"/>
    </row>
    <row r="13" spans="1:24" s="329" customFormat="1" ht="12.6" customHeight="1">
      <c r="B13" s="329" t="s">
        <v>196</v>
      </c>
      <c r="G13" s="2874">
        <v>0</v>
      </c>
      <c r="H13" s="2875"/>
      <c r="J13" s="2874"/>
      <c r="K13" s="2875"/>
      <c r="L13" s="1407"/>
      <c r="M13" s="2874"/>
      <c r="N13" s="2875"/>
      <c r="P13" s="2874">
        <f t="shared" si="0"/>
        <v>0</v>
      </c>
      <c r="Q13" s="2875"/>
      <c r="S13" s="2874"/>
      <c r="T13" s="2875"/>
      <c r="V13" s="2876"/>
      <c r="W13" s="2879"/>
      <c r="X13" s="2880"/>
    </row>
    <row r="14" spans="1:24" s="329" customFormat="1" ht="12.6" customHeight="1">
      <c r="A14" s="412" t="str">
        <f>IF(AND(G14&gt;0,OR(C14="",C14="&lt;Enter detailed description here; use Comments section if needed&gt;")),"X","")</f>
        <v/>
      </c>
      <c r="B14" s="329" t="s">
        <v>771</v>
      </c>
      <c r="C14" s="2638" t="s">
        <v>4285</v>
      </c>
      <c r="D14" s="2638"/>
      <c r="E14" s="2638"/>
      <c r="F14" s="2639"/>
      <c r="G14" s="2874">
        <v>3900</v>
      </c>
      <c r="H14" s="2875"/>
      <c r="J14" s="2874"/>
      <c r="K14" s="2875"/>
      <c r="L14" s="1407"/>
      <c r="M14" s="2874"/>
      <c r="N14" s="2875"/>
      <c r="P14" s="2874">
        <f t="shared" si="0"/>
        <v>3900</v>
      </c>
      <c r="Q14" s="2875"/>
      <c r="S14" s="2874"/>
      <c r="T14" s="2875"/>
      <c r="U14" s="411" t="str">
        <f>IF(AND(G14&gt;0,OR(C14="",C14="&lt;Enter detailed description here; use Comments section if needed&gt;")),"NO DESCRIPTION PROVIDED - please enter detailed description in Other box at left; use Comments section below if needed.","")</f>
        <v/>
      </c>
      <c r="V14" s="2881"/>
      <c r="W14" s="2879"/>
      <c r="X14" s="2880"/>
    </row>
    <row r="15" spans="1:24" s="329" customFormat="1" ht="12.6" customHeight="1">
      <c r="A15" s="412" t="str">
        <f>IF(AND(G15&gt;0,OR(C15="",C15="&lt;Enter detailed description here; use Comments section if needed&gt;")),"X","")</f>
        <v/>
      </c>
      <c r="B15" s="329" t="s">
        <v>771</v>
      </c>
      <c r="C15" s="2638" t="s">
        <v>4268</v>
      </c>
      <c r="D15" s="2638"/>
      <c r="E15" s="2638"/>
      <c r="F15" s="2639"/>
      <c r="G15" s="2874">
        <v>4600</v>
      </c>
      <c r="H15" s="2875"/>
      <c r="J15" s="2874"/>
      <c r="K15" s="2875"/>
      <c r="L15" s="1407"/>
      <c r="M15" s="2874"/>
      <c r="N15" s="2875"/>
      <c r="P15" s="2874">
        <f t="shared" si="0"/>
        <v>4600</v>
      </c>
      <c r="Q15" s="2875"/>
      <c r="S15" s="2874"/>
      <c r="T15" s="2875"/>
      <c r="U15" s="411" t="str">
        <f>IF(AND(G15&gt;0,OR(C15="",C15="&lt;Enter detailed description here; use Comments section if needed&gt;")),"NO DESCRIPTION PROVIDED - please enter detailed description in Other box at left; use Comments section below if needed.","")</f>
        <v/>
      </c>
      <c r="V15" s="2881"/>
      <c r="W15" s="2879"/>
      <c r="X15" s="2880"/>
    </row>
    <row r="16" spans="1:24" s="329" customFormat="1" ht="12.6" customHeight="1" thickBot="1">
      <c r="A16" s="412" t="str">
        <f>IF(AND(G16&gt;0,OR(C16="",C16="&lt;Enter detailed description here; use Comments section if needed&gt;")),"X","")</f>
        <v/>
      </c>
      <c r="B16" s="329" t="s">
        <v>771</v>
      </c>
      <c r="C16" s="2638" t="s">
        <v>4288</v>
      </c>
      <c r="D16" s="2638"/>
      <c r="E16" s="2638"/>
      <c r="F16" s="2639"/>
      <c r="G16" s="2874">
        <v>3100</v>
      </c>
      <c r="H16" s="2875"/>
      <c r="J16" s="2882"/>
      <c r="K16" s="2883"/>
      <c r="L16" s="1407"/>
      <c r="M16" s="2874"/>
      <c r="N16" s="2875"/>
      <c r="P16" s="2874">
        <f t="shared" si="0"/>
        <v>3100</v>
      </c>
      <c r="Q16" s="2875"/>
      <c r="S16" s="2882"/>
      <c r="T16" s="2883"/>
      <c r="U16" s="411" t="str">
        <f>IF(AND(G16&gt;0,OR(C16="",C16="&lt;Enter detailed description here; use Comments section if needed&gt;")),"NO DESCRIPTION PROVIDED - please enter detailed description in Other box at left; use Comments section below if needed.","")</f>
        <v/>
      </c>
      <c r="V16" s="2881"/>
      <c r="W16" s="2879"/>
      <c r="X16" s="2880"/>
    </row>
    <row r="17" spans="2:24" s="329" customFormat="1" ht="12.6" customHeight="1" thickTop="1">
      <c r="F17" s="385" t="s">
        <v>197</v>
      </c>
      <c r="G17" s="1578">
        <f>SUM(G8:H16)</f>
        <v>28050</v>
      </c>
      <c r="H17" s="1579"/>
      <c r="J17" s="1578">
        <f>SUM(J8:K16)</f>
        <v>0</v>
      </c>
      <c r="K17" s="1644"/>
      <c r="L17" s="1407"/>
      <c r="M17" s="1578">
        <f>SUM(M8:N16)</f>
        <v>0</v>
      </c>
      <c r="N17" s="1579"/>
      <c r="P17" s="1578">
        <f>SUM(P8:Q16)</f>
        <v>28050</v>
      </c>
      <c r="Q17" s="1579"/>
      <c r="S17" s="1578">
        <f>SUM(S8:T16)</f>
        <v>0</v>
      </c>
      <c r="T17" s="1579"/>
      <c r="V17" s="2884">
        <f>SUM(V8:V16)</f>
        <v>0</v>
      </c>
      <c r="W17" s="2885"/>
      <c r="X17" s="2886"/>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4">
        <v>0</v>
      </c>
      <c r="H19" s="2875"/>
      <c r="J19" s="387"/>
      <c r="K19" s="384"/>
      <c r="L19" s="387"/>
      <c r="M19" s="387"/>
      <c r="N19" s="384"/>
      <c r="P19" s="387"/>
      <c r="Q19" s="384"/>
      <c r="S19" s="2874">
        <f>G19</f>
        <v>0</v>
      </c>
      <c r="T19" s="2875"/>
      <c r="V19" s="2876"/>
      <c r="W19" s="2877"/>
      <c r="X19" s="2878"/>
    </row>
    <row r="20" spans="2:24" s="329" customFormat="1" ht="12.6" customHeight="1">
      <c r="B20" s="329" t="s">
        <v>1157</v>
      </c>
      <c r="G20" s="2874">
        <v>0</v>
      </c>
      <c r="H20" s="2875"/>
      <c r="J20" s="387"/>
      <c r="K20" s="384"/>
      <c r="L20" s="387"/>
      <c r="M20" s="387"/>
      <c r="N20" s="384"/>
      <c r="P20" s="387"/>
      <c r="Q20" s="384"/>
      <c r="S20" s="2874">
        <f>G20</f>
        <v>0</v>
      </c>
      <c r="T20" s="2875"/>
      <c r="V20" s="2876"/>
      <c r="W20" s="2879"/>
      <c r="X20" s="2880"/>
    </row>
    <row r="21" spans="2:24" s="329" customFormat="1" ht="12.6" customHeight="1">
      <c r="B21" s="329" t="s">
        <v>475</v>
      </c>
      <c r="G21" s="2874">
        <v>10000</v>
      </c>
      <c r="H21" s="2875"/>
      <c r="J21" s="387"/>
      <c r="K21" s="384"/>
      <c r="L21" s="387"/>
      <c r="M21" s="2874">
        <f>G21</f>
        <v>10000</v>
      </c>
      <c r="N21" s="2875"/>
      <c r="P21" s="387"/>
      <c r="Q21" s="384"/>
      <c r="S21" s="2874">
        <v>0</v>
      </c>
      <c r="T21" s="2875"/>
      <c r="V21" s="2876"/>
      <c r="W21" s="2879"/>
      <c r="X21" s="2880"/>
    </row>
    <row r="22" spans="2:24" s="329" customFormat="1" ht="12.6" customHeight="1" thickBot="1">
      <c r="B22" s="329" t="s">
        <v>445</v>
      </c>
      <c r="G22" s="2887">
        <v>2390000</v>
      </c>
      <c r="H22" s="2888"/>
      <c r="J22" s="387"/>
      <c r="K22" s="384"/>
      <c r="L22" s="387"/>
      <c r="M22" s="2887">
        <f>G22</f>
        <v>2390000</v>
      </c>
      <c r="N22" s="2888"/>
      <c r="P22" s="387"/>
      <c r="Q22" s="384"/>
      <c r="S22" s="2874">
        <v>0</v>
      </c>
      <c r="T22" s="2875"/>
      <c r="V22" s="2876"/>
      <c r="W22" s="2879"/>
      <c r="X22" s="2880"/>
    </row>
    <row r="23" spans="2:24" s="329" customFormat="1" ht="12.6" customHeight="1" thickTop="1">
      <c r="F23" s="385" t="s">
        <v>197</v>
      </c>
      <c r="G23" s="1578">
        <f>SUM(G19:H22)</f>
        <v>2400000</v>
      </c>
      <c r="H23" s="1579"/>
      <c r="J23" s="387"/>
      <c r="K23" s="384"/>
      <c r="L23" s="387"/>
      <c r="M23" s="1578">
        <f>SUM(M21:N22)</f>
        <v>2400000</v>
      </c>
      <c r="N23" s="1579"/>
      <c r="P23" s="387"/>
      <c r="Q23" s="384"/>
      <c r="S23" s="1578">
        <f>SUM(S19:T22)</f>
        <v>0</v>
      </c>
      <c r="T23" s="1579"/>
      <c r="V23" s="2884">
        <f>SUM(V19:V22)</f>
        <v>0</v>
      </c>
      <c r="W23" s="2885"/>
      <c r="X23" s="2886"/>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4">
        <v>537792</v>
      </c>
      <c r="H25" s="2875"/>
      <c r="J25" s="2882"/>
      <c r="K25" s="2883"/>
      <c r="L25" s="1407"/>
      <c r="M25" s="2882"/>
      <c r="N25" s="2883"/>
      <c r="P25" s="2882">
        <f>G25</f>
        <v>537792</v>
      </c>
      <c r="Q25" s="2883"/>
      <c r="S25" s="2874"/>
      <c r="T25" s="2875"/>
      <c r="V25" s="2876"/>
      <c r="W25" s="2877"/>
      <c r="X25" s="2878"/>
    </row>
    <row r="26" spans="2:24" s="329" customFormat="1" ht="12.6" customHeight="1" thickBot="1">
      <c r="B26" s="329" t="s">
        <v>1160</v>
      </c>
      <c r="G26" s="2874">
        <v>0</v>
      </c>
      <c r="H26" s="2875"/>
      <c r="J26" s="2882"/>
      <c r="K26" s="2883"/>
      <c r="L26" s="388"/>
      <c r="M26" s="1622"/>
      <c r="N26" s="1622"/>
      <c r="P26" s="1622"/>
      <c r="Q26" s="1622"/>
      <c r="S26" s="2874">
        <f>G26</f>
        <v>0</v>
      </c>
      <c r="T26" s="2875"/>
      <c r="V26" s="2876"/>
      <c r="W26" s="2879"/>
      <c r="X26" s="2880"/>
    </row>
    <row r="27" spans="2:24" s="329" customFormat="1" ht="12.6" customHeight="1" thickTop="1">
      <c r="F27" s="385" t="s">
        <v>197</v>
      </c>
      <c r="G27" s="1578">
        <f>SUM(G25:H26)</f>
        <v>537792</v>
      </c>
      <c r="H27" s="1579"/>
      <c r="J27" s="1578">
        <f>SUM(J25:K26)</f>
        <v>0</v>
      </c>
      <c r="K27" s="1579"/>
      <c r="L27" s="387"/>
      <c r="M27" s="1578">
        <f>M25</f>
        <v>0</v>
      </c>
      <c r="N27" s="1579"/>
      <c r="P27" s="1578">
        <f>P25</f>
        <v>537792</v>
      </c>
      <c r="Q27" s="1579"/>
      <c r="S27" s="1578">
        <f>SUM(S25:T26)</f>
        <v>0</v>
      </c>
      <c r="T27" s="1579"/>
      <c r="V27" s="2884">
        <f>SUM(V25:V26)</f>
        <v>0</v>
      </c>
      <c r="W27" s="2885"/>
      <c r="X27" s="2886"/>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4">
        <v>0</v>
      </c>
      <c r="H29" s="2875"/>
      <c r="J29" s="2874"/>
      <c r="K29" s="2875"/>
      <c r="L29" s="1407"/>
      <c r="M29" s="2874"/>
      <c r="N29" s="2875"/>
      <c r="P29" s="2874">
        <f>G29</f>
        <v>0</v>
      </c>
      <c r="Q29" s="2875"/>
      <c r="S29" s="2874"/>
      <c r="T29" s="2875"/>
      <c r="V29" s="2876"/>
      <c r="W29" s="2877"/>
      <c r="X29" s="2878"/>
    </row>
    <row r="30" spans="2:24" s="329" customFormat="1" ht="12.6" customHeight="1">
      <c r="B30" s="329" t="s">
        <v>1163</v>
      </c>
      <c r="G30" s="2874">
        <v>3256930</v>
      </c>
      <c r="H30" s="2875"/>
      <c r="J30" s="2874"/>
      <c r="K30" s="2875"/>
      <c r="L30" s="1407"/>
      <c r="M30" s="2874"/>
      <c r="N30" s="2875"/>
      <c r="P30" s="2874">
        <f t="shared" ref="P30:P32" si="1">G30</f>
        <v>3256930</v>
      </c>
      <c r="Q30" s="2875"/>
      <c r="S30" s="2874"/>
      <c r="T30" s="2875"/>
      <c r="V30" s="2876"/>
      <c r="W30" s="2879"/>
      <c r="X30" s="2880"/>
    </row>
    <row r="31" spans="2:24" s="329" customFormat="1" ht="12.6" customHeight="1">
      <c r="B31" s="329" t="s">
        <v>2897</v>
      </c>
      <c r="G31" s="2874">
        <v>0</v>
      </c>
      <c r="H31" s="2875"/>
      <c r="J31" s="2874"/>
      <c r="K31" s="2875"/>
      <c r="L31" s="1407"/>
      <c r="M31" s="2874"/>
      <c r="N31" s="2875"/>
      <c r="P31" s="2874">
        <f t="shared" si="1"/>
        <v>0</v>
      </c>
      <c r="Q31" s="2875"/>
      <c r="S31" s="2874"/>
      <c r="T31" s="2875"/>
      <c r="V31" s="2876"/>
      <c r="W31" s="2879"/>
      <c r="X31" s="2880"/>
    </row>
    <row r="32" spans="2:24" ht="12.6" customHeight="1" thickBot="1">
      <c r="B32" s="329" t="s">
        <v>2896</v>
      </c>
      <c r="G32" s="2874">
        <v>150000</v>
      </c>
      <c r="H32" s="2875"/>
      <c r="I32" s="329"/>
      <c r="J32" s="2874"/>
      <c r="K32" s="2875"/>
      <c r="L32" s="1407"/>
      <c r="M32" s="2874"/>
      <c r="N32" s="2875"/>
      <c r="O32" s="329"/>
      <c r="P32" s="2874">
        <f t="shared" si="1"/>
        <v>150000</v>
      </c>
      <c r="Q32" s="2875"/>
      <c r="R32" s="329"/>
      <c r="S32" s="2874"/>
      <c r="T32" s="2875"/>
      <c r="V32" s="2876"/>
      <c r="W32" s="2879"/>
      <c r="X32" s="2880"/>
    </row>
    <row r="33" spans="1:24" s="329" customFormat="1" ht="12.6" customHeight="1" thickTop="1">
      <c r="C33" s="1577"/>
      <c r="D33" s="1577"/>
      <c r="E33" s="1411"/>
      <c r="F33" s="385" t="s">
        <v>197</v>
      </c>
      <c r="G33" s="1578">
        <f>SUM(G29:H32)</f>
        <v>3406930</v>
      </c>
      <c r="H33" s="1579"/>
      <c r="J33" s="1578">
        <f>SUM(J29:K32)</f>
        <v>0</v>
      </c>
      <c r="K33" s="1579"/>
      <c r="L33" s="1407"/>
      <c r="M33" s="1578">
        <f>SUM(M29:N32)</f>
        <v>0</v>
      </c>
      <c r="N33" s="1579"/>
      <c r="P33" s="1578">
        <f>SUM(P29:Q32)</f>
        <v>3406930</v>
      </c>
      <c r="Q33" s="1579"/>
      <c r="S33" s="1578">
        <f>SUM(S29:T32)</f>
        <v>0</v>
      </c>
      <c r="T33" s="1579"/>
      <c r="V33" s="2884">
        <f>SUM(V29:V32)</f>
        <v>0</v>
      </c>
      <c r="W33" s="2885"/>
      <c r="X33" s="2886"/>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236683.31999999998</v>
      </c>
      <c r="G35" s="2874">
        <v>236683</v>
      </c>
      <c r="H35" s="2875"/>
      <c r="I35" s="348"/>
      <c r="J35" s="2874"/>
      <c r="K35" s="2875"/>
      <c r="L35" s="1407"/>
      <c r="M35" s="2874"/>
      <c r="N35" s="2875"/>
      <c r="P35" s="2874">
        <f>G35</f>
        <v>236683</v>
      </c>
      <c r="Q35" s="2875"/>
      <c r="S35" s="2874"/>
      <c r="T35" s="2875"/>
      <c r="V35" s="2876"/>
      <c r="W35" s="2877"/>
      <c r="X35" s="2878"/>
    </row>
    <row r="36" spans="1:24" s="329" customFormat="1" ht="12.6" customHeight="1">
      <c r="B36" s="329" t="s">
        <v>2850</v>
      </c>
      <c r="E36" s="443">
        <f>'DCA Underwriting Assumptions'!$R$81</f>
        <v>0.02</v>
      </c>
      <c r="F36" s="444">
        <f>E36*(G27+G33)</f>
        <v>78894.44</v>
      </c>
      <c r="G36" s="2874">
        <v>78894</v>
      </c>
      <c r="H36" s="2875"/>
      <c r="I36" s="348"/>
      <c r="J36" s="2874"/>
      <c r="K36" s="2875"/>
      <c r="L36" s="1407"/>
      <c r="M36" s="2874"/>
      <c r="N36" s="2875"/>
      <c r="P36" s="2874">
        <f t="shared" ref="P36:P37" si="2">G36</f>
        <v>78894</v>
      </c>
      <c r="Q36" s="2875"/>
      <c r="S36" s="2874"/>
      <c r="T36" s="2875"/>
      <c r="V36" s="2876"/>
      <c r="W36" s="2879"/>
      <c r="X36" s="2880"/>
    </row>
    <row r="37" spans="1:24" s="329" customFormat="1" ht="12.6" customHeight="1" thickBot="1">
      <c r="B37" s="329" t="s">
        <v>2851</v>
      </c>
      <c r="E37" s="443">
        <f>'DCA Underwriting Assumptions'!$R$82</f>
        <v>0.06</v>
      </c>
      <c r="F37" s="444">
        <f>E37*(G27+G33)</f>
        <v>236683.31999999998</v>
      </c>
      <c r="G37" s="2874">
        <v>236683</v>
      </c>
      <c r="H37" s="2875"/>
      <c r="I37" s="348"/>
      <c r="J37" s="2874"/>
      <c r="K37" s="2875"/>
      <c r="L37" s="1407"/>
      <c r="M37" s="2874"/>
      <c r="N37" s="2875"/>
      <c r="P37" s="2874">
        <f t="shared" si="2"/>
        <v>236683</v>
      </c>
      <c r="Q37" s="2875"/>
      <c r="S37" s="2874"/>
      <c r="T37" s="2875"/>
      <c r="V37" s="2876"/>
      <c r="W37" s="2879"/>
      <c r="X37" s="2880"/>
    </row>
    <row r="38" spans="1:24" s="329" customFormat="1" ht="12.6" customHeight="1" thickTop="1">
      <c r="B38" s="329" t="s">
        <v>2117</v>
      </c>
      <c r="D38" s="392"/>
      <c r="E38" s="1399"/>
      <c r="F38" s="445" t="s">
        <v>197</v>
      </c>
      <c r="G38" s="1578">
        <f>SUM(G35:H37)</f>
        <v>552260</v>
      </c>
      <c r="H38" s="1579"/>
      <c r="J38" s="1578">
        <f>SUM(J35:K37)</f>
        <v>0</v>
      </c>
      <c r="K38" s="1579"/>
      <c r="L38" s="387"/>
      <c r="M38" s="1578">
        <f>SUM(M35:N37)</f>
        <v>0</v>
      </c>
      <c r="N38" s="1579"/>
      <c r="P38" s="1578">
        <f>SUM(P35:Q37)</f>
        <v>552260</v>
      </c>
      <c r="Q38" s="1579"/>
      <c r="S38" s="1578">
        <f>SUM(S35:T37)</f>
        <v>0</v>
      </c>
      <c r="T38" s="1579"/>
      <c r="V38" s="2884">
        <f>SUM(V35:V37)</f>
        <v>0</v>
      </c>
      <c r="W38" s="2885"/>
      <c r="X38" s="2886"/>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8" t="s">
        <v>4191</v>
      </c>
      <c r="D41" s="2889"/>
      <c r="E41" s="2889"/>
      <c r="F41" s="2890"/>
      <c r="G41" s="2874"/>
      <c r="H41" s="2875"/>
      <c r="I41" s="329"/>
      <c r="J41" s="2874"/>
      <c r="K41" s="2875"/>
      <c r="L41" s="1407"/>
      <c r="M41" s="2874"/>
      <c r="N41" s="2875"/>
      <c r="O41" s="329"/>
      <c r="P41" s="2874"/>
      <c r="Q41" s="2875"/>
      <c r="R41" s="329"/>
      <c r="S41" s="2874"/>
      <c r="T41" s="2875"/>
      <c r="V41" s="2876"/>
      <c r="W41" s="2877"/>
      <c r="X41" s="2878"/>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9"/>
      <c r="X42" s="2880"/>
    </row>
    <row r="43" spans="1:24" s="329" customFormat="1" ht="12.6" customHeight="1">
      <c r="B43" s="584" t="s">
        <v>2860</v>
      </c>
      <c r="C43" s="585"/>
      <c r="E43" s="1632" t="s">
        <v>2859</v>
      </c>
      <c r="F43" s="1408">
        <f>B44/'Part VI-Revenues &amp; Expenses'!$O$60</f>
        <v>64242.6</v>
      </c>
      <c r="G43" s="582" t="s">
        <v>2888</v>
      </c>
      <c r="H43" s="544"/>
      <c r="I43" s="544"/>
      <c r="J43" s="1629">
        <f>B44/'Part VI-Revenues &amp; Expenses'!$O$62</f>
        <v>64242.6</v>
      </c>
      <c r="K43" s="1629"/>
      <c r="L43" s="544"/>
      <c r="M43" s="1631" t="s">
        <v>1454</v>
      </c>
      <c r="N43" s="1631"/>
      <c r="O43" s="544"/>
      <c r="P43" s="1629">
        <f>B44/'Part I-Project Information'!$P$60</f>
        <v>79.228012684989423</v>
      </c>
      <c r="Q43" s="1629"/>
      <c r="R43" s="544"/>
      <c r="S43" s="1641" t="s">
        <v>2895</v>
      </c>
      <c r="T43" s="1642"/>
      <c r="W43" s="2879"/>
      <c r="X43" s="2880"/>
    </row>
    <row r="44" spans="1:24" s="329" customFormat="1" ht="12.6" customHeight="1">
      <c r="B44" s="1635">
        <f>G27+G33+G38+G41</f>
        <v>4496982</v>
      </c>
      <c r="C44" s="1636"/>
      <c r="E44" s="1633"/>
      <c r="F44" s="1409">
        <f>B44/'Part VI-Revenues &amp; Expenses'!$O$117</f>
        <v>83.339177168272798</v>
      </c>
      <c r="G44" s="583" t="s">
        <v>2889</v>
      </c>
      <c r="H44" s="1405"/>
      <c r="I44" s="1405"/>
      <c r="J44" s="1630">
        <f>B44/'Part VI-Revenues &amp; Expenses'!$O$119</f>
        <v>83.339177168272798</v>
      </c>
      <c r="K44" s="1630"/>
      <c r="L44" s="1405"/>
      <c r="M44" s="1628" t="s">
        <v>2894</v>
      </c>
      <c r="N44" s="1628"/>
      <c r="O44" s="1405"/>
      <c r="P44" s="1405"/>
      <c r="Q44" s="1405"/>
      <c r="R44" s="1405"/>
      <c r="S44" s="1405"/>
      <c r="T44" s="377"/>
      <c r="W44" s="2885"/>
      <c r="X44" s="2886"/>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4"/>
      <c r="F47" s="389">
        <f>G47/B44</f>
        <v>6.9999835445194128E-2</v>
      </c>
      <c r="G47" s="2874">
        <v>314788</v>
      </c>
      <c r="H47" s="2875"/>
      <c r="I47" s="329"/>
      <c r="J47" s="2874"/>
      <c r="K47" s="2875"/>
      <c r="L47" s="1407"/>
      <c r="M47" s="2874"/>
      <c r="N47" s="2875"/>
      <c r="O47" s="329"/>
      <c r="P47" s="2874">
        <f>G47</f>
        <v>314788</v>
      </c>
      <c r="Q47" s="2875"/>
      <c r="R47" s="329"/>
      <c r="S47" s="2874"/>
      <c r="T47" s="2875"/>
      <c r="V47" s="2876"/>
      <c r="W47" s="2891"/>
      <c r="X47" s="2892"/>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399"/>
      <c r="I50" s="1399"/>
      <c r="J50" s="1569" t="s">
        <v>283</v>
      </c>
      <c r="K50" s="1570"/>
      <c r="L50" s="384"/>
      <c r="M50" s="1573" t="s">
        <v>507</v>
      </c>
      <c r="N50" s="1574"/>
      <c r="P50" s="1569" t="s">
        <v>284</v>
      </c>
      <c r="Q50" s="1570"/>
      <c r="S50" s="1569" t="s">
        <v>285</v>
      </c>
      <c r="T50" s="1570"/>
      <c r="W50" s="474" t="str">
        <f>B50</f>
        <v>DEVELOPMENT BUDGET (cont'd)</v>
      </c>
    </row>
    <row r="51" spans="1:24" s="329" customFormat="1" ht="18.75" customHeight="1" thickBot="1">
      <c r="G51" s="1626" t="s">
        <v>103</v>
      </c>
      <c r="H51" s="1627"/>
      <c r="J51" s="1571"/>
      <c r="K51" s="1572"/>
      <c r="L51" s="384"/>
      <c r="M51" s="1575"/>
      <c r="N51" s="1576"/>
      <c r="P51" s="1571"/>
      <c r="Q51" s="1572"/>
      <c r="S51" s="1571"/>
      <c r="T51" s="1572"/>
      <c r="W51" s="1643" t="s">
        <v>2778</v>
      </c>
      <c r="X51" s="1643"/>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4"/>
      <c r="H53" s="2875"/>
      <c r="J53" s="2874"/>
      <c r="K53" s="2875"/>
      <c r="L53" s="1407"/>
      <c r="M53" s="2874"/>
      <c r="N53" s="2875"/>
      <c r="P53" s="2874">
        <f>G53</f>
        <v>0</v>
      </c>
      <c r="Q53" s="2875"/>
      <c r="S53" s="2874"/>
      <c r="T53" s="2875"/>
      <c r="V53" s="2893"/>
      <c r="W53" s="2894"/>
      <c r="X53" s="2895"/>
    </row>
    <row r="54" spans="1:24" s="329" customFormat="1" ht="12" customHeight="1">
      <c r="B54" s="329" t="s">
        <v>2427</v>
      </c>
      <c r="G54" s="2874">
        <f>5000+1500+4800+8000</f>
        <v>19300</v>
      </c>
      <c r="H54" s="2875"/>
      <c r="J54" s="2874"/>
      <c r="K54" s="2875"/>
      <c r="L54" s="1407"/>
      <c r="M54" s="2874"/>
      <c r="N54" s="2875"/>
      <c r="P54" s="2874">
        <f t="shared" ref="P54:P63" si="3">G54</f>
        <v>19300</v>
      </c>
      <c r="Q54" s="2875"/>
      <c r="S54" s="2874"/>
      <c r="T54" s="2875"/>
      <c r="V54" s="2893"/>
      <c r="W54" s="2896"/>
      <c r="X54" s="2897"/>
    </row>
    <row r="55" spans="1:24" s="329" customFormat="1" ht="12" customHeight="1">
      <c r="B55" s="329" t="s">
        <v>2428</v>
      </c>
      <c r="G55" s="2874">
        <v>41935</v>
      </c>
      <c r="H55" s="2875"/>
      <c r="J55" s="2874"/>
      <c r="K55" s="2875"/>
      <c r="L55" s="1407"/>
      <c r="M55" s="2874"/>
      <c r="N55" s="2875"/>
      <c r="P55" s="2874">
        <f t="shared" si="3"/>
        <v>41935</v>
      </c>
      <c r="Q55" s="2875"/>
      <c r="S55" s="2874"/>
      <c r="T55" s="2875"/>
      <c r="V55" s="2893"/>
      <c r="W55" s="2896"/>
      <c r="X55" s="2897"/>
    </row>
    <row r="56" spans="1:24" s="329" customFormat="1" ht="12" customHeight="1">
      <c r="B56" s="329" t="s">
        <v>2429</v>
      </c>
      <c r="G56" s="2874"/>
      <c r="H56" s="2875"/>
      <c r="J56" s="2874"/>
      <c r="K56" s="2875"/>
      <c r="L56" s="1407"/>
      <c r="M56" s="2874"/>
      <c r="N56" s="2875"/>
      <c r="P56" s="2874">
        <f t="shared" si="3"/>
        <v>0</v>
      </c>
      <c r="Q56" s="2875"/>
      <c r="S56" s="2874"/>
      <c r="T56" s="2875"/>
      <c r="V56" s="2893"/>
      <c r="W56" s="2896"/>
      <c r="X56" s="2897"/>
    </row>
    <row r="57" spans="1:24" s="329" customFormat="1" ht="12" customHeight="1">
      <c r="B57" s="329" t="s">
        <v>2787</v>
      </c>
      <c r="G57" s="2874"/>
      <c r="H57" s="2875"/>
      <c r="J57" s="2874"/>
      <c r="K57" s="2875"/>
      <c r="L57" s="1407"/>
      <c r="M57" s="2874"/>
      <c r="N57" s="2875"/>
      <c r="P57" s="2874">
        <f t="shared" si="3"/>
        <v>0</v>
      </c>
      <c r="Q57" s="2875"/>
      <c r="S57" s="2874"/>
      <c r="T57" s="2875"/>
      <c r="V57" s="2893"/>
      <c r="W57" s="2896"/>
      <c r="X57" s="2897"/>
    </row>
    <row r="58" spans="1:24" s="329" customFormat="1" ht="12" customHeight="1">
      <c r="B58" s="329" t="s">
        <v>753</v>
      </c>
      <c r="G58" s="2874"/>
      <c r="H58" s="2875"/>
      <c r="J58" s="2874"/>
      <c r="K58" s="2875"/>
      <c r="L58" s="1407"/>
      <c r="M58" s="2874"/>
      <c r="N58" s="2875"/>
      <c r="P58" s="2874">
        <f t="shared" si="3"/>
        <v>0</v>
      </c>
      <c r="Q58" s="2875"/>
      <c r="S58" s="2874"/>
      <c r="T58" s="2875"/>
      <c r="V58" s="2893"/>
      <c r="W58" s="2896"/>
      <c r="X58" s="2897"/>
    </row>
    <row r="59" spans="1:24" s="329" customFormat="1" ht="12" customHeight="1">
      <c r="B59" s="329" t="s">
        <v>2430</v>
      </c>
      <c r="G59" s="2874"/>
      <c r="H59" s="2875"/>
      <c r="J59" s="2874"/>
      <c r="K59" s="2875"/>
      <c r="L59" s="1407"/>
      <c r="M59" s="2874"/>
      <c r="N59" s="2875"/>
      <c r="P59" s="2874">
        <f t="shared" si="3"/>
        <v>0</v>
      </c>
      <c r="Q59" s="2875"/>
      <c r="S59" s="2874"/>
      <c r="T59" s="2875"/>
      <c r="V59" s="2893"/>
      <c r="W59" s="2896"/>
      <c r="X59" s="2897"/>
    </row>
    <row r="60" spans="1:24" s="329" customFormat="1" ht="12" customHeight="1">
      <c r="B60" s="329" t="s">
        <v>1323</v>
      </c>
      <c r="G60" s="2874">
        <v>10000</v>
      </c>
      <c r="H60" s="2875"/>
      <c r="J60" s="2874"/>
      <c r="K60" s="2875"/>
      <c r="L60" s="1407"/>
      <c r="M60" s="2874"/>
      <c r="N60" s="2875"/>
      <c r="P60" s="2874">
        <f t="shared" si="3"/>
        <v>10000</v>
      </c>
      <c r="Q60" s="2875"/>
      <c r="S60" s="2874"/>
      <c r="T60" s="2875"/>
      <c r="V60" s="2893"/>
      <c r="W60" s="2896"/>
      <c r="X60" s="2897"/>
    </row>
    <row r="61" spans="1:24" s="329" customFormat="1" ht="12" customHeight="1">
      <c r="B61" s="391" t="s">
        <v>1195</v>
      </c>
      <c r="D61" s="389"/>
      <c r="E61" s="389"/>
      <c r="F61" s="390"/>
      <c r="G61" s="2874">
        <v>25000</v>
      </c>
      <c r="H61" s="2875"/>
      <c r="I61" s="348"/>
      <c r="J61" s="2874"/>
      <c r="K61" s="2875"/>
      <c r="L61" s="1407"/>
      <c r="M61" s="2874"/>
      <c r="N61" s="2875"/>
      <c r="P61" s="2874">
        <f t="shared" si="3"/>
        <v>25000</v>
      </c>
      <c r="Q61" s="2875"/>
      <c r="S61" s="2874"/>
      <c r="T61" s="2875"/>
      <c r="V61" s="2893"/>
      <c r="W61" s="2896"/>
      <c r="X61" s="2897"/>
    </row>
    <row r="62" spans="1:24" s="329" customFormat="1" ht="12" customHeight="1">
      <c r="A62" s="412" t="str">
        <f>IF(AND(G62&gt;0,OR(C62="",C62="&lt;Enter detailed description here; use Comments section if needed&gt;")),"X","")</f>
        <v/>
      </c>
      <c r="B62" s="329" t="s">
        <v>771</v>
      </c>
      <c r="C62" s="2638" t="s">
        <v>4191</v>
      </c>
      <c r="D62" s="2638"/>
      <c r="E62" s="2638"/>
      <c r="F62" s="2639"/>
      <c r="G62" s="2874"/>
      <c r="H62" s="2875"/>
      <c r="J62" s="2874"/>
      <c r="K62" s="2875"/>
      <c r="L62" s="1407"/>
      <c r="M62" s="2874"/>
      <c r="N62" s="2875"/>
      <c r="P62" s="2874">
        <f t="shared" si="3"/>
        <v>0</v>
      </c>
      <c r="Q62" s="2875"/>
      <c r="S62" s="2874"/>
      <c r="T62" s="2875"/>
      <c r="U62" s="411" t="str">
        <f>IF(AND(G62&gt;0,OR(C62="",C62="&lt;Enter detailed description here; use Comments section if needed&gt;")),"NO DESCRIPTION PROVIDED - please enter detailed description in Other box at left; use Comments section below if needed.","")</f>
        <v/>
      </c>
      <c r="V62" s="2893"/>
      <c r="W62" s="2896"/>
      <c r="X62" s="2897"/>
    </row>
    <row r="63" spans="1:24" s="329" customFormat="1" ht="12" customHeight="1" thickBot="1">
      <c r="A63" s="412" t="str">
        <f>IF(AND(G63&gt;0,OR(C63="",C63="&lt;Enter detailed description here; use Comments section if needed&gt;")),"X","")</f>
        <v/>
      </c>
      <c r="B63" s="329" t="s">
        <v>771</v>
      </c>
      <c r="C63" s="2638" t="s">
        <v>4191</v>
      </c>
      <c r="D63" s="2638"/>
      <c r="E63" s="2638"/>
      <c r="F63" s="2639"/>
      <c r="G63" s="2874"/>
      <c r="H63" s="2875"/>
      <c r="J63" s="2874"/>
      <c r="K63" s="2875"/>
      <c r="L63" s="1407"/>
      <c r="M63" s="2874"/>
      <c r="N63" s="2875"/>
      <c r="P63" s="2874">
        <f t="shared" si="3"/>
        <v>0</v>
      </c>
      <c r="Q63" s="2875"/>
      <c r="S63" s="2874"/>
      <c r="T63" s="2875"/>
      <c r="U63" s="411" t="str">
        <f>IF(AND(G63&gt;0,OR(C63="",C63="&lt;Enter detailed description here; use Comments section if needed&gt;")),"NO DESCRIPTION PROVIDED - please enter detailed description in Other box at left; use Comments section below if needed.","")</f>
        <v/>
      </c>
      <c r="V63" s="2893"/>
      <c r="W63" s="2896"/>
      <c r="X63" s="2897"/>
    </row>
    <row r="64" spans="1:24" s="329" customFormat="1" ht="12" customHeight="1" thickTop="1">
      <c r="F64" s="385" t="s">
        <v>197</v>
      </c>
      <c r="G64" s="1578">
        <f>SUM(G53:H63)</f>
        <v>96235</v>
      </c>
      <c r="H64" s="1579"/>
      <c r="J64" s="1578">
        <f>SUM(J53:K63)</f>
        <v>0</v>
      </c>
      <c r="K64" s="1579"/>
      <c r="L64" s="387"/>
      <c r="M64" s="1578">
        <f>SUM(M53:N63)</f>
        <v>0</v>
      </c>
      <c r="N64" s="1579"/>
      <c r="P64" s="1578">
        <f>SUM(P53:Q63)</f>
        <v>96235</v>
      </c>
      <c r="Q64" s="1579"/>
      <c r="S64" s="1578">
        <f>SUM(S53:T63)</f>
        <v>0</v>
      </c>
      <c r="T64" s="1579"/>
      <c r="V64" s="2898">
        <f>SUM(V53:V63)</f>
        <v>0</v>
      </c>
      <c r="W64" s="2899"/>
      <c r="X64" s="2900"/>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4">
        <v>100000</v>
      </c>
      <c r="H66" s="2875"/>
      <c r="J66" s="2874"/>
      <c r="K66" s="2875"/>
      <c r="L66" s="1407"/>
      <c r="M66" s="2874"/>
      <c r="N66" s="2875"/>
      <c r="P66" s="2874">
        <f>G66</f>
        <v>100000</v>
      </c>
      <c r="Q66" s="2875"/>
      <c r="S66" s="2874"/>
      <c r="T66" s="2875"/>
      <c r="V66" s="2876"/>
      <c r="W66" s="2877"/>
      <c r="X66" s="2878"/>
    </row>
    <row r="67" spans="1:24" s="329" customFormat="1" ht="12" customHeight="1">
      <c r="B67" s="329" t="s">
        <v>495</v>
      </c>
      <c r="G67" s="2874">
        <v>68000</v>
      </c>
      <c r="H67" s="2875"/>
      <c r="J67" s="2874"/>
      <c r="K67" s="2875"/>
      <c r="L67" s="1407"/>
      <c r="M67" s="2874"/>
      <c r="N67" s="2875"/>
      <c r="P67" s="2874">
        <f t="shared" ref="P67:P76" si="4">G67</f>
        <v>68000</v>
      </c>
      <c r="Q67" s="2875"/>
      <c r="S67" s="2874"/>
      <c r="T67" s="2875"/>
      <c r="V67" s="2876"/>
      <c r="W67" s="2879"/>
      <c r="X67" s="2880"/>
    </row>
    <row r="68" spans="1:24" s="329" customFormat="1" ht="12" customHeight="1">
      <c r="B68" s="329" t="s">
        <v>1166</v>
      </c>
      <c r="F68" s="329" t="s">
        <v>2874</v>
      </c>
      <c r="G68" s="2874"/>
      <c r="H68" s="2875"/>
      <c r="J68" s="2874"/>
      <c r="K68" s="2875"/>
      <c r="L68" s="1407"/>
      <c r="M68" s="2874"/>
      <c r="N68" s="2875"/>
      <c r="P68" s="2874">
        <f t="shared" si="4"/>
        <v>0</v>
      </c>
      <c r="Q68" s="2875"/>
      <c r="S68" s="2874"/>
      <c r="T68" s="2875"/>
      <c r="V68" s="2876"/>
      <c r="W68" s="2879"/>
      <c r="X68" s="2880"/>
    </row>
    <row r="69" spans="1:24" s="329" customFormat="1" ht="12" customHeight="1">
      <c r="B69" s="329" t="s">
        <v>1167</v>
      </c>
      <c r="G69" s="2874">
        <v>8000</v>
      </c>
      <c r="H69" s="2875"/>
      <c r="J69" s="2874"/>
      <c r="K69" s="2875"/>
      <c r="L69" s="1407"/>
      <c r="M69" s="2874"/>
      <c r="N69" s="2875"/>
      <c r="P69" s="2874">
        <f t="shared" si="4"/>
        <v>8000</v>
      </c>
      <c r="Q69" s="2875"/>
      <c r="S69" s="2874"/>
      <c r="T69" s="2875"/>
      <c r="V69" s="2876"/>
      <c r="W69" s="2879"/>
      <c r="X69" s="2880"/>
    </row>
    <row r="70" spans="1:24" s="329" customFormat="1" ht="12" customHeight="1">
      <c r="B70" s="329" t="s">
        <v>1168</v>
      </c>
      <c r="G70" s="2874">
        <v>10000</v>
      </c>
      <c r="H70" s="2875"/>
      <c r="J70" s="2874"/>
      <c r="K70" s="2875"/>
      <c r="L70" s="1407"/>
      <c r="M70" s="2874"/>
      <c r="N70" s="2875"/>
      <c r="P70" s="2874">
        <f t="shared" si="4"/>
        <v>10000</v>
      </c>
      <c r="Q70" s="2875"/>
      <c r="S70" s="2874"/>
      <c r="T70" s="2875"/>
      <c r="V70" s="2876"/>
      <c r="W70" s="2879"/>
      <c r="X70" s="2880"/>
    </row>
    <row r="71" spans="1:24" s="329" customFormat="1" ht="12" customHeight="1">
      <c r="B71" s="329" t="s">
        <v>1169</v>
      </c>
      <c r="G71" s="2874"/>
      <c r="H71" s="2875"/>
      <c r="J71" s="2874"/>
      <c r="K71" s="2875"/>
      <c r="L71" s="1407"/>
      <c r="M71" s="2874"/>
      <c r="N71" s="2875"/>
      <c r="P71" s="2874">
        <f t="shared" si="4"/>
        <v>0</v>
      </c>
      <c r="Q71" s="2875"/>
      <c r="S71" s="2874"/>
      <c r="T71" s="2875"/>
      <c r="V71" s="2876"/>
      <c r="W71" s="2879"/>
      <c r="X71" s="2880"/>
    </row>
    <row r="72" spans="1:24" s="329" customFormat="1" ht="12" customHeight="1">
      <c r="B72" s="329" t="s">
        <v>496</v>
      </c>
      <c r="G72" s="2874"/>
      <c r="H72" s="2875"/>
      <c r="J72" s="2874"/>
      <c r="K72" s="2875"/>
      <c r="L72" s="1407"/>
      <c r="M72" s="2874"/>
      <c r="N72" s="2875"/>
      <c r="P72" s="2874">
        <f t="shared" si="4"/>
        <v>0</v>
      </c>
      <c r="Q72" s="2875"/>
      <c r="S72" s="2874"/>
      <c r="T72" s="2875"/>
      <c r="V72" s="2876"/>
      <c r="W72" s="2879"/>
      <c r="X72" s="2880"/>
    </row>
    <row r="73" spans="1:24" s="329" customFormat="1" ht="12" customHeight="1">
      <c r="B73" s="329" t="s">
        <v>497</v>
      </c>
      <c r="G73" s="2874">
        <v>60000</v>
      </c>
      <c r="H73" s="2875"/>
      <c r="J73" s="2874"/>
      <c r="K73" s="2875"/>
      <c r="L73" s="1407"/>
      <c r="M73" s="2874"/>
      <c r="N73" s="2875"/>
      <c r="P73" s="2874">
        <f t="shared" si="4"/>
        <v>60000</v>
      </c>
      <c r="Q73" s="2875"/>
      <c r="S73" s="2874"/>
      <c r="T73" s="2875"/>
      <c r="V73" s="2876"/>
      <c r="W73" s="2879"/>
      <c r="X73" s="2880"/>
    </row>
    <row r="74" spans="1:24" s="329" customFormat="1" ht="12" customHeight="1">
      <c r="B74" s="329" t="s">
        <v>2127</v>
      </c>
      <c r="G74" s="2874">
        <v>25000</v>
      </c>
      <c r="H74" s="2875"/>
      <c r="J74" s="2874"/>
      <c r="K74" s="2875"/>
      <c r="L74" s="1407"/>
      <c r="M74" s="2874"/>
      <c r="N74" s="2875"/>
      <c r="P74" s="2874">
        <f t="shared" si="4"/>
        <v>25000</v>
      </c>
      <c r="Q74" s="2875"/>
      <c r="S74" s="2874"/>
      <c r="T74" s="2875"/>
      <c r="V74" s="2876"/>
      <c r="W74" s="2879"/>
      <c r="X74" s="2880"/>
    </row>
    <row r="75" spans="1:24" s="329" customFormat="1" ht="12" customHeight="1">
      <c r="B75" s="329" t="s">
        <v>1324</v>
      </c>
      <c r="G75" s="2874">
        <v>7500</v>
      </c>
      <c r="H75" s="2875"/>
      <c r="J75" s="2874"/>
      <c r="K75" s="2875"/>
      <c r="L75" s="1407"/>
      <c r="M75" s="2874"/>
      <c r="N75" s="2875"/>
      <c r="P75" s="2874">
        <f t="shared" si="4"/>
        <v>7500</v>
      </c>
      <c r="Q75" s="2875"/>
      <c r="S75" s="2874"/>
      <c r="T75" s="2875"/>
      <c r="V75" s="2876"/>
      <c r="W75" s="2879"/>
      <c r="X75" s="2880"/>
    </row>
    <row r="76" spans="1:24" s="329" customFormat="1" ht="12" customHeight="1" thickBot="1">
      <c r="A76" s="412" t="str">
        <f>IF(AND(G76&gt;0,OR(C76="",C76="&lt;Enter detailed description here; use Comments section if needed&gt;")),"X","")</f>
        <v/>
      </c>
      <c r="B76" s="329" t="s">
        <v>771</v>
      </c>
      <c r="C76" s="2638" t="s">
        <v>4191</v>
      </c>
      <c r="D76" s="2638"/>
      <c r="E76" s="2638"/>
      <c r="F76" s="2639"/>
      <c r="G76" s="2874">
        <v>0</v>
      </c>
      <c r="H76" s="2875"/>
      <c r="J76" s="2874"/>
      <c r="K76" s="2875"/>
      <c r="L76" s="1407"/>
      <c r="M76" s="2874"/>
      <c r="N76" s="2875"/>
      <c r="P76" s="2874">
        <f t="shared" si="4"/>
        <v>0</v>
      </c>
      <c r="Q76" s="2875"/>
      <c r="S76" s="2874"/>
      <c r="T76" s="2875"/>
      <c r="U76" s="411" t="str">
        <f>IF(AND(G76&gt;0,OR(C76="",C76="&lt;Enter detailed description here; use Comments section if needed&gt;")),"NO DESCRIPTION PROVIDED - please enter detailed description in Other box at left; use Comments section below if needed.","")</f>
        <v/>
      </c>
      <c r="V76" s="2876"/>
      <c r="W76" s="2879"/>
      <c r="X76" s="2880"/>
    </row>
    <row r="77" spans="1:24" s="329" customFormat="1" ht="12" customHeight="1" thickTop="1">
      <c r="F77" s="385" t="s">
        <v>197</v>
      </c>
      <c r="G77" s="1578">
        <f>SUM(G66:H76)</f>
        <v>278500</v>
      </c>
      <c r="H77" s="1579"/>
      <c r="J77" s="1578">
        <f>SUM(J66:K76)</f>
        <v>0</v>
      </c>
      <c r="K77" s="1579"/>
      <c r="L77" s="387"/>
      <c r="M77" s="1578">
        <f>SUM(M66:N76)</f>
        <v>0</v>
      </c>
      <c r="N77" s="1579"/>
      <c r="P77" s="1578">
        <f>SUM(P66:Q76)</f>
        <v>278500</v>
      </c>
      <c r="Q77" s="1579"/>
      <c r="S77" s="1578">
        <f>SUM(S66:T76)</f>
        <v>0</v>
      </c>
      <c r="T77" s="1579"/>
      <c r="V77" s="2884">
        <f>SUM(V66:V76)</f>
        <v>0</v>
      </c>
      <c r="W77" s="2885"/>
      <c r="X77" s="2886"/>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4">
        <v>12500</v>
      </c>
      <c r="H79" s="2875"/>
      <c r="J79" s="2874"/>
      <c r="K79" s="2875"/>
      <c r="L79" s="1407"/>
      <c r="M79" s="2874"/>
      <c r="N79" s="2875"/>
      <c r="P79" s="2874">
        <f>G79</f>
        <v>12500</v>
      </c>
      <c r="Q79" s="2875"/>
      <c r="S79" s="2874"/>
      <c r="T79" s="2875"/>
      <c r="V79" s="2876"/>
      <c r="W79" s="2901"/>
      <c r="X79" s="2902"/>
    </row>
    <row r="80" spans="1:24" s="329" customFormat="1" ht="12" customHeight="1">
      <c r="B80" s="329" t="s">
        <v>1318</v>
      </c>
      <c r="G80" s="2874">
        <v>0</v>
      </c>
      <c r="H80" s="2875"/>
      <c r="J80" s="2874"/>
      <c r="K80" s="2875"/>
      <c r="L80" s="1407"/>
      <c r="M80" s="2874"/>
      <c r="N80" s="2875"/>
      <c r="P80" s="2874">
        <f t="shared" ref="P80:P82" si="5">G80</f>
        <v>0</v>
      </c>
      <c r="Q80" s="2875"/>
      <c r="S80" s="2874"/>
      <c r="T80" s="2875"/>
      <c r="V80" s="2876"/>
      <c r="W80" s="2903"/>
      <c r="X80" s="2904"/>
    </row>
    <row r="81" spans="1:24" s="329" customFormat="1" ht="12" customHeight="1">
      <c r="B81" s="329" t="s">
        <v>1319</v>
      </c>
      <c r="D81" s="394" t="s">
        <v>1455</v>
      </c>
      <c r="E81" s="2905"/>
      <c r="G81" s="2874">
        <v>0</v>
      </c>
      <c r="H81" s="2875"/>
      <c r="I81" s="348"/>
      <c r="J81" s="2874"/>
      <c r="K81" s="2875"/>
      <c r="L81" s="1407"/>
      <c r="M81" s="2874"/>
      <c r="N81" s="2875"/>
      <c r="P81" s="2874">
        <f t="shared" si="5"/>
        <v>0</v>
      </c>
      <c r="Q81" s="2875"/>
      <c r="S81" s="2874"/>
      <c r="T81" s="2875"/>
      <c r="V81" s="2876"/>
      <c r="W81" s="2903"/>
      <c r="X81" s="2904"/>
    </row>
    <row r="82" spans="1:24" s="329" customFormat="1" ht="12" customHeight="1" thickBot="1">
      <c r="B82" s="329" t="s">
        <v>1320</v>
      </c>
      <c r="D82" s="394" t="s">
        <v>1455</v>
      </c>
      <c r="E82" s="2905"/>
      <c r="G82" s="2874">
        <v>0</v>
      </c>
      <c r="H82" s="2875"/>
      <c r="I82" s="348"/>
      <c r="J82" s="2874"/>
      <c r="K82" s="2875"/>
      <c r="L82" s="1407"/>
      <c r="M82" s="2874"/>
      <c r="N82" s="2875"/>
      <c r="P82" s="2874">
        <f t="shared" si="5"/>
        <v>0</v>
      </c>
      <c r="Q82" s="2875"/>
      <c r="S82" s="2874"/>
      <c r="T82" s="2875"/>
      <c r="V82" s="2876"/>
      <c r="W82" s="2903"/>
      <c r="X82" s="2904"/>
    </row>
    <row r="83" spans="1:24" s="329" customFormat="1" ht="12" customHeight="1" thickTop="1">
      <c r="F83" s="385" t="s">
        <v>197</v>
      </c>
      <c r="G83" s="1578">
        <f>SUM(G79:H82)</f>
        <v>12500</v>
      </c>
      <c r="H83" s="1579"/>
      <c r="J83" s="1578">
        <f>SUM(J79:K82)</f>
        <v>0</v>
      </c>
      <c r="K83" s="1579"/>
      <c r="L83" s="387"/>
      <c r="M83" s="1578">
        <f>SUM(M79:N82)</f>
        <v>0</v>
      </c>
      <c r="N83" s="1579"/>
      <c r="P83" s="1578">
        <f>SUM(P79:Q82)</f>
        <v>12500</v>
      </c>
      <c r="Q83" s="1579"/>
      <c r="S83" s="1578">
        <f>SUM(S79:T82)</f>
        <v>0</v>
      </c>
      <c r="T83" s="1579"/>
      <c r="V83" s="2884">
        <f>SUM(V79:V82)</f>
        <v>0</v>
      </c>
      <c r="W83" s="2906"/>
      <c r="X83" s="2907"/>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4">
        <f>35000</f>
        <v>35000</v>
      </c>
      <c r="H85" s="2875"/>
      <c r="J85" s="1568"/>
      <c r="K85" s="1568"/>
      <c r="L85" s="1407"/>
      <c r="M85" s="1568"/>
      <c r="N85" s="1568"/>
      <c r="P85" s="1568"/>
      <c r="Q85" s="1568"/>
      <c r="S85" s="2874">
        <f>G85</f>
        <v>35000</v>
      </c>
      <c r="T85" s="2875"/>
      <c r="V85" s="2876"/>
      <c r="W85" s="2901"/>
      <c r="X85" s="2902"/>
    </row>
    <row r="86" spans="1:24" s="329" customFormat="1" ht="12" customHeight="1">
      <c r="B86" s="329" t="s">
        <v>1322</v>
      </c>
      <c r="G86" s="2874">
        <v>30000</v>
      </c>
      <c r="H86" s="2875"/>
      <c r="J86" s="1568"/>
      <c r="K86" s="1568"/>
      <c r="L86" s="1407"/>
      <c r="M86" s="1568"/>
      <c r="N86" s="1568"/>
      <c r="P86" s="1568"/>
      <c r="Q86" s="1568"/>
      <c r="S86" s="2874">
        <f t="shared" ref="S86:S90" si="6">G86</f>
        <v>30000</v>
      </c>
      <c r="T86" s="2875"/>
      <c r="V86" s="2876"/>
      <c r="W86" s="2903"/>
      <c r="X86" s="2904"/>
    </row>
    <row r="87" spans="1:24" s="329" customFormat="1" ht="12" customHeight="1">
      <c r="B87" s="329" t="s">
        <v>1323</v>
      </c>
      <c r="G87" s="2874">
        <v>0</v>
      </c>
      <c r="H87" s="2875"/>
      <c r="J87" s="1568"/>
      <c r="K87" s="1568"/>
      <c r="L87" s="1407"/>
      <c r="M87" s="1568"/>
      <c r="N87" s="1568"/>
      <c r="P87" s="1568"/>
      <c r="Q87" s="1568"/>
      <c r="S87" s="2874">
        <f t="shared" si="6"/>
        <v>0</v>
      </c>
      <c r="T87" s="2875"/>
      <c r="V87" s="2876"/>
      <c r="W87" s="2903"/>
      <c r="X87" s="2904"/>
    </row>
    <row r="88" spans="1:24" s="329" customFormat="1" ht="12" customHeight="1">
      <c r="B88" s="329" t="s">
        <v>1325</v>
      </c>
      <c r="G88" s="2874">
        <v>0</v>
      </c>
      <c r="H88" s="2875"/>
      <c r="J88" s="1568"/>
      <c r="K88" s="1568"/>
      <c r="L88" s="1407"/>
      <c r="M88" s="1568"/>
      <c r="N88" s="1568"/>
      <c r="P88" s="1568"/>
      <c r="Q88" s="1568"/>
      <c r="S88" s="2874">
        <f t="shared" si="6"/>
        <v>0</v>
      </c>
      <c r="T88" s="2875"/>
      <c r="V88" s="2876"/>
      <c r="W88" s="2903"/>
      <c r="X88" s="2904"/>
    </row>
    <row r="89" spans="1:24" s="329" customFormat="1" ht="12" customHeight="1">
      <c r="B89" s="329" t="s">
        <v>2378</v>
      </c>
      <c r="G89" s="2874">
        <v>50000</v>
      </c>
      <c r="H89" s="2875"/>
      <c r="J89" s="1568"/>
      <c r="K89" s="1568"/>
      <c r="L89" s="1407"/>
      <c r="M89" s="1568"/>
      <c r="N89" s="1568"/>
      <c r="P89" s="1568"/>
      <c r="Q89" s="1568"/>
      <c r="S89" s="2874">
        <f t="shared" si="6"/>
        <v>50000</v>
      </c>
      <c r="T89" s="2875"/>
      <c r="V89" s="2876"/>
      <c r="W89" s="2903"/>
      <c r="X89" s="2904"/>
    </row>
    <row r="90" spans="1:24" s="329" customFormat="1" ht="12" customHeight="1" thickBot="1">
      <c r="A90" s="412" t="str">
        <f>IF(AND(G90&gt;0,OR(C90="",C90="&lt;Enter detailed description here; use Comments section if needed&gt;")),"X","")</f>
        <v/>
      </c>
      <c r="B90" s="329" t="s">
        <v>771</v>
      </c>
      <c r="C90" s="2638" t="s">
        <v>4191</v>
      </c>
      <c r="D90" s="2638"/>
      <c r="E90" s="2638"/>
      <c r="F90" s="2639"/>
      <c r="G90" s="2874">
        <v>0</v>
      </c>
      <c r="H90" s="2875"/>
      <c r="J90" s="1568"/>
      <c r="K90" s="1568"/>
      <c r="L90" s="1407"/>
      <c r="M90" s="1568"/>
      <c r="N90" s="1568"/>
      <c r="P90" s="1568"/>
      <c r="Q90" s="1568"/>
      <c r="S90" s="2874">
        <f t="shared" si="6"/>
        <v>0</v>
      </c>
      <c r="T90" s="2875"/>
      <c r="U90" s="411" t="str">
        <f>IF(AND(G90&gt;0,OR(C90="",C90="&lt;Enter detailed description here; use Comments section if needed&gt;")),"NO DESCRIPTION PROVIDED - please enter detailed description in Other box at left; use Comments section below if needed.","")</f>
        <v/>
      </c>
      <c r="V90" s="2876"/>
      <c r="W90" s="2903"/>
      <c r="X90" s="2904"/>
    </row>
    <row r="91" spans="1:24" s="329" customFormat="1" ht="12" customHeight="1" thickTop="1">
      <c r="F91" s="385" t="s">
        <v>197</v>
      </c>
      <c r="G91" s="1578">
        <f>SUM(G85:H90)</f>
        <v>115000</v>
      </c>
      <c r="H91" s="1579"/>
      <c r="J91" s="1568"/>
      <c r="K91" s="1568"/>
      <c r="L91" s="387"/>
      <c r="M91" s="1568"/>
      <c r="N91" s="1568"/>
      <c r="P91" s="1568"/>
      <c r="Q91" s="1568"/>
      <c r="S91" s="1578">
        <f>SUM(S85:T90)</f>
        <v>115000</v>
      </c>
      <c r="T91" s="1579"/>
      <c r="V91" s="2884">
        <f>SUM(V85:V90)</f>
        <v>0</v>
      </c>
      <c r="W91" s="2906"/>
      <c r="X91" s="2907"/>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399"/>
      <c r="I93" s="1399"/>
      <c r="J93" s="1569" t="s">
        <v>283</v>
      </c>
      <c r="K93" s="1570"/>
      <c r="L93" s="384"/>
      <c r="M93" s="1573" t="s">
        <v>507</v>
      </c>
      <c r="N93" s="1574"/>
      <c r="P93" s="1569" t="s">
        <v>284</v>
      </c>
      <c r="Q93" s="1570"/>
      <c r="S93" s="1569" t="s">
        <v>285</v>
      </c>
      <c r="T93" s="1570"/>
      <c r="W93" s="474" t="str">
        <f>B93</f>
        <v>DEVELOPMENT BUDGET  (cont'd)</v>
      </c>
    </row>
    <row r="94" spans="1:24" s="329" customFormat="1" ht="18" customHeight="1" thickBot="1">
      <c r="G94" s="1626" t="s">
        <v>103</v>
      </c>
      <c r="H94" s="1627"/>
      <c r="J94" s="1571"/>
      <c r="K94" s="1572"/>
      <c r="L94" s="384"/>
      <c r="M94" s="1575"/>
      <c r="N94" s="1576"/>
      <c r="P94" s="1571"/>
      <c r="Q94" s="1572"/>
      <c r="S94" s="1571"/>
      <c r="T94" s="1572"/>
      <c r="W94" s="1643" t="s">
        <v>2778</v>
      </c>
      <c r="X94" s="1643"/>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4">
        <v>0</v>
      </c>
      <c r="H96" s="2875"/>
      <c r="J96" s="387"/>
      <c r="K96" s="387"/>
      <c r="L96" s="1407"/>
      <c r="M96" s="387"/>
      <c r="N96" s="387"/>
      <c r="P96" s="387"/>
      <c r="Q96" s="387"/>
      <c r="S96" s="2874">
        <f>G96</f>
        <v>0</v>
      </c>
      <c r="T96" s="2875"/>
      <c r="V96" s="2876"/>
      <c r="W96" s="2901"/>
      <c r="X96" s="2902"/>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4">
        <v>6500</v>
      </c>
      <c r="H97" s="2875"/>
      <c r="J97" s="387"/>
      <c r="K97" s="387"/>
      <c r="L97" s="395"/>
      <c r="M97" s="387"/>
      <c r="N97" s="387"/>
      <c r="P97" s="387"/>
      <c r="Q97" s="387"/>
      <c r="S97" s="2874">
        <f t="shared" ref="S97:S104" si="7">G97</f>
        <v>6500</v>
      </c>
      <c r="T97" s="2875"/>
      <c r="V97" s="2876"/>
      <c r="W97" s="2903"/>
      <c r="X97" s="2904"/>
    </row>
    <row r="98" spans="1:24" s="329" customFormat="1" ht="12.6" customHeight="1">
      <c r="B98" s="329" t="s">
        <v>2790</v>
      </c>
      <c r="G98" s="2874">
        <v>2500</v>
      </c>
      <c r="H98" s="2875"/>
      <c r="J98" s="387"/>
      <c r="K98" s="387"/>
      <c r="L98" s="395"/>
      <c r="M98" s="387"/>
      <c r="N98" s="387"/>
      <c r="O98" s="1399"/>
      <c r="P98" s="387"/>
      <c r="Q98" s="387"/>
      <c r="S98" s="2874">
        <f t="shared" si="7"/>
        <v>2500</v>
      </c>
      <c r="T98" s="2875"/>
      <c r="V98" s="2876"/>
      <c r="W98" s="2903"/>
      <c r="X98" s="2904"/>
    </row>
    <row r="99" spans="1:24" s="329" customFormat="1" ht="12.6" customHeight="1">
      <c r="B99" s="329" t="s">
        <v>538</v>
      </c>
      <c r="E99" s="1637">
        <f>'DCA Underwriting Assumptions'!$Q$83*J174</f>
        <v>44220.32</v>
      </c>
      <c r="F99" s="1638"/>
      <c r="G99" s="2874">
        <v>44220</v>
      </c>
      <c r="H99" s="2875"/>
      <c r="J99" s="387"/>
      <c r="K99" s="387"/>
      <c r="L99" s="1407"/>
      <c r="M99" s="387"/>
      <c r="N99" s="387"/>
      <c r="O99" s="1399"/>
      <c r="P99" s="387"/>
      <c r="Q99" s="387"/>
      <c r="S99" s="2874">
        <f t="shared" si="7"/>
        <v>44220</v>
      </c>
      <c r="T99" s="2875"/>
      <c r="V99" s="2876"/>
      <c r="W99" s="2903"/>
      <c r="X99" s="2904"/>
    </row>
    <row r="100" spans="1:24" s="329" customFormat="1" ht="12.6" customHeight="1">
      <c r="B100" s="329" t="s">
        <v>783</v>
      </c>
      <c r="E100" s="163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56000</v>
      </c>
      <c r="F100" s="1638"/>
      <c r="G100" s="2874">
        <v>56000</v>
      </c>
      <c r="H100" s="2875"/>
      <c r="J100" s="299"/>
      <c r="K100" s="299"/>
      <c r="L100" s="299"/>
      <c r="M100" s="299"/>
      <c r="N100" s="299"/>
      <c r="O100" s="299"/>
      <c r="P100" s="299"/>
      <c r="Q100" s="299"/>
      <c r="S100" s="2874">
        <f t="shared" si="7"/>
        <v>56000</v>
      </c>
      <c r="T100" s="2875"/>
      <c r="V100" s="2876"/>
      <c r="W100" s="2903"/>
      <c r="X100" s="2904"/>
    </row>
    <row r="101" spans="1:24" s="329" customFormat="1" ht="12.6" customHeight="1">
      <c r="B101" s="329" t="str">
        <f>CONCATENATE("DCA HOME Front End Analysis Fee (when ID of Interest; $",'DCA Underwriting Assumptions'!$Q$85,")")</f>
        <v>DCA HOME Front End Analysis Fee (when ID of Interest; $2700)</v>
      </c>
      <c r="G101" s="2874">
        <v>0</v>
      </c>
      <c r="H101" s="2875"/>
      <c r="J101" s="299"/>
      <c r="K101" s="299"/>
      <c r="L101" s="299"/>
      <c r="M101" s="299"/>
      <c r="N101" s="299"/>
      <c r="O101" s="299"/>
      <c r="P101" s="299"/>
      <c r="Q101" s="299"/>
      <c r="S101" s="2874">
        <f t="shared" si="7"/>
        <v>0</v>
      </c>
      <c r="T101" s="2875"/>
      <c r="V101" s="2876"/>
      <c r="W101" s="2903"/>
      <c r="X101" s="2904"/>
    </row>
    <row r="102" spans="1:24" s="329" customFormat="1" ht="12.6" customHeight="1">
      <c r="B102" s="329" t="str">
        <f>CONCATENATE("DCA Final Inspection Fee (Tax Credit only - no HOME; $",'DCA Underwriting Assumptions'!$Q$106,")")</f>
        <v>DCA Final Inspection Fee (Tax Credit only - no HOME; $3000)</v>
      </c>
      <c r="G102" s="2874">
        <v>3000</v>
      </c>
      <c r="H102" s="2875"/>
      <c r="J102" s="299"/>
      <c r="K102" s="299"/>
      <c r="L102" s="299"/>
      <c r="M102" s="299"/>
      <c r="N102" s="299"/>
      <c r="O102" s="299"/>
      <c r="P102" s="299"/>
      <c r="Q102" s="299"/>
      <c r="S102" s="2874">
        <f t="shared" si="7"/>
        <v>3000</v>
      </c>
      <c r="T102" s="2875"/>
      <c r="V102" s="2876"/>
      <c r="W102" s="2903"/>
      <c r="X102" s="2904"/>
    </row>
    <row r="103" spans="1:24" s="329" customFormat="1" ht="12.6" customHeight="1">
      <c r="A103" s="412" t="str">
        <f>IF(AND(G103&gt;0,OR(C103="",C103="&lt;Enter detailed description here; use Comments section if needed&gt;")),"X","")</f>
        <v/>
      </c>
      <c r="B103" s="329" t="s">
        <v>771</v>
      </c>
      <c r="C103" s="2638" t="s">
        <v>4191</v>
      </c>
      <c r="D103" s="2638"/>
      <c r="E103" s="2638"/>
      <c r="F103" s="2639"/>
      <c r="G103" s="2874">
        <v>0</v>
      </c>
      <c r="H103" s="2875"/>
      <c r="J103" s="299"/>
      <c r="K103" s="299"/>
      <c r="L103" s="299"/>
      <c r="M103" s="299"/>
      <c r="N103" s="299"/>
      <c r="O103" s="299"/>
      <c r="P103" s="299"/>
      <c r="Q103" s="299"/>
      <c r="S103" s="2874">
        <f t="shared" si="7"/>
        <v>0</v>
      </c>
      <c r="T103" s="2875"/>
      <c r="U103" s="411" t="str">
        <f>IF(AND(G103&gt;0,OR(C103="",C103="&lt;Enter detailed description here; use Comments section if needed&gt;")),"NO DESCRIPTION PROVIDED - please enter detailed description in Other box at left; use Comments section below if needed.","")</f>
        <v/>
      </c>
      <c r="V103" s="2876"/>
      <c r="W103" s="2903"/>
      <c r="X103" s="2904"/>
    </row>
    <row r="104" spans="1:24" s="329" customFormat="1" ht="12.6" customHeight="1" thickBot="1">
      <c r="A104" s="412" t="str">
        <f>IF(AND(G104&gt;0,OR(C104="",C104="&lt;Enter detailed description here; use Comments section if needed&gt;")),"X","")</f>
        <v/>
      </c>
      <c r="B104" s="329" t="s">
        <v>771</v>
      </c>
      <c r="C104" s="2638" t="s">
        <v>4191</v>
      </c>
      <c r="D104" s="2638"/>
      <c r="E104" s="2638"/>
      <c r="F104" s="2639"/>
      <c r="G104" s="2874">
        <v>0</v>
      </c>
      <c r="H104" s="2875"/>
      <c r="J104" s="299"/>
      <c r="K104" s="299"/>
      <c r="L104" s="299"/>
      <c r="M104" s="299"/>
      <c r="N104" s="299"/>
      <c r="O104" s="299"/>
      <c r="P104" s="299"/>
      <c r="Q104" s="299"/>
      <c r="S104" s="2874">
        <f t="shared" si="7"/>
        <v>0</v>
      </c>
      <c r="T104" s="2875"/>
      <c r="U104" s="411" t="str">
        <f>IF(AND(G104&gt;0,OR(C104="",C104="&lt;Enter detailed description here; use Comments section if needed&gt;")),"NO DESCRIPTION PROVIDED - please enter detailed description in Other box at left; use Comments section below if needed.","")</f>
        <v/>
      </c>
      <c r="V104" s="2876"/>
      <c r="W104" s="2903"/>
      <c r="X104" s="2904"/>
    </row>
    <row r="105" spans="1:24" s="329" customFormat="1" ht="12.6" customHeight="1" thickTop="1">
      <c r="F105" s="385" t="s">
        <v>197</v>
      </c>
      <c r="G105" s="1578">
        <f>SUM(G96:H104)</f>
        <v>112220</v>
      </c>
      <c r="H105" s="1579"/>
      <c r="J105" s="387"/>
      <c r="K105" s="387"/>
      <c r="L105" s="1407"/>
      <c r="M105" s="387"/>
      <c r="N105" s="387"/>
      <c r="P105" s="387"/>
      <c r="Q105" s="387"/>
      <c r="S105" s="1578">
        <f>SUM(S96:T104)</f>
        <v>112220</v>
      </c>
      <c r="T105" s="1579"/>
      <c r="V105" s="2884">
        <f>SUM(V96:V104)</f>
        <v>0</v>
      </c>
      <c r="W105" s="2906"/>
      <c r="X105" s="2907"/>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4">
        <v>2500</v>
      </c>
      <c r="H107" s="2875"/>
      <c r="J107" s="1568"/>
      <c r="K107" s="1568"/>
      <c r="L107" s="1407"/>
      <c r="M107" s="1568"/>
      <c r="N107" s="1568"/>
      <c r="O107" s="1399"/>
      <c r="P107" s="1568"/>
      <c r="Q107" s="1568"/>
      <c r="S107" s="2874">
        <f>G107</f>
        <v>2500</v>
      </c>
      <c r="T107" s="2875"/>
      <c r="V107" s="2876"/>
      <c r="W107" s="2901"/>
      <c r="X107" s="2902"/>
    </row>
    <row r="108" spans="1:24" s="329" customFormat="1" ht="12.6" customHeight="1">
      <c r="B108" s="329" t="s">
        <v>293</v>
      </c>
      <c r="G108" s="2874">
        <v>500</v>
      </c>
      <c r="H108" s="2875"/>
      <c r="J108" s="1568"/>
      <c r="K108" s="1568"/>
      <c r="L108" s="1407"/>
      <c r="M108" s="1568"/>
      <c r="N108" s="1568"/>
      <c r="O108" s="1399"/>
      <c r="P108" s="1568"/>
      <c r="Q108" s="1568"/>
      <c r="S108" s="2874">
        <f t="shared" ref="S108:S110" si="8">G108</f>
        <v>500</v>
      </c>
      <c r="T108" s="2875"/>
      <c r="V108" s="2876"/>
      <c r="W108" s="2903"/>
      <c r="X108" s="2904"/>
    </row>
    <row r="109" spans="1:24" s="329" customFormat="1" ht="12.6" customHeight="1">
      <c r="B109" s="329" t="s">
        <v>2471</v>
      </c>
      <c r="G109" s="2874">
        <v>0</v>
      </c>
      <c r="H109" s="2875"/>
      <c r="J109" s="1568"/>
      <c r="K109" s="1568"/>
      <c r="L109" s="1407"/>
      <c r="M109" s="1568"/>
      <c r="N109" s="1568"/>
      <c r="O109" s="1399"/>
      <c r="P109" s="1568"/>
      <c r="Q109" s="1568"/>
      <c r="S109" s="2874">
        <f t="shared" si="8"/>
        <v>0</v>
      </c>
      <c r="T109" s="2875"/>
      <c r="V109" s="2876"/>
      <c r="W109" s="2903"/>
      <c r="X109" s="2904"/>
    </row>
    <row r="110" spans="1:24" s="329" customFormat="1" ht="12.6" customHeight="1" thickBot="1">
      <c r="A110" s="412" t="str">
        <f>IF(AND(G110&gt;0,OR(C110="",C110="&lt;Enter detailed description here; use Comments section if needed&gt;")),"X","")</f>
        <v/>
      </c>
      <c r="B110" s="329" t="s">
        <v>771</v>
      </c>
      <c r="C110" s="2638" t="s">
        <v>4191</v>
      </c>
      <c r="D110" s="2638"/>
      <c r="E110" s="2638"/>
      <c r="F110" s="2639"/>
      <c r="G110" s="2874">
        <v>0</v>
      </c>
      <c r="H110" s="2875"/>
      <c r="J110" s="1568"/>
      <c r="K110" s="1568"/>
      <c r="L110" s="1407"/>
      <c r="M110" s="1568"/>
      <c r="N110" s="1568"/>
      <c r="O110" s="1399"/>
      <c r="P110" s="1568"/>
      <c r="Q110" s="1568"/>
      <c r="S110" s="2874">
        <f t="shared" si="8"/>
        <v>0</v>
      </c>
      <c r="T110" s="2875"/>
      <c r="U110" s="411" t="str">
        <f>IF(AND(G110&gt;0,OR(C110="",C110="&lt;Enter detailed description here; use Comments section if needed&gt;")),"NO DESCRIPTION PROVIDED - please enter detailed description in Other box at left; use Comments section below if needed.","")</f>
        <v/>
      </c>
      <c r="V110" s="2876"/>
      <c r="W110" s="2903"/>
      <c r="X110" s="2904"/>
    </row>
    <row r="111" spans="1:24" s="329" customFormat="1" ht="12.6" customHeight="1" thickTop="1">
      <c r="F111" s="385" t="s">
        <v>197</v>
      </c>
      <c r="G111" s="1578">
        <f>SUM(G107:H110)</f>
        <v>3000</v>
      </c>
      <c r="H111" s="1579"/>
      <c r="J111" s="1568"/>
      <c r="K111" s="1568"/>
      <c r="L111" s="1407"/>
      <c r="M111" s="1568"/>
      <c r="N111" s="1568"/>
      <c r="O111" s="1399"/>
      <c r="P111" s="1568"/>
      <c r="Q111" s="1568"/>
      <c r="S111" s="1578">
        <f>SUM(S107:T110)</f>
        <v>3000</v>
      </c>
      <c r="T111" s="1579"/>
      <c r="V111" s="2884">
        <f>SUM(V107:V110)</f>
        <v>0</v>
      </c>
      <c r="W111" s="2906"/>
      <c r="X111" s="2907"/>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0.25</v>
      </c>
      <c r="G113" s="2874">
        <f>+M113+P113</f>
        <v>313349</v>
      </c>
      <c r="H113" s="2875"/>
      <c r="J113" s="2874"/>
      <c r="K113" s="2875"/>
      <c r="L113" s="386"/>
      <c r="M113" s="2874">
        <v>89940</v>
      </c>
      <c r="N113" s="2875"/>
      <c r="P113" s="2874">
        <v>223409</v>
      </c>
      <c r="Q113" s="2875"/>
      <c r="S113" s="2874"/>
      <c r="T113" s="2875"/>
      <c r="V113" s="2876"/>
      <c r="W113" s="2901"/>
      <c r="X113" s="2902"/>
    </row>
    <row r="114" spans="1:24" s="329" customFormat="1" ht="12.6" customHeight="1">
      <c r="B114" s="329" t="s">
        <v>1931</v>
      </c>
      <c r="F114" s="447">
        <f>IF($G$117=0,0,G114/$G$117)</f>
        <v>0</v>
      </c>
      <c r="G114" s="2874"/>
      <c r="H114" s="2875"/>
      <c r="J114" s="2874"/>
      <c r="K114" s="2875"/>
      <c r="L114" s="1407"/>
      <c r="M114" s="2874"/>
      <c r="N114" s="2875"/>
      <c r="P114" s="2874"/>
      <c r="Q114" s="2875"/>
      <c r="S114" s="2874"/>
      <c r="T114" s="2875"/>
      <c r="V114" s="2876"/>
      <c r="W114" s="2903"/>
      <c r="X114" s="2904"/>
    </row>
    <row r="115" spans="1:24" s="329" customFormat="1" ht="12.6" customHeight="1">
      <c r="B115" s="329" t="s">
        <v>4043</v>
      </c>
      <c r="F115" s="447">
        <f>IF($G$117=0,0,G115/$G$117)</f>
        <v>0</v>
      </c>
      <c r="G115" s="2874"/>
      <c r="H115" s="2875"/>
      <c r="J115" s="2874"/>
      <c r="K115" s="2875"/>
      <c r="L115" s="1407"/>
      <c r="M115" s="2874"/>
      <c r="N115" s="2875"/>
      <c r="P115" s="2874"/>
      <c r="Q115" s="2875"/>
      <c r="S115" s="2874"/>
      <c r="T115" s="2875"/>
      <c r="V115" s="2876"/>
      <c r="W115" s="2903"/>
      <c r="X115" s="2904"/>
    </row>
    <row r="116" spans="1:24" s="329" customFormat="1" ht="12.6" customHeight="1" thickBot="1">
      <c r="B116" s="329" t="s">
        <v>1923</v>
      </c>
      <c r="F116" s="447">
        <f>IF($G$117=0,0,G116/$G$117)</f>
        <v>0.75</v>
      </c>
      <c r="G116" s="2874">
        <f>+M116+P116</f>
        <v>940047</v>
      </c>
      <c r="H116" s="2875"/>
      <c r="J116" s="2874"/>
      <c r="K116" s="2875"/>
      <c r="L116" s="1407"/>
      <c r="M116" s="2874">
        <v>269820</v>
      </c>
      <c r="N116" s="2875"/>
      <c r="P116" s="2874">
        <v>670227</v>
      </c>
      <c r="Q116" s="2875"/>
      <c r="S116" s="2874"/>
      <c r="T116" s="2875"/>
      <c r="V116" s="2876"/>
      <c r="W116" s="2903"/>
      <c r="X116" s="2904"/>
    </row>
    <row r="117" spans="1:24" s="329" customFormat="1" ht="12.6" customHeight="1" thickTop="1">
      <c r="C117" s="411" t="str">
        <f>IF(G117&lt;='DCA Underwriting Assumptions'!$Q$92,"","Developer Fee exceeds DCA Program Maximum !!!")</f>
        <v/>
      </c>
      <c r="F117" s="385" t="s">
        <v>197</v>
      </c>
      <c r="G117" s="1578">
        <f>SUM(G113:H116)</f>
        <v>1253396</v>
      </c>
      <c r="H117" s="1579"/>
      <c r="J117" s="1578">
        <f>SUM(J113:K116)</f>
        <v>0</v>
      </c>
      <c r="K117" s="1579"/>
      <c r="L117" s="1407"/>
      <c r="M117" s="1578">
        <f>SUM(M113:N116)</f>
        <v>359760</v>
      </c>
      <c r="N117" s="1579"/>
      <c r="P117" s="1578">
        <f>SUM(P113:Q116)</f>
        <v>893636</v>
      </c>
      <c r="Q117" s="1579"/>
      <c r="S117" s="1578">
        <f>SUM(S113:T116)</f>
        <v>0</v>
      </c>
      <c r="T117" s="1579"/>
      <c r="V117" s="2884">
        <f>SUM(V113:V116)</f>
        <v>0</v>
      </c>
      <c r="W117" s="2906"/>
      <c r="X117" s="2907"/>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4">
        <v>5000</v>
      </c>
      <c r="H119" s="2875"/>
      <c r="J119" s="396"/>
      <c r="K119" s="396"/>
      <c r="L119" s="396"/>
      <c r="M119" s="396"/>
      <c r="N119" s="396"/>
      <c r="P119" s="396"/>
      <c r="Q119" s="396"/>
      <c r="S119" s="2874">
        <f>G119</f>
        <v>5000</v>
      </c>
      <c r="T119" s="2875"/>
      <c r="V119" s="2876"/>
      <c r="W119" s="2901"/>
      <c r="X119" s="2902"/>
    </row>
    <row r="120" spans="1:24" s="329" customFormat="1" ht="12.6" customHeight="1">
      <c r="B120" s="329" t="s">
        <v>1593</v>
      </c>
      <c r="F120" s="567">
        <f>+'Part VI-Revenues &amp; Expenses'!$P$176*('DCA Underwriting Assumptions'!$Q$105/12)</f>
        <v>77293.277499999997</v>
      </c>
      <c r="G120" s="2874">
        <v>77293</v>
      </c>
      <c r="H120" s="2875"/>
      <c r="J120" s="1568"/>
      <c r="K120" s="1568"/>
      <c r="L120" s="1407"/>
      <c r="M120" s="1568"/>
      <c r="N120" s="1568"/>
      <c r="O120" s="1399"/>
      <c r="P120" s="1568"/>
      <c r="Q120" s="1568"/>
      <c r="R120" s="1399"/>
      <c r="S120" s="2874">
        <f t="shared" ref="S120:S124" si="9">G120</f>
        <v>77293</v>
      </c>
      <c r="T120" s="2875"/>
      <c r="V120" s="2876"/>
      <c r="W120" s="2903"/>
      <c r="X120" s="2904"/>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202478.10737886449</v>
      </c>
      <c r="G121" s="2874">
        <v>202478</v>
      </c>
      <c r="H121" s="2875"/>
      <c r="J121" s="395"/>
      <c r="K121" s="395"/>
      <c r="L121" s="395"/>
      <c r="M121" s="395"/>
      <c r="N121" s="395"/>
      <c r="O121" s="1399"/>
      <c r="P121" s="395"/>
      <c r="Q121" s="395"/>
      <c r="R121" s="1399"/>
      <c r="S121" s="2874">
        <f t="shared" si="9"/>
        <v>202478</v>
      </c>
      <c r="T121" s="2875"/>
      <c r="V121" s="2876"/>
      <c r="W121" s="2903"/>
      <c r="X121" s="2904"/>
    </row>
    <row r="122" spans="1:24" s="329" customFormat="1" ht="12.6" customHeight="1">
      <c r="B122" s="329" t="s">
        <v>1291</v>
      </c>
      <c r="G122" s="2874">
        <v>24500</v>
      </c>
      <c r="H122" s="2875"/>
      <c r="J122" s="396"/>
      <c r="K122" s="396"/>
      <c r="L122" s="396"/>
      <c r="M122" s="396"/>
      <c r="N122" s="396"/>
      <c r="P122" s="396"/>
      <c r="Q122" s="396"/>
      <c r="S122" s="2874">
        <f t="shared" si="9"/>
        <v>24500</v>
      </c>
      <c r="T122" s="2875"/>
      <c r="V122" s="2876"/>
      <c r="W122" s="2903"/>
      <c r="X122" s="2904"/>
    </row>
    <row r="123" spans="1:24" s="329" customFormat="1" ht="12.6" customHeight="1">
      <c r="B123" s="329" t="s">
        <v>1292</v>
      </c>
      <c r="E123" s="1136" t="s">
        <v>3851</v>
      </c>
      <c r="F123" s="522">
        <f>IF('Part VI-Revenues &amp; Expenses'!$O$62=0,0,G123/'Part VI-Revenues &amp; Expenses'!$O$62)</f>
        <v>714.28571428571433</v>
      </c>
      <c r="G123" s="2874">
        <v>50000</v>
      </c>
      <c r="H123" s="2875"/>
      <c r="J123" s="2874"/>
      <c r="K123" s="2875"/>
      <c r="L123" s="1407"/>
      <c r="M123" s="2874"/>
      <c r="N123" s="2875"/>
      <c r="P123" s="2874">
        <f>G123*0.5</f>
        <v>25000</v>
      </c>
      <c r="Q123" s="2875"/>
      <c r="S123" s="2874">
        <f>G123-P123</f>
        <v>25000</v>
      </c>
      <c r="T123" s="2875"/>
      <c r="V123" s="2876"/>
      <c r="W123" s="2903"/>
      <c r="X123" s="2904"/>
    </row>
    <row r="124" spans="1:24" s="329" customFormat="1" ht="12.6" customHeight="1" thickBot="1">
      <c r="A124" s="412" t="str">
        <f>IF(AND(G124&gt;0,OR(C124="",C124="&lt;Enter detailed description here; use Comments section if needed&gt;")),"X","")</f>
        <v/>
      </c>
      <c r="B124" s="329" t="s">
        <v>771</v>
      </c>
      <c r="C124" s="2638" t="s">
        <v>4191</v>
      </c>
      <c r="D124" s="2638"/>
      <c r="E124" s="2638"/>
      <c r="F124" s="2639"/>
      <c r="G124" s="2874"/>
      <c r="H124" s="2875"/>
      <c r="J124" s="2874"/>
      <c r="K124" s="2875"/>
      <c r="L124" s="1407"/>
      <c r="M124" s="2874"/>
      <c r="N124" s="2875"/>
      <c r="P124" s="2874"/>
      <c r="Q124" s="2875"/>
      <c r="S124" s="2874">
        <f t="shared" si="9"/>
        <v>0</v>
      </c>
      <c r="T124" s="2875"/>
      <c r="U124" s="411" t="str">
        <f>IF(AND(G124&gt;0,OR(C124="",C124="&lt;Enter detailed description here; use Comments section if needed&gt;")),"NO DESCRIPTION PROVIDED - please enter detailed description in Other box at left; use Comments section below if needed.","")</f>
        <v/>
      </c>
      <c r="V124" s="2876"/>
      <c r="W124" s="2903"/>
      <c r="X124" s="2904"/>
    </row>
    <row r="125" spans="1:24" s="329" customFormat="1" ht="12.6" customHeight="1" thickTop="1">
      <c r="B125" s="397"/>
      <c r="F125" s="385" t="s">
        <v>197</v>
      </c>
      <c r="G125" s="1578">
        <f>SUM(G119:H124)</f>
        <v>359271</v>
      </c>
      <c r="H125" s="1579"/>
      <c r="J125" s="1578">
        <f>SUM(J123:K124)</f>
        <v>0</v>
      </c>
      <c r="K125" s="1579"/>
      <c r="L125" s="1407"/>
      <c r="M125" s="1578">
        <f>SUM(M123:N124)</f>
        <v>0</v>
      </c>
      <c r="N125" s="1579"/>
      <c r="P125" s="1578">
        <f>SUM(P123:Q124)</f>
        <v>25000</v>
      </c>
      <c r="Q125" s="1579"/>
      <c r="S125" s="1578">
        <f>SUM(S119:T124)</f>
        <v>334271</v>
      </c>
      <c r="T125" s="1579"/>
      <c r="V125" s="2884">
        <f>SUM(V119:V124)</f>
        <v>0</v>
      </c>
      <c r="W125" s="2906"/>
      <c r="X125" s="2907"/>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4">
        <v>145000</v>
      </c>
      <c r="H127" s="2875"/>
      <c r="J127" s="2874"/>
      <c r="K127" s="2875"/>
      <c r="L127" s="386"/>
      <c r="M127" s="2874"/>
      <c r="N127" s="2875"/>
      <c r="P127" s="2874"/>
      <c r="Q127" s="2875"/>
      <c r="S127" s="2874">
        <f>G127</f>
        <v>145000</v>
      </c>
      <c r="T127" s="2875"/>
      <c r="V127" s="2876"/>
      <c r="W127" s="2901"/>
      <c r="X127" s="2902"/>
    </row>
    <row r="128" spans="1:24" s="329" customFormat="1" ht="12.6" customHeight="1" thickBot="1">
      <c r="A128" s="412" t="str">
        <f>IF(AND(G128&gt;0,OR(C128="",C128="&lt;Enter detailed description here; use Comments section if needed&gt;")),"X","")</f>
        <v/>
      </c>
      <c r="B128" s="329" t="s">
        <v>771</v>
      </c>
      <c r="C128" s="2638" t="s">
        <v>4191</v>
      </c>
      <c r="D128" s="2638"/>
      <c r="E128" s="2638"/>
      <c r="F128" s="2639"/>
      <c r="G128" s="2874"/>
      <c r="H128" s="2875"/>
      <c r="J128" s="2874"/>
      <c r="K128" s="2875"/>
      <c r="L128" s="1407"/>
      <c r="M128" s="2874"/>
      <c r="N128" s="2875"/>
      <c r="P128" s="2874"/>
      <c r="Q128" s="2875"/>
      <c r="S128" s="2874"/>
      <c r="T128" s="2875"/>
      <c r="U128" s="411" t="str">
        <f>IF(AND(G128&gt;0,OR(C128="",C128="&lt;Enter detailed description here; use Comments section if needed&gt;")),"NO DESCRIPTION PROVIDED - please enter detailed description in Other box at left; use Comments section below if needed.","")</f>
        <v/>
      </c>
      <c r="V128" s="2876"/>
      <c r="W128" s="2903"/>
      <c r="X128" s="2904"/>
    </row>
    <row r="129" spans="1:24" s="329" customFormat="1" ht="12.6" customHeight="1" thickTop="1">
      <c r="C129" s="1389"/>
      <c r="F129" s="385" t="s">
        <v>197</v>
      </c>
      <c r="G129" s="1578">
        <f>SUM(G127:H128)</f>
        <v>145000</v>
      </c>
      <c r="H129" s="1579"/>
      <c r="J129" s="1578">
        <f>SUM(J127:K128)</f>
        <v>0</v>
      </c>
      <c r="K129" s="1579"/>
      <c r="L129" s="1407"/>
      <c r="M129" s="1578">
        <f>SUM(M127:N128)</f>
        <v>0</v>
      </c>
      <c r="N129" s="1579"/>
      <c r="P129" s="1578">
        <f>SUM(P127:Q128)</f>
        <v>0</v>
      </c>
      <c r="Q129" s="1579"/>
      <c r="S129" s="1578">
        <f>SUM(S127:T128)</f>
        <v>145000</v>
      </c>
      <c r="T129" s="1579"/>
      <c r="V129" s="2884">
        <f>SUM(V127:V128)</f>
        <v>0</v>
      </c>
      <c r="W129" s="2903"/>
      <c r="X129" s="2904"/>
    </row>
    <row r="130" spans="1:24" s="329" customFormat="1" ht="3" customHeight="1" thickBot="1">
      <c r="C130" s="1389"/>
      <c r="H130" s="393"/>
      <c r="I130" s="393"/>
      <c r="L130" s="1399"/>
      <c r="W130" s="2903"/>
      <c r="X130" s="2904"/>
    </row>
    <row r="131" spans="1:24" s="329" customFormat="1" ht="13.9" customHeight="1" thickBot="1">
      <c r="B131" s="335" t="s">
        <v>2885</v>
      </c>
      <c r="G131" s="1619">
        <f>G17+G23+G27+G33+G38+G41+G47+G64+G77+G83+G91+G105+G111+G117+G125+G129</f>
        <v>9614942</v>
      </c>
      <c r="H131" s="1620"/>
      <c r="J131" s="1619">
        <f>J17+J23+J27+J33+J38+J41+J47+J64+J77+J83+J91+J105+J111+J117+J125+J129</f>
        <v>0</v>
      </c>
      <c r="K131" s="1620"/>
      <c r="M131" s="1619">
        <f>M17+M23+M27+M33+M38+M41+M47+M64+M77+M83+M91+M105+M111+M117+M125+M129</f>
        <v>2759760</v>
      </c>
      <c r="N131" s="1620"/>
      <c r="P131" s="1619">
        <f>P17+P23+P27+P33+P38+P41+P47+P64+P77+P83+P91+P105+P111+P117+P125+P129</f>
        <v>6145691</v>
      </c>
      <c r="Q131" s="1620"/>
      <c r="S131" s="1619">
        <f>S17+S23+S27+S33+S38+S41+S47+S64+S77+S83+S91+S105+S111+S117+S125+S129</f>
        <v>709491</v>
      </c>
      <c r="T131" s="1620"/>
      <c r="V131" s="2908">
        <f>V17+V23+V27+V33+V38+V41+V47+V64+V77+V83+V91+V105+V111+V117+V125+V129</f>
        <v>0</v>
      </c>
      <c r="W131" s="2909"/>
      <c r="X131" s="2907"/>
    </row>
    <row r="132" spans="1:24" s="329" customFormat="1" ht="3" customHeight="1">
      <c r="C132" s="1389"/>
      <c r="H132" s="393"/>
      <c r="I132" s="393"/>
      <c r="L132" s="1399"/>
    </row>
    <row r="133" spans="1:24" s="329" customFormat="1" ht="13.9" customHeight="1">
      <c r="B133" s="578" t="s">
        <v>2880</v>
      </c>
      <c r="C133" s="576"/>
      <c r="D133" s="1621">
        <f>IF('Part VI-Revenues &amp; Expenses'!$O$62=0,0,G131/'Part VI-Revenues &amp; Expenses'!$O$62)</f>
        <v>137356.3142857143</v>
      </c>
      <c r="E133" s="1621"/>
      <c r="F133" s="577" t="s">
        <v>2879</v>
      </c>
      <c r="G133" s="1639">
        <f>IF('Part I-Project Information'!$P$60=0,0,G131/'Part I-Project Information'!$P$60)</f>
        <v>169.39644115574347</v>
      </c>
      <c r="H133" s="1640"/>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7"/>
      <c r="E136" s="1407"/>
      <c r="F136" s="1407"/>
      <c r="G136" s="1399"/>
      <c r="H136" s="1399"/>
      <c r="I136" s="400"/>
      <c r="J136" s="1569" t="s">
        <v>283</v>
      </c>
      <c r="K136" s="1570"/>
      <c r="M136" s="1569" t="s">
        <v>102</v>
      </c>
      <c r="N136" s="1570"/>
      <c r="P136" s="1569" t="s">
        <v>284</v>
      </c>
      <c r="Q136" s="1570"/>
      <c r="W136" s="474" t="str">
        <f>B136</f>
        <v>TAX CREDIT CALCULATION - BASIS METHOD</v>
      </c>
    </row>
    <row r="137" spans="1:24" s="329" customFormat="1" ht="15" customHeight="1" thickBot="1">
      <c r="B137" s="335" t="s">
        <v>2122</v>
      </c>
      <c r="D137" s="1407"/>
      <c r="E137" s="1407"/>
      <c r="I137" s="400"/>
      <c r="J137" s="1571"/>
      <c r="K137" s="1572"/>
      <c r="L137" s="1176"/>
      <c r="M137" s="1571"/>
      <c r="N137" s="1572"/>
      <c r="P137" s="1571"/>
      <c r="Q137" s="1572"/>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0"/>
      <c r="K139" s="2911"/>
      <c r="P139" s="2910"/>
      <c r="Q139" s="2911"/>
      <c r="V139" s="2876"/>
      <c r="W139" s="2901"/>
      <c r="X139" s="2902"/>
    </row>
    <row r="140" spans="1:24" s="329" customFormat="1" ht="13.9" customHeight="1">
      <c r="B140" s="1399" t="s">
        <v>2230</v>
      </c>
      <c r="D140" s="1399"/>
      <c r="E140" s="1399"/>
      <c r="F140" s="1399"/>
      <c r="G140" s="1399"/>
      <c r="H140" s="1399"/>
      <c r="I140" s="400"/>
      <c r="J140" s="2910"/>
      <c r="K140" s="2911"/>
      <c r="P140" s="2910"/>
      <c r="Q140" s="2911"/>
      <c r="V140" s="2876"/>
      <c r="W140" s="2903"/>
      <c r="X140" s="2904"/>
    </row>
    <row r="141" spans="1:24" s="329" customFormat="1" ht="13.9" customHeight="1">
      <c r="B141" s="1399" t="s">
        <v>1933</v>
      </c>
      <c r="D141" s="1399"/>
      <c r="E141" s="1399"/>
      <c r="I141" s="400"/>
      <c r="J141" s="2910"/>
      <c r="K141" s="2911"/>
      <c r="P141" s="2910"/>
      <c r="Q141" s="2911"/>
      <c r="V141" s="2876"/>
      <c r="W141" s="2903"/>
      <c r="X141" s="2904"/>
    </row>
    <row r="142" spans="1:24" s="329" customFormat="1" ht="13.9" customHeight="1">
      <c r="B142" s="1399" t="s">
        <v>1934</v>
      </c>
      <c r="D142" s="1399"/>
      <c r="E142" s="1399"/>
      <c r="I142" s="400"/>
      <c r="J142" s="2910"/>
      <c r="K142" s="2911"/>
      <c r="P142" s="2910"/>
      <c r="Q142" s="2911"/>
      <c r="V142" s="2876"/>
      <c r="W142" s="2903"/>
      <c r="X142" s="2904"/>
    </row>
    <row r="143" spans="1:24" s="329" customFormat="1" ht="13.9" customHeight="1">
      <c r="B143" s="1399" t="s">
        <v>265</v>
      </c>
      <c r="D143" s="1399"/>
      <c r="E143" s="1399"/>
      <c r="I143" s="400"/>
      <c r="J143" s="2910"/>
      <c r="K143" s="2911"/>
      <c r="P143" s="2910"/>
      <c r="Q143" s="2911"/>
      <c r="V143" s="2876"/>
      <c r="W143" s="2903"/>
      <c r="X143" s="2904"/>
    </row>
    <row r="144" spans="1:24" s="329" customFormat="1" ht="13.9" customHeight="1" thickBot="1">
      <c r="B144" s="1399" t="s">
        <v>1659</v>
      </c>
      <c r="C144" s="2638" t="s">
        <v>2500</v>
      </c>
      <c r="D144" s="2638"/>
      <c r="E144" s="2638"/>
      <c r="F144" s="2638"/>
      <c r="G144" s="2638"/>
      <c r="H144" s="2638"/>
      <c r="I144" s="2639"/>
      <c r="J144" s="2910"/>
      <c r="K144" s="2911"/>
      <c r="P144" s="2910"/>
      <c r="Q144" s="2911"/>
      <c r="V144" s="2876"/>
      <c r="W144" s="2903"/>
      <c r="X144" s="2904"/>
    </row>
    <row r="145" spans="1:24" s="329" customFormat="1" ht="13.9" customHeight="1" thickBot="1">
      <c r="B145" s="340" t="s">
        <v>1935</v>
      </c>
      <c r="C145" s="343"/>
      <c r="J145" s="1540">
        <f>SUM(J139:K144)</f>
        <v>0</v>
      </c>
      <c r="K145" s="1541"/>
      <c r="P145" s="1540">
        <f>SUM(P139:Q144)</f>
        <v>0</v>
      </c>
      <c r="Q145" s="1541"/>
      <c r="V145" s="2884">
        <f>SUM(V139:V144)</f>
        <v>0</v>
      </c>
      <c r="W145" s="2906"/>
      <c r="X145" s="2907"/>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5">
        <f>J131</f>
        <v>0</v>
      </c>
      <c r="K148" s="1596"/>
      <c r="M148" s="1597">
        <f>M131</f>
        <v>2759760</v>
      </c>
      <c r="N148" s="1598"/>
      <c r="P148" s="1595">
        <f>P131</f>
        <v>6145691</v>
      </c>
      <c r="Q148" s="1596"/>
      <c r="V148" s="2876"/>
      <c r="W148" s="2901"/>
      <c r="X148" s="2902"/>
    </row>
    <row r="149" spans="1:24" s="329" customFormat="1" ht="13.9" customHeight="1">
      <c r="B149" s="329" t="s">
        <v>2299</v>
      </c>
      <c r="J149" s="1580">
        <f>J145</f>
        <v>0</v>
      </c>
      <c r="K149" s="1587"/>
      <c r="M149" s="1581"/>
      <c r="N149" s="1581"/>
      <c r="P149" s="1580">
        <f>P145</f>
        <v>0</v>
      </c>
      <c r="Q149" s="1587"/>
      <c r="V149" s="2876"/>
      <c r="W149" s="2903"/>
      <c r="X149" s="2904"/>
    </row>
    <row r="150" spans="1:24" s="329" customFormat="1" ht="13.9" customHeight="1">
      <c r="B150" s="329" t="s">
        <v>2300</v>
      </c>
      <c r="J150" s="1580">
        <f>J148-J149</f>
        <v>0</v>
      </c>
      <c r="K150" s="1587"/>
      <c r="M150" s="1580">
        <f>M148</f>
        <v>2759760</v>
      </c>
      <c r="N150" s="1587"/>
      <c r="P150" s="1580">
        <f>P148-P149</f>
        <v>6145691</v>
      </c>
      <c r="Q150" s="1587"/>
      <c r="V150" s="2876"/>
      <c r="W150" s="2903"/>
      <c r="X150" s="2904"/>
    </row>
    <row r="151" spans="1:24" s="329" customFormat="1" ht="13.9" customHeight="1">
      <c r="B151" s="329" t="s">
        <v>1542</v>
      </c>
      <c r="G151" s="1393" t="s">
        <v>1778</v>
      </c>
      <c r="H151" s="2628" t="s">
        <v>1837</v>
      </c>
      <c r="I151" s="2629"/>
      <c r="J151" s="2912"/>
      <c r="K151" s="2913"/>
      <c r="M151" s="1594"/>
      <c r="N151" s="1594"/>
      <c r="P151" s="2912">
        <v>1</v>
      </c>
      <c r="Q151" s="2913"/>
      <c r="V151" s="2876"/>
      <c r="W151" s="2903"/>
      <c r="X151" s="2904"/>
    </row>
    <row r="152" spans="1:24" s="329" customFormat="1" ht="13.9" customHeight="1">
      <c r="B152" s="329" t="s">
        <v>2132</v>
      </c>
      <c r="J152" s="1580">
        <f>J150*J151</f>
        <v>0</v>
      </c>
      <c r="K152" s="1587"/>
      <c r="M152" s="1580">
        <f>+M150</f>
        <v>2759760</v>
      </c>
      <c r="N152" s="1587"/>
      <c r="P152" s="1580">
        <f>P150*P151</f>
        <v>6145691</v>
      </c>
      <c r="Q152" s="1587"/>
      <c r="V152" s="2876"/>
      <c r="W152" s="2903"/>
      <c r="X152" s="2904"/>
    </row>
    <row r="153" spans="1:24" s="329" customFormat="1" ht="13.9" customHeight="1">
      <c r="B153" s="329" t="s">
        <v>2629</v>
      </c>
      <c r="J153" s="1592">
        <f>MIN('Part VI-Revenues &amp; Expenses'!$O$58/'Part VI-Revenues &amp; Expenses'!$O$60,'Part VI-Revenues &amp; Expenses'!$O$115/'Part VI-Revenues &amp; Expenses'!$O$117)</f>
        <v>1</v>
      </c>
      <c r="K153" s="1593"/>
      <c r="M153" s="1592">
        <f>MIN('Part VI-Revenues &amp; Expenses'!$O$58/'Part VI-Revenues &amp; Expenses'!$O$60,'Part VI-Revenues &amp; Expenses'!$O$115/'Part VI-Revenues &amp; Expenses'!$O$117)</f>
        <v>1</v>
      </c>
      <c r="N153" s="1593"/>
      <c r="P153" s="1592">
        <f>MIN('Part VI-Revenues &amp; Expenses'!$O$58/'Part VI-Revenues &amp; Expenses'!$O$60,'Part VI-Revenues &amp; Expenses'!$O$115/'Part VI-Revenues &amp; Expenses'!$O$117)</f>
        <v>1</v>
      </c>
      <c r="Q153" s="1593"/>
      <c r="V153" s="2876"/>
      <c r="W153" s="2903"/>
      <c r="X153" s="2904"/>
    </row>
    <row r="154" spans="1:24" s="329" customFormat="1" ht="13.9" customHeight="1">
      <c r="B154" s="329" t="s">
        <v>2123</v>
      </c>
      <c r="J154" s="1580">
        <f>J152*J153</f>
        <v>0</v>
      </c>
      <c r="K154" s="1587"/>
      <c r="M154" s="1580">
        <f>M152*M153</f>
        <v>2759760</v>
      </c>
      <c r="N154" s="1587"/>
      <c r="P154" s="1580">
        <f>P152*P153</f>
        <v>6145691</v>
      </c>
      <c r="Q154" s="1587"/>
      <c r="V154" s="2876"/>
      <c r="W154" s="2903"/>
      <c r="X154" s="2904"/>
    </row>
    <row r="155" spans="1:24" s="329" customFormat="1" ht="13.9" customHeight="1">
      <c r="B155" s="329" t="s">
        <v>2124</v>
      </c>
      <c r="J155" s="2912"/>
      <c r="K155" s="2913"/>
      <c r="M155" s="2912">
        <v>3.1800000000000002E-2</v>
      </c>
      <c r="N155" s="2913"/>
      <c r="P155" s="2912">
        <v>0.09</v>
      </c>
      <c r="Q155" s="2913"/>
      <c r="V155" s="2876"/>
      <c r="W155" s="2903"/>
      <c r="X155" s="2904"/>
    </row>
    <row r="156" spans="1:24" s="329" customFormat="1" ht="13.9" customHeight="1" thickBot="1">
      <c r="B156" s="329" t="s">
        <v>2630</v>
      </c>
      <c r="J156" s="1590">
        <f>J154*J155</f>
        <v>0</v>
      </c>
      <c r="K156" s="1591"/>
      <c r="M156" s="1590">
        <f>M154*M155</f>
        <v>87760.368000000002</v>
      </c>
      <c r="N156" s="1591"/>
      <c r="P156" s="1590">
        <f>P154*P155</f>
        <v>553112.18999999994</v>
      </c>
      <c r="Q156" s="1591"/>
      <c r="V156" s="2914"/>
      <c r="W156" s="2903"/>
      <c r="X156" s="2904"/>
    </row>
    <row r="157" spans="1:24" s="329" customFormat="1" ht="13.9" customHeight="1" thickBot="1">
      <c r="B157" s="331" t="s">
        <v>1478</v>
      </c>
      <c r="J157" s="1540">
        <f>J156+M156+P156</f>
        <v>640872.55799999996</v>
      </c>
      <c r="K157" s="1613"/>
      <c r="L157" s="1613"/>
      <c r="M157" s="1613"/>
      <c r="N157" s="1613"/>
      <c r="O157" s="1613"/>
      <c r="P157" s="1613"/>
      <c r="Q157" s="1541"/>
      <c r="V157" s="2876"/>
      <c r="W157" s="2906"/>
      <c r="X157" s="2907"/>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2886</v>
      </c>
      <c r="G161" s="1608" t="str">
        <f>IF(J162&gt;J161,"TDC exceeds QAP PUCL!","")</f>
        <v/>
      </c>
      <c r="H161" s="1608"/>
      <c r="I161" s="1609"/>
      <c r="J161" s="1610">
        <f>'Part VIII-Threshold Criteria'!$P$65</f>
        <v>12384982</v>
      </c>
      <c r="K161" s="1611"/>
      <c r="L161" s="1612"/>
      <c r="M161" s="1602" t="s">
        <v>2861</v>
      </c>
      <c r="N161" s="1603"/>
      <c r="O161" s="1603"/>
      <c r="P161" s="1603"/>
      <c r="Q161" s="1603"/>
      <c r="R161" s="1604"/>
      <c r="S161" s="1602" t="s">
        <v>4111</v>
      </c>
      <c r="T161" s="1604"/>
      <c r="V161" s="2876"/>
      <c r="W161" s="2901"/>
      <c r="X161" s="2902"/>
    </row>
    <row r="162" spans="1:24" s="329" customFormat="1" ht="13.9" customHeight="1">
      <c r="B162" s="329" t="s">
        <v>2863</v>
      </c>
      <c r="J162" s="2915">
        <f>MIN(G131,J161,(G131-O164))</f>
        <v>9614942</v>
      </c>
      <c r="K162" s="2916"/>
      <c r="L162" s="2917"/>
      <c r="M162" s="1605"/>
      <c r="N162" s="1606"/>
      <c r="O162" s="1606"/>
      <c r="P162" s="1606"/>
      <c r="Q162" s="1606"/>
      <c r="R162" s="1607"/>
      <c r="S162" s="1605"/>
      <c r="T162" s="1607"/>
      <c r="V162" s="2876"/>
      <c r="W162" s="2903"/>
      <c r="X162" s="2904"/>
    </row>
    <row r="163" spans="1:24" s="329" customFormat="1" ht="13.9" customHeight="1">
      <c r="B163" s="329" t="s">
        <v>275</v>
      </c>
      <c r="J163" s="1580">
        <f>'Part III-Sources of Funds'!$I$54-'Part III-Sources of Funds'!$I$41-'Part III-Sources of Funds'!$I$42-'Part III-Sources of Funds'!$I$45-'Part III-Sources of Funds'!$I$46</f>
        <v>1600000</v>
      </c>
      <c r="K163" s="1581"/>
      <c r="L163" s="1582"/>
      <c r="M163" s="1605"/>
      <c r="N163" s="1606"/>
      <c r="O163" s="1606"/>
      <c r="P163" s="1606"/>
      <c r="Q163" s="1606"/>
      <c r="R163" s="1607"/>
      <c r="S163" s="1605"/>
      <c r="T163" s="1607"/>
      <c r="V163" s="2876"/>
      <c r="W163" s="2903"/>
      <c r="X163" s="2904"/>
    </row>
    <row r="164" spans="1:24" s="329" customFormat="1" ht="13.9" customHeight="1" thickBot="1">
      <c r="B164" s="329" t="s">
        <v>2311</v>
      </c>
      <c r="J164" s="1580">
        <f>+J162-J163</f>
        <v>8014942</v>
      </c>
      <c r="K164" s="1581"/>
      <c r="L164" s="1582"/>
      <c r="M164" s="1588" t="s">
        <v>2862</v>
      </c>
      <c r="N164" s="1589"/>
      <c r="O164" s="1614">
        <f>'Part III-Sources of Funds'!$I$41</f>
        <v>0</v>
      </c>
      <c r="P164" s="1614"/>
      <c r="Q164" s="1614"/>
      <c r="R164" s="1615"/>
      <c r="S164" s="459" t="s">
        <v>1721</v>
      </c>
      <c r="T164" s="2918"/>
      <c r="V164" s="2876"/>
      <c r="W164" s="2903"/>
      <c r="X164" s="2904"/>
    </row>
    <row r="165" spans="1:24" s="329" customFormat="1" ht="13.9" customHeight="1">
      <c r="B165" s="329" t="s">
        <v>1335</v>
      </c>
      <c r="J165" s="1583" t="str">
        <f>"/ 10"</f>
        <v>/ 10</v>
      </c>
      <c r="K165" s="1583"/>
      <c r="L165" s="1583"/>
      <c r="M165" s="1399"/>
      <c r="N165" s="536"/>
      <c r="O165" s="536"/>
      <c r="P165" s="536"/>
      <c r="Q165" s="536"/>
      <c r="R165" s="536"/>
      <c r="W165" s="2903"/>
      <c r="X165" s="2904"/>
    </row>
    <row r="166" spans="1:24" s="329" customFormat="1" ht="13.9" customHeight="1">
      <c r="B166" s="329" t="s">
        <v>1336</v>
      </c>
      <c r="J166" s="1580">
        <f>J164/10</f>
        <v>801494.2</v>
      </c>
      <c r="K166" s="1581"/>
      <c r="L166" s="1587"/>
      <c r="M166" s="348"/>
      <c r="N166" s="1457" t="s">
        <v>1337</v>
      </c>
      <c r="O166" s="1457"/>
      <c r="Q166" s="1457" t="s">
        <v>1865</v>
      </c>
      <c r="R166" s="1457"/>
      <c r="V166" s="2876"/>
      <c r="W166" s="2903"/>
      <c r="X166" s="2904"/>
    </row>
    <row r="167" spans="1:24" s="329" customFormat="1" ht="13.9" customHeight="1" thickBot="1">
      <c r="B167" s="329" t="s">
        <v>1541</v>
      </c>
      <c r="J167" s="1616">
        <f>N167+Q167</f>
        <v>1.45</v>
      </c>
      <c r="K167" s="1617"/>
      <c r="L167" s="1618"/>
      <c r="M167" s="1393" t="s">
        <v>1338</v>
      </c>
      <c r="N167" s="2919">
        <v>1</v>
      </c>
      <c r="O167" s="2920"/>
      <c r="P167" s="1393" t="s">
        <v>636</v>
      </c>
      <c r="Q167" s="2919">
        <v>0.45</v>
      </c>
      <c r="R167" s="2920"/>
      <c r="V167" s="2876"/>
      <c r="W167" s="2903"/>
      <c r="X167" s="2904"/>
    </row>
    <row r="168" spans="1:24" s="329" customFormat="1" ht="13.9" customHeight="1" thickBot="1">
      <c r="B168" s="331" t="s">
        <v>1479</v>
      </c>
      <c r="J168" s="1540">
        <f>IF(J167=0,"",J166/J167)</f>
        <v>552754.62068965519</v>
      </c>
      <c r="K168" s="1613"/>
      <c r="L168" s="1541"/>
      <c r="M168" s="348"/>
      <c r="N168" s="1399"/>
      <c r="O168" s="1399"/>
      <c r="V168" s="2876"/>
      <c r="W168" s="2903"/>
      <c r="X168" s="2904"/>
    </row>
    <row r="169" spans="1:24" s="329" customFormat="1" ht="6" customHeight="1">
      <c r="J169" s="403"/>
      <c r="K169" s="403"/>
      <c r="L169" s="403"/>
      <c r="M169" s="348"/>
      <c r="N169" s="1403"/>
      <c r="O169" s="1403"/>
      <c r="W169" s="2903"/>
      <c r="X169" s="2904"/>
    </row>
    <row r="170" spans="1:24" s="329" customFormat="1" ht="16.149999999999999" customHeight="1">
      <c r="B170" s="331" t="s">
        <v>3044</v>
      </c>
      <c r="J170" s="158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552754.62068965519</v>
      </c>
      <c r="K170" s="1585"/>
      <c r="L170" s="1586"/>
      <c r="M170" s="348"/>
      <c r="N170" s="1403"/>
      <c r="O170" s="1403"/>
      <c r="V170" s="2876"/>
      <c r="W170" s="2903"/>
      <c r="X170" s="2904"/>
    </row>
    <row r="171" spans="1:24" s="329" customFormat="1" ht="3" customHeight="1">
      <c r="J171" s="403"/>
      <c r="K171" s="403"/>
      <c r="L171" s="403"/>
      <c r="M171" s="348"/>
      <c r="N171" s="1403"/>
      <c r="O171" s="1403"/>
      <c r="W171" s="2903"/>
      <c r="X171" s="2904"/>
    </row>
    <row r="172" spans="1:24" s="329" customFormat="1" ht="16.149999999999999" customHeight="1">
      <c r="B172" s="331" t="s">
        <v>362</v>
      </c>
      <c r="J172" s="2921">
        <v>552754</v>
      </c>
      <c r="K172" s="2922"/>
      <c r="L172" s="2923"/>
      <c r="M172" s="404" t="str">
        <f>IF(J170=0,"",IF(J172&gt;J170,"ALLOCATION CANNOT EXCEED MAXIMUM - REVISE REQUEST!",""))</f>
        <v/>
      </c>
      <c r="N172" s="1403"/>
      <c r="O172" s="1403"/>
      <c r="V172" s="2876"/>
      <c r="W172" s="2903"/>
      <c r="X172" s="2904"/>
    </row>
    <row r="173" spans="1:24" s="329" customFormat="1" ht="3" customHeight="1">
      <c r="J173" s="403"/>
      <c r="K173" s="403"/>
      <c r="L173" s="403"/>
      <c r="M173" s="348"/>
      <c r="N173" s="1403"/>
      <c r="O173" s="1403"/>
      <c r="W173" s="2903"/>
      <c r="X173" s="2904"/>
    </row>
    <row r="174" spans="1:24" s="329" customFormat="1" ht="16.149999999999999" customHeight="1">
      <c r="A174" s="474" t="s">
        <v>1858</v>
      </c>
      <c r="B174" s="474" t="s">
        <v>2708</v>
      </c>
      <c r="D174" s="348"/>
      <c r="E174" s="348"/>
      <c r="F174" s="334"/>
      <c r="J174" s="1599">
        <f>IF(J172="",0,+MIN(J170,J172))</f>
        <v>552754</v>
      </c>
      <c r="K174" s="1600"/>
      <c r="L174" s="1601"/>
      <c r="N174" s="2924"/>
      <c r="O174" s="2924"/>
      <c r="P174" s="2924"/>
      <c r="Q174" s="2924"/>
      <c r="R174" s="2924"/>
      <c r="S174" s="2924"/>
      <c r="T174" s="2924"/>
      <c r="V174" s="2876"/>
      <c r="W174" s="2906"/>
      <c r="X174" s="2907"/>
    </row>
    <row r="175" spans="1:24" ht="3" customHeight="1"/>
    <row r="176" spans="1:24" ht="6" customHeight="1"/>
    <row r="177" spans="1:24" ht="12" customHeight="1">
      <c r="A177" s="331" t="s">
        <v>1860</v>
      </c>
      <c r="B177" s="357" t="s">
        <v>593</v>
      </c>
      <c r="K177" s="331" t="s">
        <v>549</v>
      </c>
      <c r="L177" s="331" t="s">
        <v>81</v>
      </c>
    </row>
    <row r="178" spans="1:24" ht="201" customHeight="1">
      <c r="A178" s="2925" t="s">
        <v>4352</v>
      </c>
      <c r="B178" s="2926"/>
      <c r="C178" s="2926"/>
      <c r="D178" s="2926"/>
      <c r="E178" s="2926"/>
      <c r="F178" s="2926"/>
      <c r="G178" s="2926"/>
      <c r="H178" s="2926"/>
      <c r="I178" s="2926"/>
      <c r="J178" s="2927"/>
      <c r="K178" s="2928"/>
      <c r="L178" s="2929"/>
      <c r="M178" s="2929"/>
      <c r="N178" s="2929"/>
      <c r="O178" s="2929"/>
      <c r="P178" s="2929"/>
      <c r="Q178" s="2929"/>
      <c r="R178" s="2929"/>
      <c r="S178" s="2929"/>
      <c r="T178" s="2930"/>
      <c r="W178" s="1534" t="s">
        <v>2796</v>
      </c>
      <c r="X178" s="153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fgktnXAlu4lfWGJxz5l4NAsT7Pk1UTlNGVGwTcAYTG6VChbRkW0GjGw9gzFPgOFgbT/ESwV8bWxaJVzg3B4S8w==" saltValue="5z+hKrjk8uXUh5/Zd8e6UA=="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7">
    <cfRule type="cellIs" dxfId="65" priority="3" operator="greaterThan">
      <formula>$G$35</formula>
    </cfRule>
  </conditionalFormatting>
  <conditionalFormatting sqref="J36:K37 M36:N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13" zoomScale="136" zoomScaleNormal="136" zoomScaleSheetLayoutView="70" workbookViewId="0">
      <selection activeCell="A13" sqref="A1:XFD1048576"/>
    </sheetView>
  </sheetViews>
  <sheetFormatPr defaultRowHeight="12.75"/>
  <cols>
    <col min="1" max="1" width="10.7109375" style="2931" customWidth="1"/>
    <col min="2" max="2" width="13" style="2931" customWidth="1"/>
    <col min="3" max="3" width="11.140625" style="2931" customWidth="1"/>
    <col min="4" max="4" width="13" style="2931" customWidth="1"/>
    <col min="5" max="5" width="0.7109375" style="2931" customWidth="1"/>
    <col min="6" max="6" width="42.5703125" style="2931" customWidth="1"/>
    <col min="7" max="7" width="0.85546875" style="2931" customWidth="1"/>
    <col min="8" max="8" width="42.5703125" style="2931" customWidth="1"/>
    <col min="9" max="16384" width="9.140625" style="2931"/>
  </cols>
  <sheetData>
    <row r="1" spans="1:14" ht="15.75">
      <c r="A1" s="1654" t="str">
        <f>CONCATENATE("PART FOUR (b) -  OTHER COSTS","  -  ",'Part I-Project Information'!$O$4," - ",'Part I-Project Information'!$F$24,"  -  ",'Part I-Project Information'!$F$28,"  -  ",'Part I-Project Information'!$J$29,",  ","County")</f>
        <v>PART FOUR (b) -  OTHER COSTS  -  2016-079 - The Pines Apartments  -  St. Marys  -  Camden,  County</v>
      </c>
      <c r="B1" s="1655"/>
      <c r="C1" s="1655"/>
      <c r="D1" s="1655"/>
      <c r="E1" s="1655"/>
      <c r="F1" s="1655"/>
      <c r="G1" s="1655"/>
      <c r="H1" s="1655"/>
      <c r="I1" s="1356"/>
      <c r="J1" s="1356"/>
      <c r="K1" s="1356"/>
      <c r="L1" s="1356"/>
      <c r="M1" s="1356"/>
      <c r="N1" s="1356"/>
    </row>
    <row r="2" spans="1:14" ht="9" customHeight="1"/>
    <row r="3" spans="1:14" ht="57" customHeight="1">
      <c r="A3" s="2932" t="s">
        <v>4196</v>
      </c>
      <c r="B3" s="2933"/>
      <c r="C3" s="2933"/>
      <c r="D3" s="2933"/>
      <c r="E3" s="2933"/>
      <c r="F3" s="2933"/>
      <c r="G3" s="2933"/>
      <c r="H3" s="2934"/>
    </row>
    <row r="4" spans="1:14" ht="6" customHeight="1"/>
    <row r="5" spans="1:14" ht="27" customHeight="1">
      <c r="A5" s="1656" t="s">
        <v>4182</v>
      </c>
      <c r="B5" s="1656"/>
      <c r="C5" s="1656"/>
      <c r="D5" s="1656"/>
      <c r="F5" s="1357" t="s">
        <v>4183</v>
      </c>
      <c r="G5" s="704"/>
      <c r="H5" s="1357" t="s">
        <v>4184</v>
      </c>
    </row>
    <row r="6" spans="1:14" ht="6.75" customHeight="1">
      <c r="A6" s="704"/>
      <c r="B6" s="704"/>
      <c r="C6" s="704"/>
      <c r="D6" s="704"/>
    </row>
    <row r="7" spans="1:14" s="2935" customFormat="1" ht="4.5" customHeight="1">
      <c r="A7" s="1358"/>
      <c r="B7" s="1358"/>
      <c r="C7" s="1358"/>
      <c r="D7" s="1358"/>
      <c r="E7" s="1358"/>
      <c r="F7" s="1358"/>
      <c r="G7" s="1358"/>
    </row>
    <row r="8" spans="1:14" s="2935" customFormat="1">
      <c r="A8" s="1367" t="s">
        <v>104</v>
      </c>
      <c r="B8" s="1359"/>
      <c r="C8" s="1359"/>
      <c r="D8" s="1359"/>
      <c r="E8" s="1359"/>
      <c r="F8" s="1359"/>
      <c r="G8" s="1359"/>
    </row>
    <row r="9" spans="1:14" s="2935" customFormat="1" ht="41.25" customHeight="1">
      <c r="A9" s="1651" t="str">
        <f>'Part IV-Uses of Funds'!$C$14</f>
        <v xml:space="preserve">Physical Needs Assessment </v>
      </c>
      <c r="B9" s="1652"/>
      <c r="C9" s="1652"/>
      <c r="D9" s="1653"/>
      <c r="F9" s="2936" t="s">
        <v>4375</v>
      </c>
      <c r="G9" s="1359"/>
      <c r="H9" s="2936" t="s">
        <v>4378</v>
      </c>
    </row>
    <row r="10" spans="1:14" s="2935" customFormat="1" ht="41.25" customHeight="1">
      <c r="A10" s="1648"/>
      <c r="B10" s="1649"/>
      <c r="C10" s="1649"/>
      <c r="D10" s="1650"/>
      <c r="F10" s="2937"/>
      <c r="G10" s="1359"/>
      <c r="H10" s="2937"/>
    </row>
    <row r="11" spans="1:14" s="2935" customFormat="1" ht="4.5" customHeight="1">
      <c r="F11" s="2937"/>
      <c r="G11" s="1359"/>
      <c r="H11" s="2937"/>
    </row>
    <row r="12" spans="1:14" s="2935" customFormat="1" ht="15" customHeight="1">
      <c r="A12" s="1366" t="s">
        <v>4187</v>
      </c>
      <c r="B12" s="1365">
        <f>'Part IV-Uses of Funds'!$G$14</f>
        <v>3900</v>
      </c>
      <c r="C12" s="1366" t="s">
        <v>1856</v>
      </c>
      <c r="D12" s="1365">
        <f>'Part IV-Uses of Funds'!$J$14+'Part IV-Uses of Funds'!$M$14+'Part IV-Uses of Funds'!$P$14</f>
        <v>3900</v>
      </c>
      <c r="F12" s="2937"/>
      <c r="G12" s="1359"/>
      <c r="H12" s="2937"/>
    </row>
    <row r="13" spans="1:14" s="2935" customFormat="1" ht="6" customHeight="1">
      <c r="A13" s="1359"/>
      <c r="B13" s="1360"/>
      <c r="C13" s="1359"/>
      <c r="D13" s="1359"/>
      <c r="F13" s="2937"/>
      <c r="G13" s="1361"/>
      <c r="H13" s="2937"/>
    </row>
    <row r="14" spans="1:14" s="2935" customFormat="1" ht="41.25" customHeight="1">
      <c r="A14" s="1651" t="str">
        <f>'Part IV-Uses of Funds'!$C$15</f>
        <v>Asbestos &amp; Radon Testing</v>
      </c>
      <c r="B14" s="1652"/>
      <c r="C14" s="1652"/>
      <c r="D14" s="1653"/>
      <c r="F14" s="2937" t="s">
        <v>4376</v>
      </c>
      <c r="G14" s="1359"/>
      <c r="H14" s="2937" t="s">
        <v>4377</v>
      </c>
    </row>
    <row r="15" spans="1:14" s="2935" customFormat="1" ht="41.25" customHeight="1">
      <c r="A15" s="1648"/>
      <c r="B15" s="1649"/>
      <c r="C15" s="1649"/>
      <c r="D15" s="1650"/>
      <c r="F15" s="2937"/>
      <c r="G15" s="1359"/>
      <c r="H15" s="2937"/>
    </row>
    <row r="16" spans="1:14" s="2935" customFormat="1" ht="4.5" customHeight="1">
      <c r="F16" s="2937"/>
      <c r="G16" s="1359"/>
      <c r="H16" s="2937"/>
    </row>
    <row r="17" spans="1:8" s="2935" customFormat="1" ht="15" customHeight="1">
      <c r="A17" s="1366" t="s">
        <v>4187</v>
      </c>
      <c r="B17" s="1365">
        <f>'Part IV-Uses of Funds'!$G$15</f>
        <v>4600</v>
      </c>
      <c r="C17" s="1366" t="s">
        <v>1856</v>
      </c>
      <c r="D17" s="1365">
        <f>'Part IV-Uses of Funds'!$J$15+'Part IV-Uses of Funds'!$M$15+'Part IV-Uses of Funds'!$P$15</f>
        <v>4600</v>
      </c>
      <c r="F17" s="2937"/>
      <c r="G17" s="1359"/>
      <c r="H17" s="2937"/>
    </row>
    <row r="18" spans="1:8" s="2935" customFormat="1" ht="6" customHeight="1">
      <c r="A18" s="1359"/>
      <c r="B18" s="1360"/>
      <c r="C18" s="1359"/>
      <c r="D18" s="1359"/>
      <c r="F18" s="2937"/>
      <c r="G18" s="1361"/>
      <c r="H18" s="2937"/>
    </row>
    <row r="19" spans="1:8" s="2935" customFormat="1" ht="41.25" customHeight="1">
      <c r="A19" s="1651" t="str">
        <f>'Part IV-Uses of Funds'!$C$16</f>
        <v>Energy Audit Report - Rehab Project</v>
      </c>
      <c r="B19" s="1652"/>
      <c r="C19" s="1652"/>
      <c r="D19" s="1653"/>
      <c r="F19" s="2937" t="s">
        <v>4374</v>
      </c>
      <c r="G19" s="1359"/>
      <c r="H19" s="2937" t="s">
        <v>4391</v>
      </c>
    </row>
    <row r="20" spans="1:8" s="2935" customFormat="1" ht="41.25" customHeight="1">
      <c r="A20" s="1648"/>
      <c r="B20" s="1649"/>
      <c r="C20" s="1649"/>
      <c r="D20" s="1650"/>
      <c r="F20" s="2937"/>
      <c r="G20" s="1359"/>
      <c r="H20" s="2937"/>
    </row>
    <row r="21" spans="1:8" s="2935" customFormat="1" ht="4.5" customHeight="1">
      <c r="F21" s="2937"/>
      <c r="G21" s="1359"/>
      <c r="H21" s="2937"/>
    </row>
    <row r="22" spans="1:8" s="2935" customFormat="1" ht="15" customHeight="1">
      <c r="A22" s="1366" t="s">
        <v>4187</v>
      </c>
      <c r="B22" s="1365">
        <f>'Part IV-Uses of Funds'!$G$16</f>
        <v>3100</v>
      </c>
      <c r="C22" s="1366" t="s">
        <v>1856</v>
      </c>
      <c r="D22" s="1365">
        <f>'Part IV-Uses of Funds'!$J$16+'Part IV-Uses of Funds'!$M$16+'Part IV-Uses of Funds'!$P$16</f>
        <v>3100</v>
      </c>
      <c r="F22" s="2937"/>
      <c r="G22" s="1359"/>
      <c r="H22" s="2937"/>
    </row>
    <row r="23" spans="1:8" s="2935" customFormat="1" ht="6" customHeight="1">
      <c r="A23" s="1359"/>
      <c r="B23" s="1360"/>
      <c r="C23" s="1359"/>
      <c r="D23" s="1359"/>
      <c r="F23" s="2938"/>
      <c r="G23" s="1361"/>
      <c r="H23" s="2938"/>
    </row>
    <row r="24" spans="1:8" s="2935" customFormat="1">
      <c r="A24" s="1367" t="s">
        <v>4186</v>
      </c>
      <c r="B24" s="1359"/>
      <c r="C24" s="1359"/>
      <c r="D24" s="1359"/>
      <c r="E24" s="1359"/>
      <c r="F24" s="1359"/>
      <c r="G24" s="1359"/>
    </row>
    <row r="25" spans="1:8" s="2935" customFormat="1" ht="41.25" customHeight="1">
      <c r="A25" s="1651" t="str">
        <f>'Part IV-Uses of Funds'!$C$41</f>
        <v>&lt;&lt; Enter description here; provide detail &amp; justification in tab Part IV-b &gt;&gt;</v>
      </c>
      <c r="B25" s="1652"/>
      <c r="C25" s="1652"/>
      <c r="D25" s="1653"/>
      <c r="E25" s="1359"/>
      <c r="F25" s="2939"/>
      <c r="G25" s="1359"/>
      <c r="H25" s="2939"/>
    </row>
    <row r="26" spans="1:8" s="2935" customFormat="1" ht="41.25" customHeight="1">
      <c r="A26" s="1648"/>
      <c r="B26" s="1649"/>
      <c r="C26" s="1649"/>
      <c r="D26" s="1650"/>
      <c r="E26" s="1359"/>
      <c r="F26" s="2940"/>
      <c r="G26" s="1359"/>
      <c r="H26" s="2940"/>
    </row>
    <row r="27" spans="1:8" s="2935" customFormat="1" ht="4.5" customHeight="1">
      <c r="A27" s="1359"/>
      <c r="B27" s="1359"/>
      <c r="C27" s="1359"/>
      <c r="D27" s="1359"/>
      <c r="E27" s="1359"/>
      <c r="F27" s="2940"/>
      <c r="G27" s="1359"/>
      <c r="H27" s="2940"/>
    </row>
    <row r="28" spans="1:8" s="2935" customFormat="1">
      <c r="A28" s="1366" t="s">
        <v>4187</v>
      </c>
      <c r="B28" s="1365">
        <f>'Part IV-Uses of Funds'!$G$41</f>
        <v>0</v>
      </c>
      <c r="C28" s="1366" t="s">
        <v>1856</v>
      </c>
      <c r="D28" s="1365">
        <f>'Part IV-Uses of Funds'!$J$41+'Part IV-Uses of Funds'!$M$41+'Part IV-Uses of Funds'!$P$41</f>
        <v>0</v>
      </c>
      <c r="E28" s="1359"/>
      <c r="F28" s="2940"/>
      <c r="G28" s="1359"/>
      <c r="H28" s="2940"/>
    </row>
    <row r="29" spans="1:8" s="2935" customFormat="1" ht="6" customHeight="1">
      <c r="A29" s="1359"/>
      <c r="B29" s="1360"/>
      <c r="C29" s="1359"/>
      <c r="D29" s="1359"/>
      <c r="E29" s="1359"/>
      <c r="F29" s="2941"/>
      <c r="G29" s="1361"/>
      <c r="H29" s="2941"/>
    </row>
    <row r="30" spans="1:8" s="2935" customFormat="1">
      <c r="A30" s="1367" t="s">
        <v>752</v>
      </c>
      <c r="B30" s="1359"/>
      <c r="C30" s="1359"/>
      <c r="D30" s="1359"/>
      <c r="E30" s="1359"/>
      <c r="F30" s="1359"/>
      <c r="G30" s="1359"/>
    </row>
    <row r="31" spans="1:8" s="2935" customFormat="1" ht="41.25" customHeight="1">
      <c r="A31" s="1645" t="str">
        <f>'Part IV-Uses of Funds'!$C$62</f>
        <v>&lt;&lt; Enter description here; provide detail &amp; justification in tab Part IV-b &gt;&gt;</v>
      </c>
      <c r="B31" s="1646"/>
      <c r="C31" s="1646"/>
      <c r="D31" s="1647"/>
      <c r="E31" s="1359"/>
      <c r="F31" s="2936"/>
      <c r="G31" s="1359"/>
      <c r="H31" s="2936"/>
    </row>
    <row r="32" spans="1:8" s="2935" customFormat="1" ht="41.25" customHeight="1">
      <c r="A32" s="1648"/>
      <c r="B32" s="1649"/>
      <c r="C32" s="1649"/>
      <c r="D32" s="1650"/>
      <c r="E32" s="1359"/>
      <c r="F32" s="2937"/>
      <c r="G32" s="1359"/>
      <c r="H32" s="2937"/>
    </row>
    <row r="33" spans="1:8" s="2935" customFormat="1" ht="4.5" customHeight="1">
      <c r="A33" s="1359"/>
      <c r="B33" s="1359"/>
      <c r="C33" s="1359"/>
      <c r="D33" s="1359"/>
      <c r="E33" s="1359"/>
      <c r="F33" s="2937"/>
      <c r="G33" s="1359"/>
      <c r="H33" s="2937"/>
    </row>
    <row r="34" spans="1:8" s="2935" customFormat="1" ht="14.25" customHeight="1">
      <c r="A34" s="1366" t="s">
        <v>4187</v>
      </c>
      <c r="B34" s="1365">
        <f>'Part IV-Uses of Funds'!$G$62</f>
        <v>0</v>
      </c>
      <c r="C34" s="1366" t="s">
        <v>1856</v>
      </c>
      <c r="D34" s="1365">
        <f>'Part IV-Uses of Funds'!$J$62+'Part IV-Uses of Funds'!$M$62+'Part IV-Uses of Funds'!$P$62</f>
        <v>0</v>
      </c>
      <c r="E34" s="1359"/>
      <c r="F34" s="2937"/>
      <c r="G34" s="1359"/>
      <c r="H34" s="2937"/>
    </row>
    <row r="35" spans="1:8" s="2935" customFormat="1" ht="6" customHeight="1">
      <c r="D35" s="1359"/>
      <c r="E35" s="1359"/>
      <c r="F35" s="2937"/>
      <c r="G35" s="1361"/>
      <c r="H35" s="2937"/>
    </row>
    <row r="36" spans="1:8" s="2935" customFormat="1" ht="41.25" customHeight="1">
      <c r="A36" s="1645" t="str">
        <f>'Part IV-Uses of Funds'!$C$63</f>
        <v>&lt;&lt; Enter description here; provide detail &amp; justification in tab Part IV-b &gt;&gt;</v>
      </c>
      <c r="B36" s="1646"/>
      <c r="C36" s="1646"/>
      <c r="D36" s="1647"/>
      <c r="E36" s="1359"/>
      <c r="F36" s="2937"/>
      <c r="G36" s="1359"/>
      <c r="H36" s="2937"/>
    </row>
    <row r="37" spans="1:8" s="2935" customFormat="1" ht="41.25" customHeight="1">
      <c r="A37" s="1648"/>
      <c r="B37" s="1649"/>
      <c r="C37" s="1649"/>
      <c r="D37" s="1650"/>
      <c r="E37" s="1359"/>
      <c r="F37" s="2937"/>
      <c r="G37" s="1359"/>
      <c r="H37" s="2937"/>
    </row>
    <row r="38" spans="1:8" s="2935" customFormat="1" ht="4.5" customHeight="1">
      <c r="A38" s="1359"/>
      <c r="B38" s="1359"/>
      <c r="C38" s="1359"/>
      <c r="D38" s="1359"/>
      <c r="E38" s="1359"/>
      <c r="F38" s="2937"/>
      <c r="G38" s="1359"/>
      <c r="H38" s="2937"/>
    </row>
    <row r="39" spans="1:8" s="2935" customFormat="1" ht="14.25" customHeight="1">
      <c r="A39" s="1366" t="s">
        <v>4187</v>
      </c>
      <c r="B39" s="1365">
        <f>'Part IV-Uses of Funds'!$G$63</f>
        <v>0</v>
      </c>
      <c r="C39" s="1366" t="s">
        <v>1856</v>
      </c>
      <c r="D39" s="1365">
        <f>'Part IV-Uses of Funds'!$J$63+'Part IV-Uses of Funds'!$M$63+'Part IV-Uses of Funds'!$P$63</f>
        <v>0</v>
      </c>
      <c r="E39" s="1359"/>
      <c r="F39" s="2937"/>
      <c r="G39" s="1359"/>
      <c r="H39" s="2937"/>
    </row>
    <row r="40" spans="1:8" s="2935" customFormat="1" ht="6" customHeight="1">
      <c r="D40" s="1359"/>
      <c r="E40" s="1359"/>
      <c r="F40" s="2938"/>
      <c r="G40" s="1361"/>
      <c r="H40" s="2938"/>
    </row>
    <row r="41" spans="1:8" s="2935" customFormat="1">
      <c r="A41" s="1367" t="s">
        <v>493</v>
      </c>
      <c r="B41" s="1359"/>
      <c r="C41" s="1359"/>
      <c r="D41" s="1359"/>
      <c r="E41" s="1363"/>
      <c r="F41" s="1363"/>
      <c r="G41" s="1359"/>
    </row>
    <row r="42" spans="1:8" s="2935" customFormat="1" ht="41.25" customHeight="1">
      <c r="A42" s="1645" t="str">
        <f>'Part IV-Uses of Funds'!$C$76</f>
        <v>&lt;&lt; Enter description here; provide detail &amp; justification in tab Part IV-b &gt;&gt;</v>
      </c>
      <c r="B42" s="1646"/>
      <c r="C42" s="1646"/>
      <c r="D42" s="1647"/>
      <c r="F42" s="2939"/>
      <c r="G42" s="1359"/>
      <c r="H42" s="2939"/>
    </row>
    <row r="43" spans="1:8" s="2935" customFormat="1" ht="41.25" customHeight="1">
      <c r="A43" s="1648"/>
      <c r="B43" s="1649"/>
      <c r="C43" s="1649"/>
      <c r="D43" s="1650"/>
      <c r="E43" s="1359"/>
      <c r="F43" s="2940"/>
      <c r="G43" s="1359"/>
      <c r="H43" s="2940"/>
    </row>
    <row r="44" spans="1:8" s="2935" customFormat="1" ht="4.5" customHeight="1">
      <c r="A44" s="1359"/>
      <c r="B44" s="1359"/>
      <c r="C44" s="1359"/>
      <c r="D44" s="1359"/>
      <c r="E44" s="1359"/>
      <c r="F44" s="2940"/>
      <c r="G44" s="1359"/>
      <c r="H44" s="2940"/>
    </row>
    <row r="45" spans="1:8" s="2935" customFormat="1" ht="13.5" customHeight="1">
      <c r="A45" s="1366" t="s">
        <v>4187</v>
      </c>
      <c r="B45" s="1365">
        <f>'Part IV-Uses of Funds'!$G$76</f>
        <v>0</v>
      </c>
      <c r="C45" s="1366" t="s">
        <v>1856</v>
      </c>
      <c r="D45" s="1365">
        <f>'Part IV-Uses of Funds'!$J$76+'Part IV-Uses of Funds'!$M$76+'Part IV-Uses of Funds'!$P$76</f>
        <v>0</v>
      </c>
      <c r="E45" s="1359"/>
      <c r="F45" s="2940"/>
      <c r="G45" s="1359"/>
      <c r="H45" s="2940"/>
    </row>
    <row r="46" spans="1:8" s="2935" customFormat="1" ht="6" customHeight="1">
      <c r="A46" s="1359"/>
      <c r="B46" s="1360"/>
      <c r="C46" s="1359"/>
      <c r="D46" s="1359"/>
      <c r="E46" s="1359"/>
      <c r="F46" s="2941"/>
      <c r="G46" s="1361"/>
      <c r="H46" s="2941"/>
    </row>
    <row r="47" spans="1:8" s="2935" customFormat="1">
      <c r="A47" s="1367" t="s">
        <v>754</v>
      </c>
      <c r="B47" s="1359"/>
      <c r="C47" s="1359"/>
      <c r="D47" s="1359"/>
      <c r="E47" s="1359"/>
      <c r="F47" s="1359"/>
      <c r="G47" s="1359"/>
    </row>
    <row r="48" spans="1:8" s="2935" customFormat="1" ht="41.25" customHeight="1">
      <c r="A48" s="1645" t="str">
        <f>'Part IV-Uses of Funds'!$C$90</f>
        <v>&lt;&lt; Enter description here; provide detail &amp; justification in tab Part IV-b &gt;&gt;</v>
      </c>
      <c r="B48" s="1646"/>
      <c r="C48" s="1646"/>
      <c r="D48" s="1647"/>
      <c r="F48" s="2939"/>
      <c r="G48" s="1359"/>
    </row>
    <row r="49" spans="1:7" s="2935" customFormat="1" ht="41.25" customHeight="1">
      <c r="A49" s="1648"/>
      <c r="B49" s="1649"/>
      <c r="C49" s="1649"/>
      <c r="D49" s="1650"/>
      <c r="E49" s="1359"/>
      <c r="F49" s="2940"/>
      <c r="G49" s="1359"/>
    </row>
    <row r="50" spans="1:7" s="2935" customFormat="1" ht="4.5" customHeight="1">
      <c r="A50" s="1359"/>
      <c r="B50" s="1359"/>
      <c r="C50" s="1359"/>
      <c r="D50" s="1359"/>
      <c r="E50" s="1359"/>
      <c r="F50" s="2940"/>
      <c r="G50" s="1359"/>
    </row>
    <row r="51" spans="1:7" s="2935" customFormat="1" ht="13.5" customHeight="1">
      <c r="A51" s="1366" t="s">
        <v>4187</v>
      </c>
      <c r="B51" s="1365">
        <f>'Part IV-Uses of Funds'!$G$90</f>
        <v>0</v>
      </c>
      <c r="C51" s="1362"/>
      <c r="D51" s="1362"/>
      <c r="E51" s="1359"/>
      <c r="F51" s="2940"/>
      <c r="G51" s="1359"/>
    </row>
    <row r="52" spans="1:7" s="2935" customFormat="1" ht="6" customHeight="1">
      <c r="A52" s="1359"/>
      <c r="B52" s="1359"/>
      <c r="C52" s="1359"/>
      <c r="D52" s="1359"/>
      <c r="E52" s="1359"/>
      <c r="F52" s="2941"/>
      <c r="G52" s="1361"/>
    </row>
    <row r="53" spans="1:7" s="2935" customFormat="1">
      <c r="A53" s="1367" t="s">
        <v>4188</v>
      </c>
      <c r="B53" s="1359"/>
      <c r="C53" s="1359"/>
      <c r="D53" s="1359"/>
      <c r="E53" s="1359"/>
      <c r="F53" s="1359"/>
      <c r="G53" s="1359"/>
    </row>
    <row r="54" spans="1:7" s="2935" customFormat="1" ht="41.25" customHeight="1">
      <c r="A54" s="1645" t="str">
        <f>'Part IV-Uses of Funds'!$C$103</f>
        <v>&lt;&lt; Enter description here; provide detail &amp; justification in tab Part IV-b &gt;&gt;</v>
      </c>
      <c r="B54" s="1646"/>
      <c r="C54" s="1646"/>
      <c r="D54" s="1647"/>
      <c r="F54" s="2936"/>
      <c r="G54" s="1359"/>
    </row>
    <row r="55" spans="1:7" s="2935" customFormat="1" ht="41.25" customHeight="1">
      <c r="A55" s="1648"/>
      <c r="B55" s="1649"/>
      <c r="C55" s="1649"/>
      <c r="D55" s="1650"/>
      <c r="E55" s="1359"/>
      <c r="F55" s="2937"/>
      <c r="G55" s="1359"/>
    </row>
    <row r="56" spans="1:7" s="2935" customFormat="1" ht="4.5" customHeight="1">
      <c r="A56" s="1359"/>
      <c r="B56" s="1359"/>
      <c r="C56" s="1359"/>
      <c r="D56" s="1359"/>
      <c r="E56" s="1359"/>
      <c r="F56" s="2937"/>
      <c r="G56" s="1359"/>
    </row>
    <row r="57" spans="1:7" s="2935" customFormat="1">
      <c r="A57" s="1366" t="s">
        <v>4187</v>
      </c>
      <c r="B57" s="1365">
        <f>'Part IV-Uses of Funds'!$G$103</f>
        <v>0</v>
      </c>
      <c r="C57" s="1362"/>
      <c r="D57" s="1362"/>
      <c r="E57" s="1359"/>
      <c r="F57" s="2937"/>
      <c r="G57" s="1359"/>
    </row>
    <row r="58" spans="1:7" s="2935" customFormat="1" ht="6" customHeight="1">
      <c r="A58" s="1358"/>
      <c r="B58" s="1358"/>
      <c r="C58" s="1358"/>
      <c r="D58" s="1358"/>
      <c r="E58" s="1358"/>
      <c r="F58" s="2937"/>
      <c r="G58" s="1361"/>
    </row>
    <row r="59" spans="1:7" s="2935" customFormat="1" ht="41.25" customHeight="1">
      <c r="A59" s="1645" t="str">
        <f>'Part IV-Uses of Funds'!$C$104</f>
        <v>&lt;&lt; Enter description here; provide detail &amp; justification in tab Part IV-b &gt;&gt;</v>
      </c>
      <c r="B59" s="1646"/>
      <c r="C59" s="1646"/>
      <c r="D59" s="1647"/>
      <c r="F59" s="2937"/>
      <c r="G59" s="1359"/>
    </row>
    <row r="60" spans="1:7" s="2935" customFormat="1" ht="41.25" customHeight="1">
      <c r="A60" s="1648"/>
      <c r="B60" s="1649"/>
      <c r="C60" s="1649"/>
      <c r="D60" s="1650"/>
      <c r="E60" s="1359"/>
      <c r="F60" s="2937"/>
      <c r="G60" s="1359"/>
    </row>
    <row r="61" spans="1:7" s="2935" customFormat="1" ht="4.5" customHeight="1">
      <c r="A61" s="1359"/>
      <c r="B61" s="1359"/>
      <c r="C61" s="1359"/>
      <c r="D61" s="1359"/>
      <c r="E61" s="1359"/>
      <c r="F61" s="2937"/>
      <c r="G61" s="1359"/>
    </row>
    <row r="62" spans="1:7" s="2935" customFormat="1">
      <c r="A62" s="1362" t="s">
        <v>103</v>
      </c>
      <c r="B62" s="1365">
        <f>'Part IV-Uses of Funds'!$G$104</f>
        <v>0</v>
      </c>
      <c r="C62" s="1362"/>
      <c r="D62" s="1362"/>
      <c r="E62" s="1359"/>
      <c r="F62" s="2937"/>
      <c r="G62" s="1359"/>
    </row>
    <row r="63" spans="1:7" s="2935" customFormat="1" ht="6" customHeight="1">
      <c r="A63" s="1358"/>
      <c r="B63" s="1358"/>
      <c r="C63" s="1358"/>
      <c r="D63" s="1358"/>
      <c r="E63" s="1358"/>
      <c r="F63" s="2938"/>
      <c r="G63" s="1361"/>
    </row>
    <row r="64" spans="1:7" s="2935" customFormat="1">
      <c r="A64" s="1367" t="s">
        <v>4189</v>
      </c>
      <c r="B64" s="1359"/>
      <c r="C64" s="1359"/>
      <c r="D64" s="1359"/>
      <c r="E64" s="1359"/>
      <c r="F64" s="1359"/>
      <c r="G64" s="1359"/>
    </row>
    <row r="65" spans="1:8" s="2935" customFormat="1" ht="41.25" customHeight="1">
      <c r="A65" s="1645" t="str">
        <f>'Part IV-Uses of Funds'!$C$110</f>
        <v>&lt;&lt; Enter description here; provide detail &amp; justification in tab Part IV-b &gt;&gt;</v>
      </c>
      <c r="B65" s="1646"/>
      <c r="C65" s="1646"/>
      <c r="D65" s="1647"/>
      <c r="F65" s="2939"/>
      <c r="G65" s="1359"/>
    </row>
    <row r="66" spans="1:8" s="2935" customFormat="1" ht="41.25" customHeight="1">
      <c r="A66" s="1648"/>
      <c r="B66" s="1649"/>
      <c r="C66" s="1649"/>
      <c r="D66" s="1650"/>
      <c r="E66" s="1359"/>
      <c r="F66" s="2940"/>
      <c r="G66" s="1359"/>
    </row>
    <row r="67" spans="1:8" s="2935" customFormat="1" ht="4.5" customHeight="1">
      <c r="A67" s="1359"/>
      <c r="B67" s="1359"/>
      <c r="C67" s="1359"/>
      <c r="D67" s="1359"/>
      <c r="E67" s="1359"/>
      <c r="F67" s="2940"/>
      <c r="G67" s="1359"/>
    </row>
    <row r="68" spans="1:8" s="2935" customFormat="1">
      <c r="A68" s="1362" t="s">
        <v>103</v>
      </c>
      <c r="B68" s="1365">
        <f>'Part IV-Uses of Funds'!$G$110</f>
        <v>0</v>
      </c>
      <c r="C68" s="1362"/>
      <c r="D68" s="1362"/>
      <c r="E68" s="1359"/>
      <c r="F68" s="2940"/>
      <c r="G68" s="1359"/>
    </row>
    <row r="69" spans="1:8" s="2935" customFormat="1" ht="6" customHeight="1">
      <c r="A69" s="1359"/>
      <c r="B69" s="1360"/>
      <c r="C69" s="1359"/>
      <c r="D69" s="1359"/>
      <c r="E69" s="1359"/>
      <c r="F69" s="2941"/>
      <c r="G69" s="1361"/>
    </row>
    <row r="70" spans="1:8" s="2935" customFormat="1">
      <c r="A70" s="1367" t="s">
        <v>1358</v>
      </c>
      <c r="B70" s="1359"/>
      <c r="C70" s="1359"/>
      <c r="D70" s="1359"/>
      <c r="E70" s="1359"/>
      <c r="F70" s="1359"/>
      <c r="G70" s="1359"/>
    </row>
    <row r="71" spans="1:8" s="2935" customFormat="1" ht="41.25" customHeight="1">
      <c r="A71" s="1645" t="str">
        <f>'Part IV-Uses of Funds'!$C$124</f>
        <v>&lt;&lt; Enter description here; provide detail &amp; justification in tab Part IV-b &gt;&gt;</v>
      </c>
      <c r="B71" s="1646"/>
      <c r="C71" s="1646"/>
      <c r="D71" s="1647"/>
      <c r="F71" s="2939"/>
      <c r="G71" s="1359"/>
      <c r="H71" s="2939"/>
    </row>
    <row r="72" spans="1:8" s="2935" customFormat="1" ht="41.25" customHeight="1">
      <c r="A72" s="1648"/>
      <c r="B72" s="1649"/>
      <c r="C72" s="1649"/>
      <c r="D72" s="1650"/>
      <c r="E72" s="1359"/>
      <c r="F72" s="2940"/>
      <c r="G72" s="1359"/>
      <c r="H72" s="2940"/>
    </row>
    <row r="73" spans="1:8" s="2935" customFormat="1" ht="4.5" customHeight="1">
      <c r="A73" s="1359"/>
      <c r="B73" s="1359"/>
      <c r="C73" s="1359"/>
      <c r="D73" s="1359"/>
      <c r="E73" s="1359"/>
      <c r="F73" s="2940"/>
      <c r="G73" s="1359"/>
      <c r="H73" s="2940"/>
    </row>
    <row r="74" spans="1:8" s="2935" customFormat="1">
      <c r="A74" s="1362" t="s">
        <v>103</v>
      </c>
      <c r="B74" s="1365">
        <f>'Part IV-Uses of Funds'!$G$124</f>
        <v>0</v>
      </c>
      <c r="C74" s="1362" t="s">
        <v>4185</v>
      </c>
      <c r="D74" s="1365">
        <f>'Part IV-Uses of Funds'!$J$124+'Part IV-Uses of Funds'!$M$124+'Part IV-Uses of Funds'!$P$124</f>
        <v>0</v>
      </c>
      <c r="E74" s="1359"/>
      <c r="F74" s="2940"/>
      <c r="G74" s="1359"/>
      <c r="H74" s="2940"/>
    </row>
    <row r="75" spans="1:8" s="2935" customFormat="1" ht="6" customHeight="1">
      <c r="A75" s="1359"/>
      <c r="B75" s="1360"/>
      <c r="C75" s="1359"/>
      <c r="D75" s="1359"/>
      <c r="E75" s="1359"/>
      <c r="F75" s="2941"/>
      <c r="G75" s="1361"/>
      <c r="H75" s="2941"/>
    </row>
    <row r="76" spans="1:8" s="2935" customFormat="1">
      <c r="A76" s="1367" t="s">
        <v>4190</v>
      </c>
      <c r="B76" s="1360"/>
      <c r="C76" s="1359"/>
      <c r="D76" s="1359"/>
      <c r="E76" s="1359"/>
      <c r="F76" s="1359"/>
      <c r="G76" s="1361"/>
    </row>
    <row r="77" spans="1:8" s="2935" customFormat="1" ht="41.25" customHeight="1">
      <c r="A77" s="1645" t="str">
        <f>'Part IV-Uses of Funds'!$C$128</f>
        <v>&lt;&lt; Enter description here; provide detail &amp; justification in tab Part IV-b &gt;&gt;</v>
      </c>
      <c r="B77" s="1646"/>
      <c r="C77" s="1646"/>
      <c r="D77" s="1647"/>
      <c r="F77" s="2939"/>
      <c r="G77" s="1359"/>
      <c r="H77" s="2939"/>
    </row>
    <row r="78" spans="1:8" s="2935" customFormat="1" ht="41.25" customHeight="1">
      <c r="A78" s="1648"/>
      <c r="B78" s="1649"/>
      <c r="C78" s="1649"/>
      <c r="D78" s="1650"/>
      <c r="E78" s="1359"/>
      <c r="F78" s="2940"/>
      <c r="G78" s="1359"/>
      <c r="H78" s="2940"/>
    </row>
    <row r="79" spans="1:8" s="2935" customFormat="1" ht="4.5" customHeight="1">
      <c r="A79" s="1359"/>
      <c r="B79" s="1359"/>
      <c r="C79" s="1359"/>
      <c r="D79" s="1359"/>
      <c r="E79" s="1359"/>
      <c r="F79" s="2940"/>
      <c r="G79" s="1359"/>
      <c r="H79" s="2940"/>
    </row>
    <row r="80" spans="1:8" s="2935" customFormat="1">
      <c r="A80" s="1362" t="s">
        <v>103</v>
      </c>
      <c r="B80" s="1365">
        <f>'Part IV-Uses of Funds'!$G$128</f>
        <v>0</v>
      </c>
      <c r="C80" s="1362" t="s">
        <v>4185</v>
      </c>
      <c r="D80" s="1365">
        <f>'Part IV-Uses of Funds'!$J$128+'Part IV-Uses of Funds'!$M$128+'Part IV-Uses of Funds'!$P$128</f>
        <v>0</v>
      </c>
      <c r="E80" s="1364"/>
      <c r="F80" s="2940"/>
      <c r="G80" s="1359"/>
      <c r="H80" s="2940"/>
    </row>
    <row r="81" spans="4:8" s="2935" customFormat="1" ht="6" customHeight="1">
      <c r="D81" s="1386"/>
      <c r="E81" s="2942"/>
      <c r="F81" s="2941"/>
      <c r="G81" s="1361"/>
      <c r="H81" s="2941"/>
    </row>
    <row r="82" spans="4:8" s="2935" customFormat="1"/>
    <row r="83" spans="4:8" s="2935" customFormat="1"/>
    <row r="84" spans="4:8" s="2935" customFormat="1"/>
    <row r="85" spans="4:8" s="2935" customFormat="1"/>
    <row r="86" spans="4:8" s="2935" customFormat="1"/>
    <row r="87" spans="4:8" s="2935" customFormat="1"/>
    <row r="88" spans="4:8" s="2935" customFormat="1"/>
    <row r="89" spans="4:8" s="2935" customFormat="1"/>
    <row r="90" spans="4:8" s="2935" customFormat="1"/>
    <row r="91" spans="4:8" s="2935" customFormat="1"/>
    <row r="92" spans="4:8" s="2935" customFormat="1"/>
  </sheetData>
  <sheetProtection algorithmName="SHA-512" hashValue="6ZhpDSBLUPDULVVdhuyKlWU5Q2GcblxwinRgsDDtA90m+TGhZXzKLAorlbvRsWDPyBX4/fC80zYn2ZdbYhef9A==" saltValue="afdTPMSS9ohu4ypfV5Nfb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37" zoomScale="136" zoomScaleNormal="136" workbookViewId="0">
      <selection activeCell="A37"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0" t="str">
        <f>CONCATENATE("PART FIVE - UTILITY ALLOWANCES","  -  ",'Part I-Project Information'!$O$4," ",'Part I-Project Information'!$F$24,", ",'Part I-Project Information'!F28,", ",'Part I-Project Information'!J29," County")</f>
        <v>PART FIVE - UTILITY ALLOWANCES  -  2016-079 The Pines Apartments, St. Marys, Camden County</v>
      </c>
      <c r="B1" s="1661"/>
      <c r="C1" s="1661"/>
      <c r="D1" s="1661"/>
      <c r="E1" s="1661"/>
      <c r="F1" s="1661"/>
      <c r="G1" s="1661"/>
      <c r="H1" s="1661"/>
      <c r="I1" s="1661"/>
      <c r="J1" s="1661"/>
      <c r="K1" s="1661"/>
      <c r="L1" s="1661"/>
      <c r="M1" s="1661"/>
      <c r="N1" s="10"/>
      <c r="O1" s="10"/>
      <c r="P1" s="10"/>
      <c r="Q1" s="10"/>
      <c r="R1" s="17"/>
      <c r="S1" s="17"/>
      <c r="T1" s="17"/>
    </row>
    <row r="2" spans="1:20" s="8" customFormat="1" ht="13.5" thickBot="1"/>
    <row r="3" spans="1:20" s="8" customFormat="1" ht="13.5" thickBot="1">
      <c r="B3" s="1465" t="s">
        <v>4197</v>
      </c>
      <c r="C3" s="1466"/>
      <c r="D3" s="1467"/>
      <c r="F3" s="4" t="s">
        <v>534</v>
      </c>
      <c r="I3" s="1428" t="str">
        <f>VLOOKUP('Part I-Project Information'!$J$29,'DCA Underwriting Assumptions'!$G$141:$H$300,2)</f>
        <v>South</v>
      </c>
    </row>
    <row r="4" spans="1:20" s="8" customFormat="1"/>
    <row r="5" spans="1:20" s="8" customFormat="1">
      <c r="A5" s="14" t="s">
        <v>640</v>
      </c>
      <c r="B5" s="14" t="s">
        <v>2306</v>
      </c>
      <c r="F5" s="8" t="s">
        <v>2606</v>
      </c>
      <c r="I5" s="2943" t="s">
        <v>4282</v>
      </c>
      <c r="J5" s="2944"/>
      <c r="K5" s="2944"/>
      <c r="L5" s="2944"/>
      <c r="M5" s="2945"/>
    </row>
    <row r="6" spans="1:20" s="8" customFormat="1" ht="13.15" customHeight="1">
      <c r="A6" s="14"/>
      <c r="F6" s="8" t="s">
        <v>660</v>
      </c>
      <c r="H6" s="28"/>
      <c r="I6" s="2946">
        <v>42374</v>
      </c>
      <c r="J6" s="2947"/>
      <c r="K6" s="65" t="s">
        <v>559</v>
      </c>
      <c r="L6" s="2943" t="s">
        <v>2693</v>
      </c>
      <c r="M6" s="2945"/>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48" t="s">
        <v>1653</v>
      </c>
      <c r="E10" s="2949"/>
      <c r="F10" s="2950" t="s">
        <v>456</v>
      </c>
      <c r="G10" s="2950"/>
      <c r="H10" s="271"/>
      <c r="I10" s="2951"/>
      <c r="J10" s="2951"/>
      <c r="K10" s="2951"/>
      <c r="L10" s="2951"/>
      <c r="M10" s="2951"/>
      <c r="O10" s="1657" t="s">
        <v>4154</v>
      </c>
      <c r="P10" s="1657"/>
    </row>
    <row r="11" spans="1:20" s="8" customFormat="1">
      <c r="B11" s="272" t="s">
        <v>484</v>
      </c>
      <c r="C11" s="273"/>
      <c r="D11" s="272" t="s">
        <v>1653</v>
      </c>
      <c r="E11" s="273"/>
      <c r="F11" s="2952" t="s">
        <v>456</v>
      </c>
      <c r="G11" s="2952"/>
      <c r="H11" s="274"/>
      <c r="I11" s="2953"/>
      <c r="J11" s="2953"/>
      <c r="K11" s="2953"/>
      <c r="L11" s="2954"/>
      <c r="M11" s="2954"/>
      <c r="O11" s="1657"/>
      <c r="P11" s="1657"/>
    </row>
    <row r="12" spans="1:20" s="8" customFormat="1">
      <c r="B12" s="272" t="s">
        <v>1654</v>
      </c>
      <c r="C12" s="273"/>
      <c r="D12" s="2955" t="s">
        <v>1653</v>
      </c>
      <c r="E12" s="2956"/>
      <c r="F12" s="2952" t="s">
        <v>456</v>
      </c>
      <c r="G12" s="2952"/>
      <c r="H12" s="274"/>
      <c r="I12" s="2953"/>
      <c r="J12" s="2953"/>
      <c r="K12" s="2953"/>
      <c r="L12" s="2954"/>
      <c r="M12" s="2954"/>
      <c r="O12" s="1657"/>
      <c r="P12" s="1657"/>
    </row>
    <row r="13" spans="1:20" s="8" customFormat="1">
      <c r="B13" s="272" t="s">
        <v>1655</v>
      </c>
      <c r="C13" s="273"/>
      <c r="D13" s="2955" t="s">
        <v>1653</v>
      </c>
      <c r="E13" s="2956"/>
      <c r="F13" s="2952" t="s">
        <v>456</v>
      </c>
      <c r="G13" s="2952"/>
      <c r="H13" s="274"/>
      <c r="I13" s="2953"/>
      <c r="J13" s="2953"/>
      <c r="K13" s="2953"/>
      <c r="L13" s="2954"/>
      <c r="M13" s="2954"/>
      <c r="O13" s="1657"/>
      <c r="P13" s="1657"/>
    </row>
    <row r="14" spans="1:20" s="8" customFormat="1">
      <c r="B14" s="272" t="s">
        <v>1656</v>
      </c>
      <c r="C14" s="273"/>
      <c r="D14" s="272" t="s">
        <v>1653</v>
      </c>
      <c r="E14" s="275"/>
      <c r="F14" s="2952" t="s">
        <v>456</v>
      </c>
      <c r="G14" s="2952"/>
      <c r="H14" s="274"/>
      <c r="I14" s="2953"/>
      <c r="J14" s="2953">
        <v>82</v>
      </c>
      <c r="K14" s="2953">
        <v>113</v>
      </c>
      <c r="L14" s="2954">
        <v>134</v>
      </c>
      <c r="M14" s="2954"/>
      <c r="O14" s="1657"/>
      <c r="P14" s="1657"/>
    </row>
    <row r="15" spans="1:20" s="8" customFormat="1">
      <c r="B15" s="272" t="s">
        <v>1420</v>
      </c>
      <c r="C15" s="273"/>
      <c r="D15" s="848" t="s">
        <v>3728</v>
      </c>
      <c r="E15" s="2957" t="s">
        <v>3156</v>
      </c>
      <c r="F15" s="2952"/>
      <c r="G15" s="2952" t="s">
        <v>456</v>
      </c>
      <c r="H15" s="274"/>
      <c r="I15" s="2953"/>
      <c r="J15" s="2953"/>
      <c r="K15" s="2953"/>
      <c r="L15" s="2954"/>
      <c r="M15" s="2954"/>
      <c r="O15" s="1657"/>
      <c r="P15" s="1657"/>
    </row>
    <row r="16" spans="1:20" s="8" customFormat="1">
      <c r="B16" s="276" t="s">
        <v>1921</v>
      </c>
      <c r="C16" s="277"/>
      <c r="D16" s="276"/>
      <c r="E16" s="243"/>
      <c r="F16" s="2958"/>
      <c r="G16" s="2958" t="s">
        <v>456</v>
      </c>
      <c r="H16" s="278"/>
      <c r="I16" s="2959"/>
      <c r="J16" s="2959"/>
      <c r="K16" s="2959"/>
      <c r="L16" s="2960"/>
      <c r="M16" s="2960"/>
      <c r="O16" s="1657"/>
      <c r="P16" s="1657"/>
    </row>
    <row r="17" spans="1:19" s="8" customFormat="1">
      <c r="B17" s="266" t="s">
        <v>1057</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82</v>
      </c>
      <c r="K17" s="1412">
        <f>IF(SUM(K10:K16)=0,0,IF(OR($D10="&lt;&lt;Select Fuel &gt;&gt;",$D12="&lt;&lt;Select Fuel &gt;&gt;",$D13="&lt;&lt;Select Fuel &gt;&gt;"),"Select Fuel",IF($E15="&lt;Select&gt;","Submeter?",SUM(K10:K16))))</f>
        <v>113</v>
      </c>
      <c r="L17" s="1412">
        <f>IF(SUM(L10:L16)=0,0,IF(OR($D10="&lt;&lt;Select Fuel &gt;&gt;",$D12="&lt;&lt;Select Fuel &gt;&gt;",$D13="&lt;&lt;Select Fuel &gt;&gt;"),"Select Fuel",IF($E15="&lt;Select&gt;","Submeter?",SUM(L10:L16))))</f>
        <v>134</v>
      </c>
      <c r="M17" s="1412">
        <f>IF(SUM(M10:M16)=0,0,IF(OR($D10="&lt;&lt;Select Fuel &gt;&gt;",$D12="&lt;&lt;Select Fuel &gt;&gt;",$D13="&lt;&lt;Select Fuel &gt;&gt;"),"Select Fuel",IF($E15="&lt;Select&gt;","Submeter?",SUM(M10:M16))))</f>
        <v>0</v>
      </c>
    </row>
    <row r="18" spans="1:19" s="8" customFormat="1">
      <c r="B18" s="484" t="s">
        <v>3729</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61"/>
      <c r="J20" s="2944"/>
      <c r="K20" s="2944"/>
      <c r="L20" s="2944"/>
      <c r="M20" s="2945"/>
    </row>
    <row r="21" spans="1:19" s="8" customFormat="1" ht="13.15" customHeight="1">
      <c r="A21" s="14"/>
      <c r="B21" s="14"/>
      <c r="F21" s="8" t="s">
        <v>660</v>
      </c>
      <c r="H21" s="28"/>
      <c r="I21" s="2946"/>
      <c r="J21" s="2947"/>
      <c r="K21" s="65" t="s">
        <v>559</v>
      </c>
      <c r="L21" s="2961"/>
      <c r="M21" s="2945"/>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48" t="s">
        <v>1888</v>
      </c>
      <c r="E25" s="2949"/>
      <c r="F25" s="2950"/>
      <c r="G25" s="2950"/>
      <c r="H25" s="271"/>
      <c r="I25" s="2951"/>
      <c r="J25" s="2951"/>
      <c r="K25" s="2951"/>
      <c r="L25" s="2951"/>
      <c r="M25" s="2951"/>
      <c r="O25" s="1657" t="s">
        <v>4154</v>
      </c>
      <c r="P25" s="1657"/>
    </row>
    <row r="26" spans="1:19" s="8" customFormat="1">
      <c r="B26" s="272" t="s">
        <v>484</v>
      </c>
      <c r="C26" s="273"/>
      <c r="D26" s="272" t="s">
        <v>1653</v>
      </c>
      <c r="E26" s="273"/>
      <c r="F26" s="2952"/>
      <c r="G26" s="2952"/>
      <c r="H26" s="274"/>
      <c r="I26" s="2953"/>
      <c r="J26" s="2953"/>
      <c r="K26" s="2953"/>
      <c r="L26" s="2954"/>
      <c r="M26" s="2954"/>
      <c r="O26" s="1657"/>
      <c r="P26" s="1657"/>
    </row>
    <row r="27" spans="1:19" s="8" customFormat="1">
      <c r="B27" s="272" t="s">
        <v>1654</v>
      </c>
      <c r="C27" s="273"/>
      <c r="D27" s="2955" t="s">
        <v>1888</v>
      </c>
      <c r="E27" s="2956"/>
      <c r="F27" s="2952"/>
      <c r="G27" s="2952"/>
      <c r="H27" s="274"/>
      <c r="I27" s="2953"/>
      <c r="J27" s="2953"/>
      <c r="K27" s="2953"/>
      <c r="L27" s="2954"/>
      <c r="M27" s="2954"/>
      <c r="O27" s="1657"/>
      <c r="P27" s="1657"/>
    </row>
    <row r="28" spans="1:19" s="8" customFormat="1">
      <c r="B28" s="272" t="s">
        <v>1655</v>
      </c>
      <c r="C28" s="273"/>
      <c r="D28" s="2955" t="s">
        <v>1888</v>
      </c>
      <c r="E28" s="2956"/>
      <c r="F28" s="2952"/>
      <c r="G28" s="2952"/>
      <c r="H28" s="274"/>
      <c r="I28" s="2953"/>
      <c r="J28" s="2953"/>
      <c r="K28" s="2953"/>
      <c r="L28" s="2954"/>
      <c r="M28" s="2954"/>
      <c r="O28" s="1657"/>
      <c r="P28" s="1657"/>
    </row>
    <row r="29" spans="1:19" s="8" customFormat="1">
      <c r="B29" s="272" t="s">
        <v>1656</v>
      </c>
      <c r="C29" s="273"/>
      <c r="D29" s="272" t="s">
        <v>1653</v>
      </c>
      <c r="E29" s="275"/>
      <c r="F29" s="2952"/>
      <c r="G29" s="2952"/>
      <c r="H29" s="274"/>
      <c r="I29" s="2953"/>
      <c r="J29" s="2953"/>
      <c r="K29" s="2953"/>
      <c r="L29" s="2954"/>
      <c r="M29" s="2954"/>
      <c r="O29" s="1657"/>
      <c r="P29" s="1657"/>
    </row>
    <row r="30" spans="1:19" s="8" customFormat="1">
      <c r="B30" s="272" t="s">
        <v>1420</v>
      </c>
      <c r="C30" s="273"/>
      <c r="D30" s="848" t="s">
        <v>3728</v>
      </c>
      <c r="E30" s="2957" t="s">
        <v>207</v>
      </c>
      <c r="F30" s="2952"/>
      <c r="G30" s="2952"/>
      <c r="H30" s="274"/>
      <c r="I30" s="2953"/>
      <c r="J30" s="2953"/>
      <c r="K30" s="2953"/>
      <c r="L30" s="2954"/>
      <c r="M30" s="2954"/>
      <c r="O30" s="1657"/>
      <c r="P30" s="1657"/>
    </row>
    <row r="31" spans="1:19" s="8" customFormat="1">
      <c r="B31" s="276" t="s">
        <v>1921</v>
      </c>
      <c r="C31" s="277"/>
      <c r="D31" s="276"/>
      <c r="E31" s="243"/>
      <c r="F31" s="2958"/>
      <c r="G31" s="2958"/>
      <c r="H31" s="278"/>
      <c r="I31" s="2959"/>
      <c r="J31" s="2959"/>
      <c r="K31" s="2959"/>
      <c r="L31" s="2960"/>
      <c r="M31" s="2960"/>
      <c r="O31" s="1657"/>
      <c r="P31" s="1657"/>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3729</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2" t="s">
        <v>4392</v>
      </c>
      <c r="C38" s="2963"/>
      <c r="D38" s="2963"/>
      <c r="E38" s="2963"/>
      <c r="F38" s="2963"/>
      <c r="G38" s="2963"/>
      <c r="H38" s="2963"/>
      <c r="I38" s="2963"/>
      <c r="J38" s="2963"/>
      <c r="K38" s="2963"/>
      <c r="L38" s="2963"/>
      <c r="M38" s="2964"/>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5"/>
      <c r="C41" s="2966"/>
      <c r="D41" s="2966"/>
      <c r="E41" s="2966"/>
      <c r="F41" s="2966"/>
      <c r="G41" s="2966"/>
      <c r="H41" s="2966"/>
      <c r="I41" s="2966"/>
      <c r="J41" s="2966"/>
      <c r="K41" s="2966"/>
      <c r="L41" s="2966"/>
      <c r="M41" s="2967"/>
      <c r="N41" s="28"/>
      <c r="O41" s="1444"/>
      <c r="P41" s="1444"/>
      <c r="Q41" s="1444"/>
      <c r="R41" s="1444"/>
      <c r="S41" s="1444"/>
    </row>
  </sheetData>
  <sheetProtection algorithmName="SHA-512" hashValue="sfJezhX1HhukSxeR4XgeV+JbGY43popTHkI7N3qiLsMUxQdK5OsVbFmoh5tAYG3wFZzrkzDFN481vPzR/ZuITA==" saltValue="9+FzOUhJHygq99LnwrrgYA=="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2016-06-08T01:08:15Z</cp:lastPrinted>
  <dcterms:created xsi:type="dcterms:W3CDTF">2005-09-15T20:51:37Z</dcterms:created>
  <dcterms:modified xsi:type="dcterms:W3CDTF">2016-08-02T21:41:58Z</dcterms:modified>
</cp:coreProperties>
</file>